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9- SETEMBRO\2  CERPALO - Ana\Estrutura\"/>
    </mc:Choice>
  </mc:AlternateContent>
  <xr:revisionPtr revIDLastSave="0" documentId="13_ncr:1_{174D0C63-0733-4D15-8656-BF6D2018BA4F}" xr6:coauthVersionLast="47" xr6:coauthVersionMax="47" xr10:uidLastSave="{00000000-0000-0000-0000-000000000000}"/>
  <bookViews>
    <workbookView xWindow="-108" yWindow="-108" windowWidth="23256" windowHeight="12576" firstSheet="21" activeTab="29" xr2:uid="{F292DABF-DE82-4C4E-8254-5197FFDE4748}"/>
  </bookViews>
  <sheets>
    <sheet name="Mercado_Receita" sheetId="1" r:id="rId1"/>
    <sheet name="EVENTOS" sheetId="6" r:id="rId2"/>
    <sheet name="TAR FIN" sheetId="19" r:id="rId3"/>
    <sheet name="MERCADO TUSD" sheetId="7" r:id="rId4"/>
    <sheet name="MERCADO TE" sheetId="8" r:id="rId5"/>
    <sheet name="CUSTOS" sheetId="9" r:id="rId6"/>
    <sheet name="TRANSICAO" sheetId="18" r:id="rId7"/>
    <sheet name="TR TUSD" sheetId="10" r:id="rId8"/>
    <sheet name="TUSD BE" sheetId="11" r:id="rId9"/>
    <sheet name="TUSD BF" sheetId="12" r:id="rId10"/>
    <sheet name="TUSD CVA" sheetId="13" r:id="rId11"/>
    <sheet name="TR TE" sheetId="14" r:id="rId12"/>
    <sheet name="TE BE" sheetId="15" r:id="rId13"/>
    <sheet name="TE BF" sheetId="16" r:id="rId14"/>
    <sheet name="TE CVA" sheetId="17" r:id="rId15"/>
    <sheet name="EFEITO" sheetId="20" r:id="rId16"/>
    <sheet name="SUBSIDIO" sheetId="21" r:id="rId17"/>
    <sheet name="TabDinEfeito" sheetId="22" r:id="rId18"/>
    <sheet name="TabDinSubsidio" sheetId="23" r:id="rId19"/>
    <sheet name="TABELAS REH" sheetId="32" r:id="rId20"/>
    <sheet name="CONSISTENCIA" sheetId="25" r:id="rId21"/>
    <sheet name="TUSD" sheetId="27" r:id="rId22"/>
    <sheet name="TE" sheetId="28" r:id="rId23"/>
    <sheet name="RESUMO TUSD" sheetId="29" r:id="rId24"/>
    <sheet name="RESUMO TE" sheetId="30" r:id="rId25"/>
    <sheet name="Descontos" sheetId="24" r:id="rId26"/>
    <sheet name="ERD" sheetId="31" r:id="rId27"/>
    <sheet name="TA - Aplicação" sheetId="33" r:id="rId28"/>
    <sheet name="TA - BE" sheetId="34" r:id="rId29"/>
    <sheet name="TA - CVA" sheetId="35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110" r:id="rId31"/>
    <pivotCache cacheId="111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32" l="1"/>
  <c r="V32" i="32"/>
  <c r="V31" i="32"/>
  <c r="V30" i="32"/>
  <c r="V29" i="32"/>
  <c r="V28" i="32"/>
  <c r="V27" i="32"/>
  <c r="V26" i="32"/>
  <c r="V21" i="32"/>
  <c r="V16" i="32"/>
  <c r="V25" i="32"/>
  <c r="V20" i="32"/>
  <c r="V15" i="32"/>
  <c r="V24" i="32"/>
  <c r="V23" i="32"/>
  <c r="V22" i="32"/>
  <c r="V19" i="32"/>
  <c r="V18" i="32"/>
  <c r="V17" i="32"/>
  <c r="V14" i="32"/>
  <c r="V13" i="32"/>
  <c r="V12" i="32"/>
  <c r="V11" i="32"/>
  <c r="V9" i="32"/>
  <c r="V10" i="32"/>
  <c r="V8" i="32"/>
  <c r="V7" i="32"/>
  <c r="V6" i="32"/>
  <c r="V5" i="32"/>
  <c r="J11" i="32"/>
  <c r="J10" i="32"/>
  <c r="J6" i="32"/>
  <c r="J5" i="32"/>
  <c r="I3" i="31"/>
  <c r="B2" i="31"/>
  <c r="C2" i="31"/>
  <c r="D2" i="31"/>
  <c r="E2" i="31"/>
  <c r="F2" i="31"/>
  <c r="G2" i="31"/>
  <c r="H2" i="31"/>
  <c r="I2" i="31"/>
  <c r="J2" i="31"/>
  <c r="K2" i="31"/>
  <c r="L2" i="31"/>
  <c r="B11" i="31"/>
  <c r="P11" i="9" l="1"/>
  <c r="P10" i="9"/>
  <c r="R10" i="9" s="1"/>
  <c r="P9" i="9"/>
  <c r="R9" i="9" s="1"/>
  <c r="F44" i="9"/>
  <c r="E44" i="9"/>
  <c r="D44" i="9"/>
  <c r="F26" i="9"/>
  <c r="E26" i="9"/>
  <c r="D26" i="9"/>
  <c r="F25" i="9"/>
  <c r="E25" i="9"/>
  <c r="D25" i="9"/>
  <c r="F24" i="9"/>
  <c r="E24" i="9"/>
  <c r="D24" i="9"/>
  <c r="D13" i="9"/>
  <c r="F39" i="9"/>
  <c r="F17" i="9"/>
  <c r="F16" i="9"/>
  <c r="F12" i="9"/>
  <c r="F11" i="9"/>
  <c r="M15" i="9"/>
  <c r="M7" i="9"/>
  <c r="F36" i="9" s="1"/>
  <c r="D36" i="9" l="1"/>
  <c r="D30" i="9" s="1"/>
  <c r="E36" i="9"/>
  <c r="R11" i="9"/>
  <c r="L5" i="30"/>
  <c r="K5" i="30"/>
  <c r="J5" i="30"/>
  <c r="I5" i="30"/>
  <c r="H5" i="30"/>
  <c r="G5" i="30"/>
  <c r="F5" i="30"/>
  <c r="E5" i="30"/>
  <c r="D5" i="30"/>
  <c r="C5" i="30"/>
  <c r="B5" i="30"/>
  <c r="I2" i="30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I2" i="29"/>
  <c r="AE13" i="25"/>
  <c r="AD13" i="25"/>
  <c r="AC13" i="25"/>
  <c r="AB13" i="25"/>
  <c r="AA13" i="25"/>
  <c r="W13" i="25"/>
  <c r="V13" i="25"/>
  <c r="U13" i="25"/>
  <c r="AI13" i="25" s="1"/>
  <c r="T13" i="25"/>
  <c r="S13" i="25"/>
  <c r="Y13" i="25" s="1"/>
  <c r="AG13" i="25" s="1"/>
  <c r="R13" i="25"/>
  <c r="X13" i="25" s="1"/>
  <c r="AF13" i="25" s="1"/>
  <c r="AE12" i="25"/>
  <c r="AD12" i="25"/>
  <c r="AE8" i="25"/>
  <c r="AD8" i="25"/>
  <c r="AC8" i="25"/>
  <c r="AB8" i="25"/>
  <c r="AA8" i="25"/>
  <c r="W8" i="25"/>
  <c r="V8" i="25"/>
  <c r="U8" i="25"/>
  <c r="T8" i="25"/>
  <c r="S8" i="25"/>
  <c r="Y8" i="25" s="1"/>
  <c r="AG8" i="25" s="1"/>
  <c r="R8" i="25"/>
  <c r="AE6" i="25"/>
  <c r="AD6" i="25"/>
  <c r="AC6" i="25"/>
  <c r="AB6" i="25"/>
  <c r="AA6" i="25"/>
  <c r="W6" i="25"/>
  <c r="V6" i="25"/>
  <c r="U6" i="25"/>
  <c r="X6" i="25" s="1"/>
  <c r="AF6" i="25" s="1"/>
  <c r="T6" i="25"/>
  <c r="S6" i="25"/>
  <c r="Y6" i="25" s="1"/>
  <c r="AG6" i="25" s="1"/>
  <c r="R6" i="25"/>
  <c r="AE5" i="25"/>
  <c r="AD5" i="25"/>
  <c r="AC5" i="25"/>
  <c r="AB5" i="25"/>
  <c r="AA5" i="25"/>
  <c r="W5" i="25"/>
  <c r="V5" i="25"/>
  <c r="U5" i="25"/>
  <c r="T5" i="25"/>
  <c r="S5" i="25"/>
  <c r="R5" i="25"/>
  <c r="AE4" i="25"/>
  <c r="AD4" i="25"/>
  <c r="AC4" i="25"/>
  <c r="AB4" i="25"/>
  <c r="AA4" i="25"/>
  <c r="W4" i="25"/>
  <c r="V4" i="25"/>
  <c r="U4" i="25"/>
  <c r="T4" i="25"/>
  <c r="S4" i="25"/>
  <c r="Y4" i="25" s="1"/>
  <c r="AG4" i="25" s="1"/>
  <c r="R4" i="25"/>
  <c r="X4" i="25" s="1"/>
  <c r="AF4" i="25" s="1"/>
  <c r="AE3" i="25"/>
  <c r="AD3" i="25"/>
  <c r="AC3" i="25"/>
  <c r="AB3" i="25"/>
  <c r="AA3" i="25"/>
  <c r="W3" i="25"/>
  <c r="V3" i="25"/>
  <c r="Y3" i="25" s="1"/>
  <c r="AG3" i="25" s="1"/>
  <c r="U3" i="25"/>
  <c r="AI3" i="25" s="1"/>
  <c r="T3" i="25"/>
  <c r="S3" i="25"/>
  <c r="R3" i="25"/>
  <c r="J575" i="25"/>
  <c r="J574" i="25"/>
  <c r="M574" i="25" s="1"/>
  <c r="J573" i="25"/>
  <c r="J572" i="25"/>
  <c r="M572" i="25" s="1"/>
  <c r="J571" i="25"/>
  <c r="M571" i="25" s="1"/>
  <c r="J570" i="25"/>
  <c r="J569" i="25"/>
  <c r="J568" i="25"/>
  <c r="M568" i="25" s="1"/>
  <c r="J567" i="25"/>
  <c r="J566" i="25"/>
  <c r="M566" i="25" s="1"/>
  <c r="J565" i="25"/>
  <c r="J564" i="25"/>
  <c r="M564" i="25" s="1"/>
  <c r="J250" i="25"/>
  <c r="J249" i="25"/>
  <c r="J248" i="25"/>
  <c r="J247" i="25"/>
  <c r="J246" i="25"/>
  <c r="J245" i="25"/>
  <c r="J244" i="25"/>
  <c r="J243" i="25"/>
  <c r="J242" i="25"/>
  <c r="J241" i="25"/>
  <c r="J240" i="25"/>
  <c r="J239" i="25"/>
  <c r="L238" i="25"/>
  <c r="K238" i="25"/>
  <c r="L237" i="25"/>
  <c r="K237" i="25"/>
  <c r="L236" i="25"/>
  <c r="K236" i="25"/>
  <c r="L235" i="25"/>
  <c r="K235" i="25"/>
  <c r="L234" i="25"/>
  <c r="K234" i="25"/>
  <c r="L233" i="25"/>
  <c r="K233" i="25"/>
  <c r="L232" i="25"/>
  <c r="K232" i="25"/>
  <c r="L231" i="25"/>
  <c r="K231" i="25"/>
  <c r="L230" i="25"/>
  <c r="K230" i="25"/>
  <c r="L229" i="25"/>
  <c r="K229" i="25"/>
  <c r="L228" i="25"/>
  <c r="K228" i="25"/>
  <c r="L227" i="25"/>
  <c r="K227" i="25"/>
  <c r="J226" i="25"/>
  <c r="J225" i="25"/>
  <c r="J224" i="25"/>
  <c r="J223" i="25"/>
  <c r="J222" i="25"/>
  <c r="J221" i="25"/>
  <c r="J220" i="25"/>
  <c r="J219" i="25"/>
  <c r="J218" i="25"/>
  <c r="J217" i="25"/>
  <c r="J216" i="25"/>
  <c r="J215" i="25"/>
  <c r="J214" i="25"/>
  <c r="J213" i="25"/>
  <c r="J212" i="25"/>
  <c r="J211" i="25"/>
  <c r="J210" i="25"/>
  <c r="J209" i="25"/>
  <c r="J208" i="25"/>
  <c r="J207" i="25"/>
  <c r="J206" i="25"/>
  <c r="J205" i="25"/>
  <c r="J204" i="25"/>
  <c r="J203" i="25"/>
  <c r="L202" i="25"/>
  <c r="K202" i="25"/>
  <c r="L201" i="25"/>
  <c r="K201" i="25"/>
  <c r="L200" i="25"/>
  <c r="K200" i="25"/>
  <c r="L199" i="25"/>
  <c r="K199" i="25"/>
  <c r="L198" i="25"/>
  <c r="K198" i="25"/>
  <c r="L197" i="25"/>
  <c r="K197" i="25"/>
  <c r="L196" i="25"/>
  <c r="K196" i="25"/>
  <c r="L195" i="25"/>
  <c r="K195" i="25"/>
  <c r="L194" i="25"/>
  <c r="K194" i="25"/>
  <c r="L193" i="25"/>
  <c r="K193" i="25"/>
  <c r="L192" i="25"/>
  <c r="K192" i="25"/>
  <c r="L191" i="25"/>
  <c r="K191" i="25"/>
  <c r="J190" i="25"/>
  <c r="J189" i="25"/>
  <c r="J188" i="25"/>
  <c r="J187" i="25"/>
  <c r="J186" i="25"/>
  <c r="J185" i="25"/>
  <c r="J184" i="25"/>
  <c r="J183" i="25"/>
  <c r="J182" i="25"/>
  <c r="J181" i="25"/>
  <c r="J180" i="25"/>
  <c r="J179" i="25"/>
  <c r="M587" i="25"/>
  <c r="J587" i="25"/>
  <c r="J586" i="25"/>
  <c r="M586" i="25" s="1"/>
  <c r="J585" i="25"/>
  <c r="M585" i="25" s="1"/>
  <c r="M584" i="25"/>
  <c r="J584" i="25"/>
  <c r="M583" i="25"/>
  <c r="J583" i="25"/>
  <c r="J582" i="25"/>
  <c r="M582" i="25" s="1"/>
  <c r="M581" i="25"/>
  <c r="J581" i="25"/>
  <c r="M580" i="25"/>
  <c r="J580" i="25"/>
  <c r="M579" i="25"/>
  <c r="J579" i="25"/>
  <c r="J578" i="25"/>
  <c r="M578" i="25" s="1"/>
  <c r="J577" i="25"/>
  <c r="M577" i="25" s="1"/>
  <c r="J576" i="25"/>
  <c r="R12" i="25" s="1"/>
  <c r="M575" i="25"/>
  <c r="M573" i="25"/>
  <c r="M570" i="25"/>
  <c r="M569" i="25"/>
  <c r="M567" i="25"/>
  <c r="M565" i="25"/>
  <c r="J563" i="25"/>
  <c r="M563" i="25" s="1"/>
  <c r="M562" i="25"/>
  <c r="J562" i="25"/>
  <c r="J561" i="25"/>
  <c r="M561" i="25" s="1"/>
  <c r="J560" i="25"/>
  <c r="M560" i="25" s="1"/>
  <c r="J559" i="25"/>
  <c r="M559" i="25" s="1"/>
  <c r="J558" i="25"/>
  <c r="M558" i="25" s="1"/>
  <c r="M557" i="25"/>
  <c r="J557" i="25"/>
  <c r="J556" i="25"/>
  <c r="M556" i="25" s="1"/>
  <c r="J555" i="25"/>
  <c r="M555" i="25" s="1"/>
  <c r="J554" i="25"/>
  <c r="M554" i="25" s="1"/>
  <c r="J553" i="25"/>
  <c r="M553" i="25" s="1"/>
  <c r="J552" i="25"/>
  <c r="M552" i="25" s="1"/>
  <c r="J551" i="25"/>
  <c r="M551" i="25" s="1"/>
  <c r="J550" i="25"/>
  <c r="M550" i="25" s="1"/>
  <c r="J549" i="25"/>
  <c r="M549" i="25" s="1"/>
  <c r="J548" i="25"/>
  <c r="M548" i="25" s="1"/>
  <c r="J547" i="25"/>
  <c r="M547" i="25" s="1"/>
  <c r="M546" i="25"/>
  <c r="J546" i="25"/>
  <c r="J545" i="25"/>
  <c r="M545" i="25" s="1"/>
  <c r="J544" i="25"/>
  <c r="M544" i="25" s="1"/>
  <c r="J543" i="25"/>
  <c r="M543" i="25" s="1"/>
  <c r="J542" i="25"/>
  <c r="M542" i="25" s="1"/>
  <c r="M541" i="25"/>
  <c r="J541" i="25"/>
  <c r="J540" i="25"/>
  <c r="M540" i="25" s="1"/>
  <c r="J539" i="25"/>
  <c r="M539" i="25" s="1"/>
  <c r="J538" i="25"/>
  <c r="M538" i="25" s="1"/>
  <c r="J537" i="25"/>
  <c r="M537" i="25" s="1"/>
  <c r="J536" i="25"/>
  <c r="M536" i="25" s="1"/>
  <c r="J535" i="25"/>
  <c r="M535" i="25" s="1"/>
  <c r="J534" i="25"/>
  <c r="M534" i="25" s="1"/>
  <c r="J533" i="25"/>
  <c r="M533" i="25" s="1"/>
  <c r="J532" i="25"/>
  <c r="M532" i="25" s="1"/>
  <c r="J531" i="25"/>
  <c r="M531" i="25" s="1"/>
  <c r="M530" i="25"/>
  <c r="J530" i="25"/>
  <c r="J529" i="25"/>
  <c r="M529" i="25" s="1"/>
  <c r="J528" i="25"/>
  <c r="M528" i="25" s="1"/>
  <c r="J527" i="25"/>
  <c r="M527" i="25" s="1"/>
  <c r="J526" i="25"/>
  <c r="M526" i="25" s="1"/>
  <c r="M525" i="25"/>
  <c r="J525" i="25"/>
  <c r="J524" i="25"/>
  <c r="M524" i="25" s="1"/>
  <c r="J523" i="25"/>
  <c r="M523" i="25" s="1"/>
  <c r="J522" i="25"/>
  <c r="M522" i="25" s="1"/>
  <c r="J521" i="25"/>
  <c r="M521" i="25" s="1"/>
  <c r="J520" i="25"/>
  <c r="M520" i="25" s="1"/>
  <c r="J519" i="25"/>
  <c r="M519" i="25" s="1"/>
  <c r="J518" i="25"/>
  <c r="M518" i="25" s="1"/>
  <c r="J517" i="25"/>
  <c r="M517" i="25" s="1"/>
  <c r="J516" i="25"/>
  <c r="M516" i="25" s="1"/>
  <c r="M515" i="25"/>
  <c r="J515" i="25"/>
  <c r="J514" i="25"/>
  <c r="M514" i="25" s="1"/>
  <c r="J513" i="25"/>
  <c r="M513" i="25" s="1"/>
  <c r="J512" i="25"/>
  <c r="M512" i="25" s="1"/>
  <c r="J511" i="25"/>
  <c r="M511" i="25" s="1"/>
  <c r="M510" i="25"/>
  <c r="J510" i="25"/>
  <c r="J509" i="25"/>
  <c r="M509" i="25" s="1"/>
  <c r="M508" i="25"/>
  <c r="J508" i="25"/>
  <c r="M507" i="25"/>
  <c r="J507" i="25"/>
  <c r="M506" i="25"/>
  <c r="J506" i="25"/>
  <c r="J505" i="25"/>
  <c r="M505" i="25" s="1"/>
  <c r="J504" i="25"/>
  <c r="M504" i="25" s="1"/>
  <c r="J503" i="25"/>
  <c r="M503" i="25" s="1"/>
  <c r="J502" i="25"/>
  <c r="M502" i="25" s="1"/>
  <c r="J501" i="25"/>
  <c r="M501" i="25" s="1"/>
  <c r="J500" i="25"/>
  <c r="M500" i="25" s="1"/>
  <c r="M499" i="25"/>
  <c r="J499" i="25"/>
  <c r="M498" i="25"/>
  <c r="J498" i="25"/>
  <c r="J497" i="25"/>
  <c r="M497" i="25" s="1"/>
  <c r="M496" i="25"/>
  <c r="J496" i="25"/>
  <c r="J495" i="25"/>
  <c r="M495" i="25" s="1"/>
  <c r="J494" i="25"/>
  <c r="M494" i="25" s="1"/>
  <c r="J493" i="25"/>
  <c r="M493" i="25" s="1"/>
  <c r="M492" i="25"/>
  <c r="J492" i="25"/>
  <c r="J491" i="25"/>
  <c r="M491" i="25" s="1"/>
  <c r="M490" i="25"/>
  <c r="J490" i="25"/>
  <c r="J489" i="25"/>
  <c r="M489" i="25" s="1"/>
  <c r="J488" i="25"/>
  <c r="M488" i="25" s="1"/>
  <c r="M487" i="25"/>
  <c r="J487" i="25"/>
  <c r="J486" i="25"/>
  <c r="M486" i="25" s="1"/>
  <c r="J485" i="25"/>
  <c r="M485" i="25" s="1"/>
  <c r="M484" i="25"/>
  <c r="J484" i="25"/>
  <c r="M483" i="25"/>
  <c r="J483" i="25"/>
  <c r="J482" i="25"/>
  <c r="M482" i="25" s="1"/>
  <c r="J481" i="25"/>
  <c r="M481" i="25" s="1"/>
  <c r="J480" i="25"/>
  <c r="M480" i="25" s="1"/>
  <c r="M479" i="25"/>
  <c r="J479" i="25"/>
  <c r="M478" i="25"/>
  <c r="J478" i="25"/>
  <c r="J477" i="25"/>
  <c r="M477" i="25" s="1"/>
  <c r="J476" i="25"/>
  <c r="M476" i="25" s="1"/>
  <c r="J475" i="25"/>
  <c r="M475" i="25" s="1"/>
  <c r="J474" i="25"/>
  <c r="M474" i="25" s="1"/>
  <c r="J473" i="25"/>
  <c r="M473" i="25" s="1"/>
  <c r="M472" i="25"/>
  <c r="J472" i="25"/>
  <c r="J471" i="25"/>
  <c r="M471" i="25" s="1"/>
  <c r="J470" i="25"/>
  <c r="M470" i="25" s="1"/>
  <c r="J469" i="25"/>
  <c r="M469" i="25" s="1"/>
  <c r="J468" i="25"/>
  <c r="M468" i="25" s="1"/>
  <c r="M467" i="25"/>
  <c r="J467" i="25"/>
  <c r="J466" i="25"/>
  <c r="M466" i="25" s="1"/>
  <c r="M465" i="25"/>
  <c r="J465" i="25"/>
  <c r="J464" i="25"/>
  <c r="M464" i="25" s="1"/>
  <c r="J463" i="25"/>
  <c r="M463" i="25" s="1"/>
  <c r="M462" i="25"/>
  <c r="J462" i="25"/>
  <c r="J461" i="25"/>
  <c r="M461" i="25" s="1"/>
  <c r="J460" i="25"/>
  <c r="M460" i="25" s="1"/>
  <c r="J459" i="25"/>
  <c r="M459" i="25" s="1"/>
  <c r="M458" i="25"/>
  <c r="J458" i="25"/>
  <c r="M457" i="25"/>
  <c r="J457" i="25"/>
  <c r="J456" i="25"/>
  <c r="M456" i="25" s="1"/>
  <c r="J455" i="25"/>
  <c r="M455" i="25" s="1"/>
  <c r="M454" i="25"/>
  <c r="J454" i="25"/>
  <c r="M453" i="25"/>
  <c r="J453" i="25"/>
  <c r="J452" i="25"/>
  <c r="M452" i="25" s="1"/>
  <c r="J451" i="25"/>
  <c r="M451" i="25" s="1"/>
  <c r="J450" i="25"/>
  <c r="M450" i="25" s="1"/>
  <c r="M449" i="25"/>
  <c r="J449" i="25"/>
  <c r="J448" i="25"/>
  <c r="M448" i="25" s="1"/>
  <c r="J447" i="25"/>
  <c r="M447" i="25" s="1"/>
  <c r="M446" i="25"/>
  <c r="J446" i="25"/>
  <c r="J445" i="25"/>
  <c r="M445" i="25" s="1"/>
  <c r="J444" i="25"/>
  <c r="M444" i="25" s="1"/>
  <c r="J443" i="25"/>
  <c r="M443" i="25" s="1"/>
  <c r="M442" i="25"/>
  <c r="J442" i="25"/>
  <c r="M441" i="25"/>
  <c r="J441" i="25"/>
  <c r="J440" i="25"/>
  <c r="M440" i="25" s="1"/>
  <c r="J439" i="25"/>
  <c r="M439" i="25" s="1"/>
  <c r="M438" i="25"/>
  <c r="J438" i="25"/>
  <c r="M437" i="25"/>
  <c r="J437" i="25"/>
  <c r="J436" i="25"/>
  <c r="M436" i="25" s="1"/>
  <c r="J435" i="25"/>
  <c r="M435" i="25" s="1"/>
  <c r="J434" i="25"/>
  <c r="M434" i="25" s="1"/>
  <c r="M433" i="25"/>
  <c r="J433" i="25"/>
  <c r="J432" i="25"/>
  <c r="M432" i="25" s="1"/>
  <c r="J431" i="25"/>
  <c r="M431" i="25" s="1"/>
  <c r="M430" i="25"/>
  <c r="J430" i="25"/>
  <c r="J429" i="25"/>
  <c r="M429" i="25" s="1"/>
  <c r="J428" i="25"/>
  <c r="M428" i="25" s="1"/>
  <c r="J427" i="25"/>
  <c r="M427" i="25" s="1"/>
  <c r="M426" i="25"/>
  <c r="J426" i="25"/>
  <c r="M425" i="25"/>
  <c r="J425" i="25"/>
  <c r="J424" i="25"/>
  <c r="M424" i="25" s="1"/>
  <c r="J423" i="25"/>
  <c r="M423" i="25" s="1"/>
  <c r="M422" i="25"/>
  <c r="J422" i="25"/>
  <c r="M421" i="25"/>
  <c r="J421" i="25"/>
  <c r="J420" i="25"/>
  <c r="M420" i="25" s="1"/>
  <c r="J419" i="25"/>
  <c r="M419" i="25" s="1"/>
  <c r="J418" i="25"/>
  <c r="M418" i="25" s="1"/>
  <c r="M417" i="25"/>
  <c r="J417" i="25"/>
  <c r="J416" i="25"/>
  <c r="M416" i="25" s="1"/>
  <c r="J415" i="25"/>
  <c r="M415" i="25" s="1"/>
  <c r="M414" i="25"/>
  <c r="J414" i="25"/>
  <c r="J413" i="25"/>
  <c r="M413" i="25" s="1"/>
  <c r="J412" i="25"/>
  <c r="M412" i="25" s="1"/>
  <c r="J411" i="25"/>
  <c r="M411" i="25" s="1"/>
  <c r="M410" i="25"/>
  <c r="J410" i="25"/>
  <c r="M409" i="25"/>
  <c r="J409" i="25"/>
  <c r="J408" i="25"/>
  <c r="M408" i="25" s="1"/>
  <c r="J407" i="25"/>
  <c r="M407" i="25" s="1"/>
  <c r="M406" i="25"/>
  <c r="J406" i="25"/>
  <c r="M405" i="25"/>
  <c r="J405" i="25"/>
  <c r="J404" i="25"/>
  <c r="M404" i="25" s="1"/>
  <c r="J403" i="25"/>
  <c r="M403" i="25" s="1"/>
  <c r="J402" i="25"/>
  <c r="M402" i="25" s="1"/>
  <c r="M401" i="25"/>
  <c r="J401" i="25"/>
  <c r="J400" i="25"/>
  <c r="M400" i="25" s="1"/>
  <c r="J399" i="25"/>
  <c r="M399" i="25" s="1"/>
  <c r="M398" i="25"/>
  <c r="J398" i="25"/>
  <c r="J397" i="25"/>
  <c r="M397" i="25" s="1"/>
  <c r="J396" i="25"/>
  <c r="M396" i="25" s="1"/>
  <c r="J395" i="25"/>
  <c r="M395" i="25" s="1"/>
  <c r="M394" i="25"/>
  <c r="J394" i="25"/>
  <c r="M393" i="25"/>
  <c r="J393" i="25"/>
  <c r="J392" i="25"/>
  <c r="M392" i="25" s="1"/>
  <c r="J391" i="25"/>
  <c r="M391" i="25" s="1"/>
  <c r="J390" i="25"/>
  <c r="M390" i="25" s="1"/>
  <c r="J389" i="25"/>
  <c r="M389" i="25" s="1"/>
  <c r="J388" i="25"/>
  <c r="M388" i="25" s="1"/>
  <c r="J387" i="25"/>
  <c r="M387" i="25" s="1"/>
  <c r="M386" i="25"/>
  <c r="J386" i="25"/>
  <c r="J385" i="25"/>
  <c r="M385" i="25" s="1"/>
  <c r="J384" i="25"/>
  <c r="M384" i="25" s="1"/>
  <c r="J383" i="25"/>
  <c r="M383" i="25" s="1"/>
  <c r="J382" i="25"/>
  <c r="M382" i="25" s="1"/>
  <c r="M381" i="25"/>
  <c r="J381" i="25"/>
  <c r="J380" i="25"/>
  <c r="M380" i="25" s="1"/>
  <c r="J379" i="25"/>
  <c r="M379" i="25" s="1"/>
  <c r="M378" i="25"/>
  <c r="J378" i="25"/>
  <c r="M377" i="25"/>
  <c r="J377" i="25"/>
  <c r="J376" i="25"/>
  <c r="M376" i="25" s="1"/>
  <c r="J375" i="25"/>
  <c r="M375" i="25" s="1"/>
  <c r="J374" i="25"/>
  <c r="M374" i="25" s="1"/>
  <c r="J373" i="25"/>
  <c r="M373" i="25" s="1"/>
  <c r="J372" i="25"/>
  <c r="M372" i="25" s="1"/>
  <c r="J371" i="25"/>
  <c r="M371" i="25" s="1"/>
  <c r="J370" i="25"/>
  <c r="M369" i="25"/>
  <c r="J369" i="25"/>
  <c r="J368" i="25"/>
  <c r="M368" i="25" s="1"/>
  <c r="J367" i="25"/>
  <c r="M367" i="25" s="1"/>
  <c r="J366" i="25"/>
  <c r="M366" i="25" s="1"/>
  <c r="M365" i="25"/>
  <c r="J365" i="25"/>
  <c r="J364" i="25"/>
  <c r="M364" i="25" s="1"/>
  <c r="M363" i="25"/>
  <c r="J363" i="25"/>
  <c r="J362" i="25"/>
  <c r="M362" i="25" s="1"/>
  <c r="M361" i="25"/>
  <c r="J361" i="25"/>
  <c r="J360" i="25"/>
  <c r="M360" i="25" s="1"/>
  <c r="J359" i="25"/>
  <c r="M359" i="25" s="1"/>
  <c r="J358" i="25"/>
  <c r="M358" i="25" s="1"/>
  <c r="J357" i="25"/>
  <c r="M357" i="25" s="1"/>
  <c r="J356" i="25"/>
  <c r="M356" i="25" s="1"/>
  <c r="J355" i="25"/>
  <c r="M355" i="25" s="1"/>
  <c r="J354" i="25"/>
  <c r="M354" i="25" s="1"/>
  <c r="M353" i="25"/>
  <c r="J353" i="25"/>
  <c r="J352" i="25"/>
  <c r="M352" i="25" s="1"/>
  <c r="J351" i="25"/>
  <c r="M351" i="25" s="1"/>
  <c r="J350" i="25"/>
  <c r="M350" i="25" s="1"/>
  <c r="M349" i="25"/>
  <c r="J349" i="25"/>
  <c r="J348" i="25"/>
  <c r="M348" i="25" s="1"/>
  <c r="M347" i="25"/>
  <c r="J347" i="25"/>
  <c r="J346" i="25"/>
  <c r="M346" i="25" s="1"/>
  <c r="M345" i="25"/>
  <c r="J345" i="25"/>
  <c r="J344" i="25"/>
  <c r="M344" i="25" s="1"/>
  <c r="J343" i="25"/>
  <c r="M343" i="25" s="1"/>
  <c r="J342" i="25"/>
  <c r="M342" i="25" s="1"/>
  <c r="J341" i="25"/>
  <c r="M341" i="25" s="1"/>
  <c r="J340" i="25"/>
  <c r="M340" i="25" s="1"/>
  <c r="J339" i="25"/>
  <c r="M339" i="25" s="1"/>
  <c r="J338" i="25"/>
  <c r="M338" i="25" s="1"/>
  <c r="M337" i="25"/>
  <c r="J337" i="25"/>
  <c r="J336" i="25"/>
  <c r="M336" i="25" s="1"/>
  <c r="J335" i="25"/>
  <c r="M335" i="25" s="1"/>
  <c r="J334" i="25"/>
  <c r="M334" i="25" s="1"/>
  <c r="M333" i="25"/>
  <c r="J333" i="25"/>
  <c r="J332" i="25"/>
  <c r="M332" i="25" s="1"/>
  <c r="M331" i="25"/>
  <c r="J331" i="25"/>
  <c r="J330" i="25"/>
  <c r="M330" i="25" s="1"/>
  <c r="M329" i="25"/>
  <c r="J329" i="25"/>
  <c r="J328" i="25"/>
  <c r="M328" i="25" s="1"/>
  <c r="J327" i="25"/>
  <c r="M327" i="25" s="1"/>
  <c r="J326" i="25"/>
  <c r="M326" i="25" s="1"/>
  <c r="J325" i="25"/>
  <c r="M325" i="25" s="1"/>
  <c r="J324" i="25"/>
  <c r="M324" i="25" s="1"/>
  <c r="J323" i="25"/>
  <c r="M323" i="25" s="1"/>
  <c r="J322" i="25"/>
  <c r="M322" i="25" s="1"/>
  <c r="M321" i="25"/>
  <c r="J321" i="25"/>
  <c r="J320" i="25"/>
  <c r="M320" i="25" s="1"/>
  <c r="J319" i="25"/>
  <c r="M319" i="25" s="1"/>
  <c r="J318" i="25"/>
  <c r="M318" i="25" s="1"/>
  <c r="M317" i="25"/>
  <c r="J317" i="25"/>
  <c r="J316" i="25"/>
  <c r="M316" i="25" s="1"/>
  <c r="M315" i="25"/>
  <c r="J315" i="25"/>
  <c r="J314" i="25"/>
  <c r="M314" i="25" s="1"/>
  <c r="M313" i="25"/>
  <c r="J313" i="25"/>
  <c r="J312" i="25"/>
  <c r="M312" i="25" s="1"/>
  <c r="J311" i="25"/>
  <c r="M311" i="25" s="1"/>
  <c r="J310" i="25"/>
  <c r="M310" i="25" s="1"/>
  <c r="J309" i="25"/>
  <c r="M309" i="25" s="1"/>
  <c r="J308" i="25"/>
  <c r="M308" i="25" s="1"/>
  <c r="J307" i="25"/>
  <c r="M307" i="25" s="1"/>
  <c r="J306" i="25"/>
  <c r="M306" i="25" s="1"/>
  <c r="M305" i="25"/>
  <c r="J305" i="25"/>
  <c r="J304" i="25"/>
  <c r="M304" i="25" s="1"/>
  <c r="J303" i="25"/>
  <c r="M303" i="25" s="1"/>
  <c r="J302" i="25"/>
  <c r="M302" i="25" s="1"/>
  <c r="M301" i="25"/>
  <c r="J301" i="25"/>
  <c r="J300" i="25"/>
  <c r="M300" i="25" s="1"/>
  <c r="M299" i="25"/>
  <c r="J299" i="25"/>
  <c r="J298" i="25"/>
  <c r="M298" i="25" s="1"/>
  <c r="M297" i="25"/>
  <c r="J297" i="25"/>
  <c r="J296" i="25"/>
  <c r="M296" i="25" s="1"/>
  <c r="J295" i="25"/>
  <c r="M295" i="25" s="1"/>
  <c r="J294" i="25"/>
  <c r="M294" i="25" s="1"/>
  <c r="J293" i="25"/>
  <c r="M293" i="25" s="1"/>
  <c r="J292" i="25"/>
  <c r="M292" i="25" s="1"/>
  <c r="J291" i="25"/>
  <c r="M291" i="25" s="1"/>
  <c r="J290" i="25"/>
  <c r="M290" i="25" s="1"/>
  <c r="M289" i="25"/>
  <c r="J289" i="25"/>
  <c r="J288" i="25"/>
  <c r="M288" i="25" s="1"/>
  <c r="J287" i="25"/>
  <c r="M287" i="25" s="1"/>
  <c r="J286" i="25"/>
  <c r="M286" i="25" s="1"/>
  <c r="M285" i="25"/>
  <c r="J285" i="25"/>
  <c r="J284" i="25"/>
  <c r="M284" i="25" s="1"/>
  <c r="M283" i="25"/>
  <c r="J283" i="25"/>
  <c r="J282" i="25"/>
  <c r="M282" i="25" s="1"/>
  <c r="M281" i="25"/>
  <c r="J281" i="25"/>
  <c r="J280" i="25"/>
  <c r="M280" i="25" s="1"/>
  <c r="J279" i="25"/>
  <c r="M279" i="25" s="1"/>
  <c r="J278" i="25"/>
  <c r="M278" i="25" s="1"/>
  <c r="J277" i="25"/>
  <c r="M277" i="25" s="1"/>
  <c r="J276" i="25"/>
  <c r="M276" i="25" s="1"/>
  <c r="J275" i="25"/>
  <c r="M275" i="25" s="1"/>
  <c r="J274" i="25"/>
  <c r="M274" i="25" s="1"/>
  <c r="J273" i="25"/>
  <c r="M273" i="25" s="1"/>
  <c r="J272" i="25"/>
  <c r="M272" i="25" s="1"/>
  <c r="J271" i="25"/>
  <c r="M271" i="25" s="1"/>
  <c r="J270" i="25"/>
  <c r="M270" i="25" s="1"/>
  <c r="J269" i="25"/>
  <c r="M269" i="25" s="1"/>
  <c r="J268" i="25"/>
  <c r="M268" i="25" s="1"/>
  <c r="J267" i="25"/>
  <c r="M267" i="25" s="1"/>
  <c r="J266" i="25"/>
  <c r="M266" i="25" s="1"/>
  <c r="J265" i="25"/>
  <c r="M265" i="25" s="1"/>
  <c r="J264" i="25"/>
  <c r="M264" i="25" s="1"/>
  <c r="M263" i="25"/>
  <c r="J263" i="25"/>
  <c r="J262" i="25"/>
  <c r="M262" i="25" s="1"/>
  <c r="J261" i="25"/>
  <c r="M261" i="25" s="1"/>
  <c r="J260" i="25"/>
  <c r="M260" i="25" s="1"/>
  <c r="M259" i="25"/>
  <c r="J259" i="25"/>
  <c r="J258" i="25"/>
  <c r="M258" i="25" s="1"/>
  <c r="J257" i="25"/>
  <c r="M257" i="25" s="1"/>
  <c r="M256" i="25"/>
  <c r="J256" i="25"/>
  <c r="M255" i="25"/>
  <c r="J255" i="25"/>
  <c r="J254" i="25"/>
  <c r="M254" i="25" s="1"/>
  <c r="J253" i="25"/>
  <c r="M253" i="25" s="1"/>
  <c r="J252" i="25"/>
  <c r="M252" i="25" s="1"/>
  <c r="J251" i="25"/>
  <c r="M251" i="25" s="1"/>
  <c r="M250" i="25"/>
  <c r="M249" i="25"/>
  <c r="M248" i="25"/>
  <c r="M247" i="25"/>
  <c r="M246" i="25"/>
  <c r="M245" i="25"/>
  <c r="M244" i="25"/>
  <c r="M243" i="25"/>
  <c r="M242" i="25"/>
  <c r="M241" i="25"/>
  <c r="M240" i="25"/>
  <c r="M239" i="25"/>
  <c r="O238" i="25"/>
  <c r="N238" i="25"/>
  <c r="O237" i="25"/>
  <c r="N237" i="25"/>
  <c r="O236" i="25"/>
  <c r="N236" i="25"/>
  <c r="O235" i="25"/>
  <c r="N235" i="25"/>
  <c r="O234" i="25"/>
  <c r="N234" i="25"/>
  <c r="O233" i="25"/>
  <c r="N233" i="25"/>
  <c r="O232" i="25"/>
  <c r="N232" i="25"/>
  <c r="O231" i="25"/>
  <c r="N231" i="25"/>
  <c r="O230" i="25"/>
  <c r="N230" i="25"/>
  <c r="O229" i="25"/>
  <c r="N229" i="25"/>
  <c r="O228" i="25"/>
  <c r="N228" i="25"/>
  <c r="O227" i="25"/>
  <c r="N227" i="25"/>
  <c r="M226" i="25"/>
  <c r="M225" i="25"/>
  <c r="M224" i="25"/>
  <c r="M223" i="25"/>
  <c r="M222" i="25"/>
  <c r="M221" i="25"/>
  <c r="M220" i="25"/>
  <c r="M219" i="25"/>
  <c r="M218" i="25"/>
  <c r="M217" i="25"/>
  <c r="M216" i="25"/>
  <c r="M215" i="25"/>
  <c r="M214" i="25"/>
  <c r="M213" i="25"/>
  <c r="M212" i="25"/>
  <c r="M211" i="25"/>
  <c r="M210" i="25"/>
  <c r="M209" i="25"/>
  <c r="M208" i="25"/>
  <c r="M207" i="25"/>
  <c r="M206" i="25"/>
  <c r="M205" i="25"/>
  <c r="M204" i="25"/>
  <c r="M203" i="25"/>
  <c r="O202" i="25"/>
  <c r="N202" i="25"/>
  <c r="O201" i="25"/>
  <c r="N201" i="25"/>
  <c r="O200" i="25"/>
  <c r="N200" i="25"/>
  <c r="O199" i="25"/>
  <c r="N199" i="25"/>
  <c r="O198" i="25"/>
  <c r="N198" i="25"/>
  <c r="O197" i="25"/>
  <c r="N197" i="25"/>
  <c r="O196" i="25"/>
  <c r="N196" i="25"/>
  <c r="O195" i="25"/>
  <c r="N195" i="25"/>
  <c r="O194" i="25"/>
  <c r="N194" i="25"/>
  <c r="O193" i="25"/>
  <c r="N193" i="25"/>
  <c r="O192" i="25"/>
  <c r="N192" i="25"/>
  <c r="O191" i="25"/>
  <c r="N191" i="25"/>
  <c r="M190" i="25"/>
  <c r="M189" i="25"/>
  <c r="M188" i="25"/>
  <c r="M187" i="25"/>
  <c r="M186" i="25"/>
  <c r="M185" i="25"/>
  <c r="M184" i="25"/>
  <c r="M183" i="25"/>
  <c r="M182" i="25"/>
  <c r="M181" i="25"/>
  <c r="M180" i="25"/>
  <c r="M179" i="25"/>
  <c r="M178" i="25"/>
  <c r="J178" i="25"/>
  <c r="J177" i="25"/>
  <c r="M177" i="25" s="1"/>
  <c r="M176" i="25"/>
  <c r="J176" i="25"/>
  <c r="M175" i="25"/>
  <c r="J175" i="25"/>
  <c r="M174" i="25"/>
  <c r="J174" i="25"/>
  <c r="J173" i="25"/>
  <c r="M173" i="25" s="1"/>
  <c r="J172" i="25"/>
  <c r="M172" i="25" s="1"/>
  <c r="J171" i="25"/>
  <c r="M171" i="25" s="1"/>
  <c r="J170" i="25"/>
  <c r="M170" i="25" s="1"/>
  <c r="J169" i="25"/>
  <c r="M169" i="25" s="1"/>
  <c r="J168" i="25"/>
  <c r="M168" i="25" s="1"/>
  <c r="M167" i="25"/>
  <c r="J167" i="25"/>
  <c r="M166" i="25"/>
  <c r="J166" i="25"/>
  <c r="J165" i="25"/>
  <c r="M165" i="25" s="1"/>
  <c r="M164" i="25"/>
  <c r="J164" i="25"/>
  <c r="O163" i="25"/>
  <c r="L163" i="25"/>
  <c r="K163" i="25"/>
  <c r="N163" i="25" s="1"/>
  <c r="L162" i="25"/>
  <c r="O162" i="25" s="1"/>
  <c r="K162" i="25"/>
  <c r="N162" i="25" s="1"/>
  <c r="L161" i="25"/>
  <c r="O161" i="25" s="1"/>
  <c r="K161" i="25"/>
  <c r="N161" i="25" s="1"/>
  <c r="L160" i="25"/>
  <c r="O160" i="25" s="1"/>
  <c r="K160" i="25"/>
  <c r="N160" i="25" s="1"/>
  <c r="O159" i="25"/>
  <c r="L159" i="25"/>
  <c r="K159" i="25"/>
  <c r="N159" i="25" s="1"/>
  <c r="L158" i="25"/>
  <c r="O158" i="25" s="1"/>
  <c r="K158" i="25"/>
  <c r="N158" i="25" s="1"/>
  <c r="O157" i="25"/>
  <c r="L157" i="25"/>
  <c r="K157" i="25"/>
  <c r="N157" i="25" s="1"/>
  <c r="L156" i="25"/>
  <c r="O156" i="25" s="1"/>
  <c r="K156" i="25"/>
  <c r="N156" i="25" s="1"/>
  <c r="N155" i="25"/>
  <c r="L155" i="25"/>
  <c r="O155" i="25" s="1"/>
  <c r="K155" i="25"/>
  <c r="L154" i="25"/>
  <c r="O154" i="25" s="1"/>
  <c r="K154" i="25"/>
  <c r="N154" i="25" s="1"/>
  <c r="O153" i="25"/>
  <c r="L153" i="25"/>
  <c r="K153" i="25"/>
  <c r="N153" i="25" s="1"/>
  <c r="N152" i="25"/>
  <c r="L152" i="25"/>
  <c r="O152" i="25" s="1"/>
  <c r="K152" i="25"/>
  <c r="O151" i="25"/>
  <c r="L151" i="25"/>
  <c r="K151" i="25"/>
  <c r="N151" i="25" s="1"/>
  <c r="L150" i="25"/>
  <c r="O150" i="25" s="1"/>
  <c r="K150" i="25"/>
  <c r="N150" i="25" s="1"/>
  <c r="L149" i="25"/>
  <c r="O149" i="25" s="1"/>
  <c r="K149" i="25"/>
  <c r="N149" i="25" s="1"/>
  <c r="L148" i="25"/>
  <c r="O148" i="25" s="1"/>
  <c r="K148" i="25"/>
  <c r="N148" i="25" s="1"/>
  <c r="O147" i="25"/>
  <c r="L147" i="25"/>
  <c r="K147" i="25"/>
  <c r="N147" i="25" s="1"/>
  <c r="L146" i="25"/>
  <c r="O146" i="25" s="1"/>
  <c r="K146" i="25"/>
  <c r="N146" i="25" s="1"/>
  <c r="O145" i="25"/>
  <c r="L145" i="25"/>
  <c r="K145" i="25"/>
  <c r="N145" i="25" s="1"/>
  <c r="N144" i="25"/>
  <c r="L144" i="25"/>
  <c r="O144" i="25" s="1"/>
  <c r="K144" i="25"/>
  <c r="O143" i="25"/>
  <c r="L143" i="25"/>
  <c r="K143" i="25"/>
  <c r="N143" i="25" s="1"/>
  <c r="L142" i="25"/>
  <c r="O142" i="25" s="1"/>
  <c r="K142" i="25"/>
  <c r="N142" i="25" s="1"/>
  <c r="L141" i="25"/>
  <c r="O141" i="25" s="1"/>
  <c r="K141" i="25"/>
  <c r="N141" i="25" s="1"/>
  <c r="J140" i="25"/>
  <c r="M140" i="25" s="1"/>
  <c r="M139" i="25"/>
  <c r="J139" i="25"/>
  <c r="J138" i="25"/>
  <c r="M138" i="25" s="1"/>
  <c r="J137" i="25"/>
  <c r="M137" i="25" s="1"/>
  <c r="J136" i="25"/>
  <c r="M136" i="25" s="1"/>
  <c r="J135" i="25"/>
  <c r="M135" i="25" s="1"/>
  <c r="J134" i="25"/>
  <c r="M134" i="25" s="1"/>
  <c r="J133" i="25"/>
  <c r="M133" i="25" s="1"/>
  <c r="J132" i="25"/>
  <c r="M132" i="25" s="1"/>
  <c r="J131" i="25"/>
  <c r="M131" i="25" s="1"/>
  <c r="J130" i="25"/>
  <c r="M130" i="25" s="1"/>
  <c r="J129" i="25"/>
  <c r="M129" i="25" s="1"/>
  <c r="J128" i="25"/>
  <c r="M128" i="25" s="1"/>
  <c r="L127" i="25"/>
  <c r="O127" i="25" s="1"/>
  <c r="J127" i="25"/>
  <c r="M127" i="25" s="1"/>
  <c r="L126" i="25"/>
  <c r="O126" i="25" s="1"/>
  <c r="J126" i="25"/>
  <c r="M126" i="25" s="1"/>
  <c r="L125" i="25"/>
  <c r="O125" i="25" s="1"/>
  <c r="J125" i="25"/>
  <c r="M125" i="25" s="1"/>
  <c r="O124" i="25"/>
  <c r="L124" i="25"/>
  <c r="J124" i="25"/>
  <c r="M124" i="25" s="1"/>
  <c r="L123" i="25"/>
  <c r="O123" i="25" s="1"/>
  <c r="J123" i="25"/>
  <c r="M123" i="25" s="1"/>
  <c r="L122" i="25"/>
  <c r="O122" i="25" s="1"/>
  <c r="J122" i="25"/>
  <c r="M122" i="25" s="1"/>
  <c r="L121" i="25"/>
  <c r="O121" i="25" s="1"/>
  <c r="J121" i="25"/>
  <c r="M121" i="25" s="1"/>
  <c r="O120" i="25"/>
  <c r="L120" i="25"/>
  <c r="J120" i="25"/>
  <c r="M120" i="25" s="1"/>
  <c r="M119" i="25"/>
  <c r="L119" i="25"/>
  <c r="O119" i="25" s="1"/>
  <c r="J119" i="25"/>
  <c r="M118" i="25"/>
  <c r="L118" i="25"/>
  <c r="O118" i="25" s="1"/>
  <c r="J118" i="25"/>
  <c r="L117" i="25"/>
  <c r="O117" i="25" s="1"/>
  <c r="J117" i="25"/>
  <c r="M117" i="25" s="1"/>
  <c r="L116" i="25"/>
  <c r="O116" i="25" s="1"/>
  <c r="J116" i="25"/>
  <c r="M116" i="25" s="1"/>
  <c r="O115" i="25"/>
  <c r="L115" i="25"/>
  <c r="J115" i="25"/>
  <c r="M115" i="25" s="1"/>
  <c r="L114" i="25"/>
  <c r="O114" i="25" s="1"/>
  <c r="J114" i="25"/>
  <c r="M114" i="25" s="1"/>
  <c r="L113" i="25"/>
  <c r="O113" i="25" s="1"/>
  <c r="J113" i="25"/>
  <c r="M113" i="25" s="1"/>
  <c r="L112" i="25"/>
  <c r="O112" i="25" s="1"/>
  <c r="J112" i="25"/>
  <c r="M112" i="25" s="1"/>
  <c r="M111" i="25"/>
  <c r="L111" i="25"/>
  <c r="O111" i="25" s="1"/>
  <c r="J111" i="25"/>
  <c r="M110" i="25"/>
  <c r="L110" i="25"/>
  <c r="O110" i="25" s="1"/>
  <c r="J110" i="25"/>
  <c r="L109" i="25"/>
  <c r="O109" i="25" s="1"/>
  <c r="J109" i="25"/>
  <c r="M109" i="25" s="1"/>
  <c r="L108" i="25"/>
  <c r="O108" i="25" s="1"/>
  <c r="J108" i="25"/>
  <c r="M108" i="25" s="1"/>
  <c r="O107" i="25"/>
  <c r="L107" i="25"/>
  <c r="J107" i="25"/>
  <c r="M107" i="25" s="1"/>
  <c r="L106" i="25"/>
  <c r="O106" i="25" s="1"/>
  <c r="J106" i="25"/>
  <c r="M106" i="25" s="1"/>
  <c r="L105" i="25"/>
  <c r="O105" i="25" s="1"/>
  <c r="J105" i="25"/>
  <c r="M105" i="25" s="1"/>
  <c r="L104" i="25"/>
  <c r="O104" i="25" s="1"/>
  <c r="J104" i="25"/>
  <c r="M104" i="25" s="1"/>
  <c r="N103" i="25"/>
  <c r="L103" i="25"/>
  <c r="O103" i="25" s="1"/>
  <c r="K103" i="25"/>
  <c r="L102" i="25"/>
  <c r="O102" i="25" s="1"/>
  <c r="K102" i="25"/>
  <c r="N102" i="25" s="1"/>
  <c r="N101" i="25"/>
  <c r="L101" i="25"/>
  <c r="O101" i="25" s="1"/>
  <c r="K101" i="25"/>
  <c r="L100" i="25"/>
  <c r="O100" i="25" s="1"/>
  <c r="K100" i="25"/>
  <c r="N100" i="25" s="1"/>
  <c r="O99" i="25"/>
  <c r="L99" i="25"/>
  <c r="K99" i="25"/>
  <c r="N99" i="25" s="1"/>
  <c r="L98" i="25"/>
  <c r="O98" i="25" s="1"/>
  <c r="K98" i="25"/>
  <c r="N98" i="25" s="1"/>
  <c r="L97" i="25"/>
  <c r="O97" i="25" s="1"/>
  <c r="K97" i="25"/>
  <c r="N97" i="25" s="1"/>
  <c r="L96" i="25"/>
  <c r="O96" i="25" s="1"/>
  <c r="K96" i="25"/>
  <c r="N96" i="25" s="1"/>
  <c r="N95" i="25"/>
  <c r="L95" i="25"/>
  <c r="O95" i="25" s="1"/>
  <c r="K95" i="25"/>
  <c r="L94" i="25"/>
  <c r="O94" i="25" s="1"/>
  <c r="K94" i="25"/>
  <c r="N94" i="25" s="1"/>
  <c r="N93" i="25"/>
  <c r="L93" i="25"/>
  <c r="O93" i="25" s="1"/>
  <c r="K93" i="25"/>
  <c r="L92" i="25"/>
  <c r="O92" i="25" s="1"/>
  <c r="K92" i="25"/>
  <c r="N92" i="25" s="1"/>
  <c r="O91" i="25"/>
  <c r="L91" i="25"/>
  <c r="K91" i="25"/>
  <c r="N91" i="25" s="1"/>
  <c r="L90" i="25"/>
  <c r="O90" i="25" s="1"/>
  <c r="K90" i="25"/>
  <c r="N90" i="25" s="1"/>
  <c r="L89" i="25"/>
  <c r="O89" i="25" s="1"/>
  <c r="K89" i="25"/>
  <c r="N89" i="25" s="1"/>
  <c r="L88" i="25"/>
  <c r="O88" i="25" s="1"/>
  <c r="K88" i="25"/>
  <c r="N88" i="25" s="1"/>
  <c r="N87" i="25"/>
  <c r="L87" i="25"/>
  <c r="O87" i="25" s="1"/>
  <c r="K87" i="25"/>
  <c r="L86" i="25"/>
  <c r="O86" i="25" s="1"/>
  <c r="K86" i="25"/>
  <c r="N86" i="25" s="1"/>
  <c r="N85" i="25"/>
  <c r="L85" i="25"/>
  <c r="O85" i="25" s="1"/>
  <c r="K85" i="25"/>
  <c r="L84" i="25"/>
  <c r="O84" i="25" s="1"/>
  <c r="K84" i="25"/>
  <c r="N84" i="25" s="1"/>
  <c r="O83" i="25"/>
  <c r="L83" i="25"/>
  <c r="K83" i="25"/>
  <c r="N83" i="25" s="1"/>
  <c r="L82" i="25"/>
  <c r="O82" i="25" s="1"/>
  <c r="K82" i="25"/>
  <c r="N82" i="25" s="1"/>
  <c r="L81" i="25"/>
  <c r="O81" i="25" s="1"/>
  <c r="K81" i="25"/>
  <c r="N81" i="25" s="1"/>
  <c r="L80" i="25"/>
  <c r="O80" i="25" s="1"/>
  <c r="K80" i="25"/>
  <c r="N80" i="25" s="1"/>
  <c r="M79" i="25"/>
  <c r="L79" i="25"/>
  <c r="O79" i="25" s="1"/>
  <c r="J79" i="25"/>
  <c r="M78" i="25"/>
  <c r="L78" i="25"/>
  <c r="O78" i="25" s="1"/>
  <c r="J78" i="25"/>
  <c r="L77" i="25"/>
  <c r="O77" i="25" s="1"/>
  <c r="J77" i="25"/>
  <c r="M77" i="25" s="1"/>
  <c r="L76" i="25"/>
  <c r="O76" i="25" s="1"/>
  <c r="J76" i="25"/>
  <c r="M76" i="25" s="1"/>
  <c r="O75" i="25"/>
  <c r="L75" i="25"/>
  <c r="J75" i="25"/>
  <c r="M75" i="25" s="1"/>
  <c r="L74" i="25"/>
  <c r="O74" i="25" s="1"/>
  <c r="J74" i="25"/>
  <c r="M74" i="25" s="1"/>
  <c r="L73" i="25"/>
  <c r="O73" i="25" s="1"/>
  <c r="J73" i="25"/>
  <c r="M73" i="25" s="1"/>
  <c r="O72" i="25"/>
  <c r="L72" i="25"/>
  <c r="J72" i="25"/>
  <c r="M72" i="25" s="1"/>
  <c r="L71" i="25"/>
  <c r="O71" i="25" s="1"/>
  <c r="J71" i="25"/>
  <c r="M71" i="25" s="1"/>
  <c r="L70" i="25"/>
  <c r="O70" i="25" s="1"/>
  <c r="J70" i="25"/>
  <c r="M70" i="25" s="1"/>
  <c r="L69" i="25"/>
  <c r="O69" i="25" s="1"/>
  <c r="J69" i="25"/>
  <c r="M69" i="25" s="1"/>
  <c r="L68" i="25"/>
  <c r="O68" i="25" s="1"/>
  <c r="J68" i="25"/>
  <c r="M68" i="25" s="1"/>
  <c r="L67" i="25"/>
  <c r="O67" i="25" s="1"/>
  <c r="J67" i="25"/>
  <c r="M67" i="25" s="1"/>
  <c r="M66" i="25"/>
  <c r="L66" i="25"/>
  <c r="O66" i="25" s="1"/>
  <c r="J66" i="25"/>
  <c r="L65" i="25"/>
  <c r="O65" i="25" s="1"/>
  <c r="J65" i="25"/>
  <c r="M65" i="25" s="1"/>
  <c r="L64" i="25"/>
  <c r="O64" i="25" s="1"/>
  <c r="J64" i="25"/>
  <c r="M64" i="25" s="1"/>
  <c r="M63" i="25"/>
  <c r="L63" i="25"/>
  <c r="O63" i="25" s="1"/>
  <c r="J63" i="25"/>
  <c r="M62" i="25"/>
  <c r="L62" i="25"/>
  <c r="O62" i="25" s="1"/>
  <c r="J62" i="25"/>
  <c r="L61" i="25"/>
  <c r="O61" i="25" s="1"/>
  <c r="J61" i="25"/>
  <c r="M61" i="25" s="1"/>
  <c r="O60" i="25"/>
  <c r="L60" i="25"/>
  <c r="J60" i="25"/>
  <c r="M60" i="25" s="1"/>
  <c r="O59" i="25"/>
  <c r="L59" i="25"/>
  <c r="J59" i="25"/>
  <c r="M59" i="25" s="1"/>
  <c r="L58" i="25"/>
  <c r="O58" i="25" s="1"/>
  <c r="J58" i="25"/>
  <c r="M58" i="25" s="1"/>
  <c r="L57" i="25"/>
  <c r="O57" i="25" s="1"/>
  <c r="J57" i="25"/>
  <c r="M57" i="25" s="1"/>
  <c r="O56" i="25"/>
  <c r="L56" i="25"/>
  <c r="J56" i="25"/>
  <c r="M56" i="25" s="1"/>
  <c r="J55" i="25"/>
  <c r="M55" i="25" s="1"/>
  <c r="J54" i="25"/>
  <c r="M54" i="25" s="1"/>
  <c r="J53" i="25"/>
  <c r="M53" i="25" s="1"/>
  <c r="J52" i="25"/>
  <c r="M52" i="25" s="1"/>
  <c r="J51" i="25"/>
  <c r="M51" i="25" s="1"/>
  <c r="J50" i="25"/>
  <c r="M50" i="25" s="1"/>
  <c r="J49" i="25"/>
  <c r="M49" i="25" s="1"/>
  <c r="J48" i="25"/>
  <c r="M48" i="25" s="1"/>
  <c r="J47" i="25"/>
  <c r="M47" i="25" s="1"/>
  <c r="J46" i="25"/>
  <c r="M46" i="25" s="1"/>
  <c r="J45" i="25"/>
  <c r="M45" i="25" s="1"/>
  <c r="J44" i="25"/>
  <c r="M44" i="25" s="1"/>
  <c r="J43" i="25"/>
  <c r="M43" i="25" s="1"/>
  <c r="J42" i="25"/>
  <c r="M42" i="25" s="1"/>
  <c r="J41" i="25"/>
  <c r="M41" i="25" s="1"/>
  <c r="J40" i="25"/>
  <c r="M40" i="25" s="1"/>
  <c r="J39" i="25"/>
  <c r="M39" i="25" s="1"/>
  <c r="J38" i="25"/>
  <c r="M38" i="25" s="1"/>
  <c r="L37" i="25"/>
  <c r="O37" i="25" s="1"/>
  <c r="K37" i="25"/>
  <c r="N37" i="25" s="1"/>
  <c r="N36" i="25"/>
  <c r="L36" i="25"/>
  <c r="O36" i="25" s="1"/>
  <c r="K36" i="25"/>
  <c r="L35" i="25"/>
  <c r="O35" i="25" s="1"/>
  <c r="K35" i="25"/>
  <c r="N35" i="25" s="1"/>
  <c r="N34" i="25"/>
  <c r="L34" i="25"/>
  <c r="O34" i="25" s="1"/>
  <c r="K34" i="25"/>
  <c r="L33" i="25"/>
  <c r="O33" i="25" s="1"/>
  <c r="K33" i="25"/>
  <c r="N33" i="25" s="1"/>
  <c r="L32" i="25"/>
  <c r="O32" i="25" s="1"/>
  <c r="K32" i="25"/>
  <c r="N32" i="25" s="1"/>
  <c r="N31" i="25"/>
  <c r="L31" i="25"/>
  <c r="O31" i="25" s="1"/>
  <c r="K31" i="25"/>
  <c r="N30" i="25"/>
  <c r="L30" i="25"/>
  <c r="O30" i="25" s="1"/>
  <c r="K30" i="25"/>
  <c r="L29" i="25"/>
  <c r="O29" i="25" s="1"/>
  <c r="K29" i="25"/>
  <c r="N29" i="25" s="1"/>
  <c r="N28" i="25"/>
  <c r="L28" i="25"/>
  <c r="O28" i="25" s="1"/>
  <c r="K28" i="25"/>
  <c r="N27" i="25"/>
  <c r="L27" i="25"/>
  <c r="O27" i="25" s="1"/>
  <c r="K27" i="25"/>
  <c r="N26" i="25"/>
  <c r="L26" i="25"/>
  <c r="O26" i="25" s="1"/>
  <c r="K26" i="25"/>
  <c r="L25" i="25"/>
  <c r="O25" i="25" s="1"/>
  <c r="K25" i="25"/>
  <c r="N25" i="25" s="1"/>
  <c r="L24" i="25"/>
  <c r="O24" i="25" s="1"/>
  <c r="K24" i="25"/>
  <c r="N24" i="25" s="1"/>
  <c r="L23" i="25"/>
  <c r="O23" i="25" s="1"/>
  <c r="K23" i="25"/>
  <c r="N23" i="25" s="1"/>
  <c r="L22" i="25"/>
  <c r="O22" i="25" s="1"/>
  <c r="K22" i="25"/>
  <c r="N22" i="25" s="1"/>
  <c r="L21" i="25"/>
  <c r="O21" i="25" s="1"/>
  <c r="K21" i="25"/>
  <c r="N21" i="25" s="1"/>
  <c r="N20" i="25"/>
  <c r="L20" i="25"/>
  <c r="O20" i="25" s="1"/>
  <c r="K20" i="25"/>
  <c r="J19" i="25"/>
  <c r="M19" i="25" s="1"/>
  <c r="J18" i="25"/>
  <c r="M18" i="25" s="1"/>
  <c r="J17" i="25"/>
  <c r="M17" i="25" s="1"/>
  <c r="J16" i="25"/>
  <c r="M16" i="25" s="1"/>
  <c r="J15" i="25"/>
  <c r="M15" i="25" s="1"/>
  <c r="J14" i="25"/>
  <c r="M14" i="25" s="1"/>
  <c r="J13" i="25"/>
  <c r="M13" i="25" s="1"/>
  <c r="J12" i="25"/>
  <c r="M12" i="25" s="1"/>
  <c r="J11" i="25"/>
  <c r="M11" i="25" s="1"/>
  <c r="J10" i="25"/>
  <c r="M10" i="25" s="1"/>
  <c r="J9" i="25"/>
  <c r="M9" i="25" s="1"/>
  <c r="J8" i="25"/>
  <c r="M8" i="25" s="1"/>
  <c r="J7" i="25"/>
  <c r="M7" i="25" s="1"/>
  <c r="J6" i="25"/>
  <c r="M6" i="25" s="1"/>
  <c r="J5" i="25"/>
  <c r="M5" i="25" s="1"/>
  <c r="J4" i="25"/>
  <c r="M4" i="25" s="1"/>
  <c r="J3" i="25"/>
  <c r="M3" i="25" s="1"/>
  <c r="J2" i="25"/>
  <c r="X575" i="20"/>
  <c r="W575" i="20"/>
  <c r="X574" i="20"/>
  <c r="W574" i="20"/>
  <c r="X573" i="20"/>
  <c r="W573" i="20"/>
  <c r="X572" i="20"/>
  <c r="W572" i="20"/>
  <c r="X571" i="20"/>
  <c r="W571" i="20"/>
  <c r="X570" i="20"/>
  <c r="W570" i="20"/>
  <c r="X569" i="20"/>
  <c r="W569" i="20"/>
  <c r="X568" i="20"/>
  <c r="W568" i="20"/>
  <c r="X567" i="20"/>
  <c r="W567" i="20"/>
  <c r="X566" i="20"/>
  <c r="W566" i="20"/>
  <c r="X565" i="20"/>
  <c r="W565" i="20"/>
  <c r="X564" i="20"/>
  <c r="W564" i="20"/>
  <c r="X250" i="20"/>
  <c r="W250" i="20"/>
  <c r="X249" i="20"/>
  <c r="W249" i="20"/>
  <c r="X248" i="20"/>
  <c r="W248" i="20"/>
  <c r="X247" i="20"/>
  <c r="W247" i="20"/>
  <c r="X246" i="20"/>
  <c r="W246" i="20"/>
  <c r="X245" i="20"/>
  <c r="W245" i="20"/>
  <c r="X244" i="20"/>
  <c r="W244" i="20"/>
  <c r="X243" i="20"/>
  <c r="W243" i="20"/>
  <c r="X242" i="20"/>
  <c r="W242" i="20"/>
  <c r="X241" i="20"/>
  <c r="W241" i="20"/>
  <c r="X240" i="20"/>
  <c r="W240" i="20"/>
  <c r="X239" i="20"/>
  <c r="W239" i="20"/>
  <c r="V238" i="20"/>
  <c r="V237" i="20"/>
  <c r="V236" i="20"/>
  <c r="V235" i="20"/>
  <c r="V234" i="20"/>
  <c r="V233" i="20"/>
  <c r="V232" i="20"/>
  <c r="V231" i="20"/>
  <c r="AD230" i="21"/>
  <c r="X230" i="21"/>
  <c r="W230" i="21"/>
  <c r="V230" i="20"/>
  <c r="AD229" i="21"/>
  <c r="X229" i="21"/>
  <c r="W229" i="21"/>
  <c r="V229" i="20"/>
  <c r="AD228" i="21"/>
  <c r="X228" i="21"/>
  <c r="W228" i="21"/>
  <c r="V228" i="20"/>
  <c r="AD227" i="21"/>
  <c r="X227" i="21"/>
  <c r="W227" i="21"/>
  <c r="AC227" i="21" s="1"/>
  <c r="V227" i="20"/>
  <c r="AD226" i="21"/>
  <c r="X226" i="21"/>
  <c r="AC226" i="21" s="1"/>
  <c r="W226" i="21"/>
  <c r="X226" i="20"/>
  <c r="W226" i="20"/>
  <c r="AD225" i="21"/>
  <c r="X225" i="21"/>
  <c r="W225" i="21"/>
  <c r="AC225" i="21" s="1"/>
  <c r="X225" i="20"/>
  <c r="W225" i="20"/>
  <c r="AD224" i="21"/>
  <c r="X224" i="21"/>
  <c r="AC224" i="21" s="1"/>
  <c r="W224" i="21"/>
  <c r="X224" i="20"/>
  <c r="W224" i="20"/>
  <c r="AD223" i="21"/>
  <c r="X223" i="21"/>
  <c r="W223" i="21"/>
  <c r="X223" i="20"/>
  <c r="W223" i="20"/>
  <c r="AD222" i="21"/>
  <c r="X222" i="21"/>
  <c r="AC222" i="21" s="1"/>
  <c r="W222" i="21"/>
  <c r="X222" i="20"/>
  <c r="W222" i="20"/>
  <c r="AD221" i="21"/>
  <c r="X221" i="21"/>
  <c r="W221" i="21"/>
  <c r="AC221" i="21" s="1"/>
  <c r="X221" i="20"/>
  <c r="W221" i="20"/>
  <c r="AD220" i="21"/>
  <c r="X220" i="21"/>
  <c r="W220" i="21"/>
  <c r="X220" i="20"/>
  <c r="W220" i="20"/>
  <c r="AD219" i="21"/>
  <c r="AD11" i="25" s="1"/>
  <c r="X219" i="21"/>
  <c r="W219" i="21"/>
  <c r="AC219" i="21" s="1"/>
  <c r="X219" i="20"/>
  <c r="W219" i="20"/>
  <c r="X218" i="20"/>
  <c r="W218" i="20"/>
  <c r="X217" i="20"/>
  <c r="W217" i="20"/>
  <c r="X216" i="20"/>
  <c r="W216" i="20"/>
  <c r="X215" i="20"/>
  <c r="W215" i="20"/>
  <c r="X214" i="20"/>
  <c r="W214" i="20"/>
  <c r="X213" i="20"/>
  <c r="W213" i="20"/>
  <c r="X212" i="20"/>
  <c r="W212" i="20"/>
  <c r="X211" i="20"/>
  <c r="W211" i="20"/>
  <c r="X210" i="20"/>
  <c r="W210" i="20"/>
  <c r="X209" i="20"/>
  <c r="W209" i="20"/>
  <c r="X208" i="20"/>
  <c r="W208" i="20"/>
  <c r="X207" i="20"/>
  <c r="W207" i="20"/>
  <c r="X206" i="20"/>
  <c r="W206" i="20"/>
  <c r="X205" i="20"/>
  <c r="W205" i="20"/>
  <c r="X204" i="20"/>
  <c r="W204" i="20"/>
  <c r="X203" i="20"/>
  <c r="W203" i="20"/>
  <c r="V202" i="20"/>
  <c r="V201" i="20"/>
  <c r="V200" i="20"/>
  <c r="V199" i="20"/>
  <c r="V198" i="20"/>
  <c r="V197" i="20"/>
  <c r="V196" i="20"/>
  <c r="V195" i="20"/>
  <c r="V194" i="20"/>
  <c r="V193" i="20"/>
  <c r="V192" i="20"/>
  <c r="V191" i="20"/>
  <c r="X190" i="20"/>
  <c r="W190" i="20"/>
  <c r="X189" i="20"/>
  <c r="W189" i="20"/>
  <c r="X188" i="20"/>
  <c r="W188" i="20"/>
  <c r="X187" i="20"/>
  <c r="W187" i="20"/>
  <c r="X186" i="20"/>
  <c r="W186" i="20"/>
  <c r="X185" i="20"/>
  <c r="W185" i="20"/>
  <c r="X184" i="20"/>
  <c r="W184" i="20"/>
  <c r="X183" i="20"/>
  <c r="W183" i="20"/>
  <c r="X182" i="20"/>
  <c r="W182" i="20"/>
  <c r="X181" i="20"/>
  <c r="W181" i="20"/>
  <c r="X180" i="20"/>
  <c r="W180" i="20"/>
  <c r="X179" i="20"/>
  <c r="W179" i="20"/>
  <c r="AD145" i="21"/>
  <c r="X145" i="21"/>
  <c r="AC145" i="21" s="1"/>
  <c r="W145" i="21"/>
  <c r="AD144" i="21"/>
  <c r="X144" i="21"/>
  <c r="AC144" i="21" s="1"/>
  <c r="W144" i="21"/>
  <c r="AD143" i="21"/>
  <c r="X143" i="21"/>
  <c r="W143" i="21"/>
  <c r="AC143" i="21" s="1"/>
  <c r="AD142" i="21"/>
  <c r="X142" i="21"/>
  <c r="W142" i="21"/>
  <c r="AD141" i="21"/>
  <c r="X141" i="21"/>
  <c r="W141" i="21"/>
  <c r="AC141" i="21" s="1"/>
  <c r="AD140" i="21"/>
  <c r="X140" i="21"/>
  <c r="W140" i="21"/>
  <c r="AD139" i="21"/>
  <c r="X139" i="21"/>
  <c r="W139" i="21"/>
  <c r="AC139" i="21" s="1"/>
  <c r="AD138" i="21"/>
  <c r="AC138" i="21"/>
  <c r="X138" i="21"/>
  <c r="W138" i="21"/>
  <c r="AD137" i="21"/>
  <c r="X137" i="21"/>
  <c r="AC137" i="21" s="1"/>
  <c r="W137" i="21"/>
  <c r="AD136" i="21"/>
  <c r="X136" i="21"/>
  <c r="AC136" i="21" s="1"/>
  <c r="W136" i="21"/>
  <c r="AD135" i="21"/>
  <c r="X135" i="21"/>
  <c r="W135" i="21"/>
  <c r="AC135" i="21" s="1"/>
  <c r="AD134" i="21"/>
  <c r="X134" i="21"/>
  <c r="W134" i="21"/>
  <c r="AE133" i="21"/>
  <c r="V133" i="21"/>
  <c r="AB133" i="21" s="1"/>
  <c r="AE132" i="21"/>
  <c r="V132" i="21"/>
  <c r="AB132" i="21" s="1"/>
  <c r="AE131" i="21"/>
  <c r="V131" i="21"/>
  <c r="AB131" i="21" s="1"/>
  <c r="AE130" i="21"/>
  <c r="V130" i="21"/>
  <c r="AB130" i="21" s="1"/>
  <c r="AE129" i="21"/>
  <c r="V129" i="21"/>
  <c r="AB129" i="21" s="1"/>
  <c r="AE128" i="21"/>
  <c r="V128" i="21"/>
  <c r="AB128" i="21" s="1"/>
  <c r="AE127" i="21"/>
  <c r="V127" i="21"/>
  <c r="AB127" i="21" s="1"/>
  <c r="AE126" i="21"/>
  <c r="V126" i="21"/>
  <c r="AB126" i="21" s="1"/>
  <c r="AE125" i="21"/>
  <c r="V125" i="21"/>
  <c r="AB125" i="21" s="1"/>
  <c r="AE124" i="21"/>
  <c r="V124" i="21"/>
  <c r="AB124" i="21" s="1"/>
  <c r="AE123" i="21"/>
  <c r="V123" i="21"/>
  <c r="AB123" i="21" s="1"/>
  <c r="AE122" i="21"/>
  <c r="V122" i="21"/>
  <c r="AB122" i="21" s="1"/>
  <c r="AD121" i="21"/>
  <c r="X121" i="21"/>
  <c r="AC121" i="21" s="1"/>
  <c r="W121" i="21"/>
  <c r="AD120" i="21"/>
  <c r="X120" i="21"/>
  <c r="AC120" i="21" s="1"/>
  <c r="W120" i="21"/>
  <c r="AD119" i="21"/>
  <c r="X119" i="21"/>
  <c r="W119" i="21"/>
  <c r="AC119" i="21" s="1"/>
  <c r="AD118" i="21"/>
  <c r="X118" i="21"/>
  <c r="W118" i="21"/>
  <c r="AD117" i="21"/>
  <c r="X117" i="21"/>
  <c r="W117" i="21"/>
  <c r="AC117" i="21" s="1"/>
  <c r="AD116" i="21"/>
  <c r="X116" i="21"/>
  <c r="W116" i="21"/>
  <c r="AD115" i="21"/>
  <c r="X115" i="21"/>
  <c r="W115" i="21"/>
  <c r="AC115" i="21" s="1"/>
  <c r="AD114" i="21"/>
  <c r="AC114" i="21"/>
  <c r="X114" i="21"/>
  <c r="W114" i="21"/>
  <c r="AD113" i="21"/>
  <c r="X113" i="21"/>
  <c r="W113" i="21"/>
  <c r="AD112" i="21"/>
  <c r="X112" i="21"/>
  <c r="W112" i="21"/>
  <c r="AC112" i="21" s="1"/>
  <c r="AD111" i="21"/>
  <c r="X111" i="21"/>
  <c r="W111" i="21"/>
  <c r="AC111" i="21" s="1"/>
  <c r="AD110" i="21"/>
  <c r="X110" i="21"/>
  <c r="W110" i="21"/>
  <c r="AD109" i="21"/>
  <c r="X109" i="21"/>
  <c r="W109" i="21"/>
  <c r="AC109" i="21" s="1"/>
  <c r="AD108" i="21"/>
  <c r="X108" i="21"/>
  <c r="W108" i="21"/>
  <c r="AD107" i="21"/>
  <c r="X107" i="21"/>
  <c r="AC107" i="21" s="1"/>
  <c r="W107" i="21"/>
  <c r="AD106" i="21"/>
  <c r="X106" i="21"/>
  <c r="AC106" i="21" s="1"/>
  <c r="W106" i="21"/>
  <c r="AD105" i="21"/>
  <c r="X105" i="21"/>
  <c r="W105" i="21"/>
  <c r="AC105" i="21" s="1"/>
  <c r="AD104" i="21"/>
  <c r="X104" i="21"/>
  <c r="W104" i="21"/>
  <c r="AC104" i="21" s="1"/>
  <c r="AD103" i="21"/>
  <c r="X103" i="21"/>
  <c r="W103" i="21"/>
  <c r="AD102" i="21"/>
  <c r="X102" i="21"/>
  <c r="W102" i="21"/>
  <c r="AD101" i="21"/>
  <c r="X101" i="21"/>
  <c r="W101" i="21"/>
  <c r="AD100" i="21"/>
  <c r="X100" i="21"/>
  <c r="W100" i="21"/>
  <c r="AD99" i="21"/>
  <c r="X99" i="21"/>
  <c r="W99" i="21"/>
  <c r="AC99" i="21" s="1"/>
  <c r="AD98" i="21"/>
  <c r="X98" i="21"/>
  <c r="AC98" i="21" s="1"/>
  <c r="W98" i="21"/>
  <c r="AE97" i="21"/>
  <c r="V97" i="21"/>
  <c r="AB97" i="21" s="1"/>
  <c r="AE96" i="21"/>
  <c r="V96" i="21"/>
  <c r="AB96" i="21" s="1"/>
  <c r="AE95" i="21"/>
  <c r="V95" i="21"/>
  <c r="AB95" i="21" s="1"/>
  <c r="AE94" i="21"/>
  <c r="V94" i="21"/>
  <c r="AB94" i="21" s="1"/>
  <c r="AE93" i="21"/>
  <c r="V93" i="21"/>
  <c r="AB93" i="21" s="1"/>
  <c r="AE92" i="21"/>
  <c r="V92" i="21"/>
  <c r="AB92" i="21" s="1"/>
  <c r="AE91" i="21"/>
  <c r="V91" i="21"/>
  <c r="AB91" i="21" s="1"/>
  <c r="AE90" i="21"/>
  <c r="V90" i="21"/>
  <c r="AB90" i="21" s="1"/>
  <c r="AE89" i="21"/>
  <c r="AB89" i="21"/>
  <c r="V89" i="21"/>
  <c r="AE88" i="21"/>
  <c r="V88" i="21"/>
  <c r="AB88" i="21" s="1"/>
  <c r="AE87" i="21"/>
  <c r="V87" i="21"/>
  <c r="AB87" i="21" s="1"/>
  <c r="AE86" i="21"/>
  <c r="V86" i="21"/>
  <c r="AB86" i="21" s="1"/>
  <c r="AD85" i="21"/>
  <c r="X85" i="21"/>
  <c r="W85" i="21"/>
  <c r="AD84" i="21"/>
  <c r="X84" i="21"/>
  <c r="W84" i="21"/>
  <c r="AC84" i="21" s="1"/>
  <c r="AD83" i="21"/>
  <c r="X83" i="21"/>
  <c r="W83" i="21"/>
  <c r="AD82" i="21"/>
  <c r="X82" i="21"/>
  <c r="W82" i="21"/>
  <c r="AC82" i="21" s="1"/>
  <c r="AD81" i="21"/>
  <c r="X81" i="21"/>
  <c r="W81" i="21"/>
  <c r="AD80" i="21"/>
  <c r="X80" i="21"/>
  <c r="W80" i="21"/>
  <c r="AC80" i="21" s="1"/>
  <c r="AD79" i="21"/>
  <c r="X79" i="21"/>
  <c r="W79" i="21"/>
  <c r="AD78" i="21"/>
  <c r="X78" i="21"/>
  <c r="W78" i="21"/>
  <c r="AC78" i="21" s="1"/>
  <c r="AD77" i="21"/>
  <c r="X77" i="21"/>
  <c r="W77" i="21"/>
  <c r="AD76" i="21"/>
  <c r="X76" i="21"/>
  <c r="W76" i="21"/>
  <c r="AC76" i="21" s="1"/>
  <c r="AD75" i="21"/>
  <c r="X75" i="21"/>
  <c r="W75" i="21"/>
  <c r="AD74" i="21"/>
  <c r="X74" i="21"/>
  <c r="W74" i="21"/>
  <c r="AC74" i="21" s="1"/>
  <c r="M40" i="9"/>
  <c r="M39" i="9"/>
  <c r="M38" i="9"/>
  <c r="AJ9" i="21"/>
  <c r="AI9" i="21"/>
  <c r="AJ7" i="21"/>
  <c r="AI7" i="21"/>
  <c r="AJ4" i="21"/>
  <c r="AI4" i="21"/>
  <c r="AJ3" i="21"/>
  <c r="AI3" i="21"/>
  <c r="AD218" i="21"/>
  <c r="AD217" i="21"/>
  <c r="AD216" i="21"/>
  <c r="AD215" i="21"/>
  <c r="AD214" i="21"/>
  <c r="AD213" i="21"/>
  <c r="AD212" i="21"/>
  <c r="AD211" i="21"/>
  <c r="AD210" i="21"/>
  <c r="AD209" i="21"/>
  <c r="AD208" i="21"/>
  <c r="AD207" i="21"/>
  <c r="AD206" i="21"/>
  <c r="AD205" i="21"/>
  <c r="AD204" i="21"/>
  <c r="AD203" i="21"/>
  <c r="AD202" i="21"/>
  <c r="AD201" i="21"/>
  <c r="AD200" i="21"/>
  <c r="AD199" i="21"/>
  <c r="AD198" i="21"/>
  <c r="AD197" i="21"/>
  <c r="AD196" i="21"/>
  <c r="AD195" i="21"/>
  <c r="AD10" i="25" s="1"/>
  <c r="AD194" i="21"/>
  <c r="AD193" i="21"/>
  <c r="AD192" i="21"/>
  <c r="AD191" i="21"/>
  <c r="AD190" i="21"/>
  <c r="AD189" i="21"/>
  <c r="AD188" i="21"/>
  <c r="AD187" i="21"/>
  <c r="AD186" i="21"/>
  <c r="AD185" i="21"/>
  <c r="AD184" i="21"/>
  <c r="AD183" i="21"/>
  <c r="AD182" i="21"/>
  <c r="AD181" i="21"/>
  <c r="AD180" i="21"/>
  <c r="AD179" i="21"/>
  <c r="AD178" i="21"/>
  <c r="AD177" i="21"/>
  <c r="AD176" i="21"/>
  <c r="AD175" i="21"/>
  <c r="AD174" i="21"/>
  <c r="AD173" i="21"/>
  <c r="AD172" i="21"/>
  <c r="AD171" i="21"/>
  <c r="AD170" i="21"/>
  <c r="AD169" i="21"/>
  <c r="AD168" i="21"/>
  <c r="AD167" i="21"/>
  <c r="AD166" i="21"/>
  <c r="AD165" i="21"/>
  <c r="AD164" i="21"/>
  <c r="AD163" i="21"/>
  <c r="AD162" i="21"/>
  <c r="AD161" i="21"/>
  <c r="AD160" i="21"/>
  <c r="AD159" i="21"/>
  <c r="AD158" i="21"/>
  <c r="AD157" i="21"/>
  <c r="AD156" i="21"/>
  <c r="AD155" i="21"/>
  <c r="AD154" i="21"/>
  <c r="AD153" i="21"/>
  <c r="AD152" i="21"/>
  <c r="AD151" i="21"/>
  <c r="AD150" i="21"/>
  <c r="AD149" i="21"/>
  <c r="AD148" i="21"/>
  <c r="AD147" i="21"/>
  <c r="AD146" i="21"/>
  <c r="AD9" i="25" s="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D55" i="21"/>
  <c r="AD54" i="21"/>
  <c r="AD53" i="21"/>
  <c r="AD52" i="21"/>
  <c r="AD51" i="21"/>
  <c r="AD50" i="21"/>
  <c r="AE49" i="21"/>
  <c r="AE48" i="21"/>
  <c r="AE47" i="21"/>
  <c r="AE46" i="21"/>
  <c r="AE45" i="21"/>
  <c r="AE44" i="21"/>
  <c r="AE43" i="21"/>
  <c r="AE42" i="21"/>
  <c r="AE41" i="21"/>
  <c r="AE40" i="21"/>
  <c r="AE39" i="21"/>
  <c r="AE38" i="21"/>
  <c r="AE37" i="21"/>
  <c r="AE36" i="21"/>
  <c r="AE35" i="21"/>
  <c r="AE34" i="21"/>
  <c r="AE33" i="21"/>
  <c r="AE32" i="21"/>
  <c r="AE31" i="21"/>
  <c r="AE30" i="21"/>
  <c r="AE29" i="21"/>
  <c r="AE28" i="21"/>
  <c r="AE27" i="21"/>
  <c r="AE26" i="21"/>
  <c r="AD25" i="21"/>
  <c r="AD24" i="21"/>
  <c r="AD23" i="21"/>
  <c r="AD22" i="21"/>
  <c r="AD21" i="21"/>
  <c r="AD20" i="21"/>
  <c r="AD19" i="21"/>
  <c r="AD18" i="21"/>
  <c r="AD17" i="21"/>
  <c r="AD16" i="21"/>
  <c r="AD15" i="21"/>
  <c r="AD14" i="21"/>
  <c r="AD13" i="21"/>
  <c r="AD12" i="21"/>
  <c r="AD11" i="21"/>
  <c r="AD10" i="21"/>
  <c r="AD9" i="21"/>
  <c r="AD8" i="21"/>
  <c r="AD7" i="21"/>
  <c r="AD6" i="21"/>
  <c r="AD5" i="21"/>
  <c r="AD4" i="21"/>
  <c r="AD3" i="21"/>
  <c r="AD2" i="21"/>
  <c r="V230" i="21"/>
  <c r="AB230" i="21" s="1"/>
  <c r="V229" i="21"/>
  <c r="AB229" i="21" s="1"/>
  <c r="V228" i="21"/>
  <c r="AB228" i="21" s="1"/>
  <c r="V227" i="21"/>
  <c r="AB227" i="21" s="1"/>
  <c r="V226" i="21"/>
  <c r="AB226" i="21" s="1"/>
  <c r="V225" i="21"/>
  <c r="AB225" i="21" s="1"/>
  <c r="V224" i="21"/>
  <c r="AB224" i="21" s="1"/>
  <c r="V223" i="21"/>
  <c r="AB223" i="21" s="1"/>
  <c r="V222" i="21"/>
  <c r="AB222" i="21" s="1"/>
  <c r="V221" i="21"/>
  <c r="AB221" i="21" s="1"/>
  <c r="V220" i="21"/>
  <c r="AB220" i="21" s="1"/>
  <c r="V219" i="21"/>
  <c r="AB219" i="21" s="1"/>
  <c r="X218" i="21"/>
  <c r="W218" i="21"/>
  <c r="V218" i="21"/>
  <c r="AB218" i="21" s="1"/>
  <c r="X217" i="21"/>
  <c r="W217" i="21"/>
  <c r="V217" i="21"/>
  <c r="AB217" i="21" s="1"/>
  <c r="X216" i="21"/>
  <c r="W216" i="21"/>
  <c r="V216" i="21"/>
  <c r="AB216" i="21" s="1"/>
  <c r="X215" i="21"/>
  <c r="W215" i="21"/>
  <c r="V215" i="21"/>
  <c r="AB215" i="21" s="1"/>
  <c r="X214" i="21"/>
  <c r="W214" i="21"/>
  <c r="V214" i="21"/>
  <c r="AB214" i="21" s="1"/>
  <c r="X213" i="21"/>
  <c r="W213" i="21"/>
  <c r="V213" i="21"/>
  <c r="AB213" i="21" s="1"/>
  <c r="X212" i="21"/>
  <c r="W212" i="21"/>
  <c r="V212" i="21"/>
  <c r="AB212" i="21" s="1"/>
  <c r="X211" i="21"/>
  <c r="W211" i="21"/>
  <c r="V211" i="21"/>
  <c r="AB211" i="21" s="1"/>
  <c r="X210" i="21"/>
  <c r="W210" i="21"/>
  <c r="V210" i="21"/>
  <c r="AB210" i="21" s="1"/>
  <c r="X209" i="21"/>
  <c r="W209" i="21"/>
  <c r="V209" i="21"/>
  <c r="AB209" i="21" s="1"/>
  <c r="X208" i="21"/>
  <c r="W208" i="21"/>
  <c r="V208" i="21"/>
  <c r="AB208" i="21" s="1"/>
  <c r="X207" i="21"/>
  <c r="W207" i="21"/>
  <c r="V207" i="21"/>
  <c r="AB207" i="21" s="1"/>
  <c r="X206" i="21"/>
  <c r="W206" i="21"/>
  <c r="V206" i="21"/>
  <c r="AB206" i="21" s="1"/>
  <c r="X205" i="21"/>
  <c r="W205" i="21"/>
  <c r="V205" i="21"/>
  <c r="AB205" i="21" s="1"/>
  <c r="X204" i="21"/>
  <c r="W204" i="21"/>
  <c r="V204" i="21"/>
  <c r="AB204" i="21" s="1"/>
  <c r="X203" i="21"/>
  <c r="W203" i="21"/>
  <c r="V203" i="21"/>
  <c r="AB203" i="21" s="1"/>
  <c r="X202" i="21"/>
  <c r="W202" i="21"/>
  <c r="V202" i="21"/>
  <c r="AB202" i="21" s="1"/>
  <c r="X201" i="21"/>
  <c r="W201" i="21"/>
  <c r="V201" i="21"/>
  <c r="AB201" i="21" s="1"/>
  <c r="X200" i="21"/>
  <c r="W200" i="21"/>
  <c r="V200" i="21"/>
  <c r="AB200" i="21" s="1"/>
  <c r="X199" i="21"/>
  <c r="W199" i="21"/>
  <c r="V199" i="21"/>
  <c r="AB199" i="21" s="1"/>
  <c r="X198" i="21"/>
  <c r="W198" i="21"/>
  <c r="V198" i="21"/>
  <c r="AB198" i="21" s="1"/>
  <c r="X197" i="21"/>
  <c r="W197" i="21"/>
  <c r="V197" i="21"/>
  <c r="AB197" i="21" s="1"/>
  <c r="X196" i="21"/>
  <c r="W196" i="21"/>
  <c r="V196" i="21"/>
  <c r="AB196" i="21" s="1"/>
  <c r="X195" i="21"/>
  <c r="W195" i="21"/>
  <c r="V195" i="21"/>
  <c r="AB195" i="21" s="1"/>
  <c r="X194" i="21"/>
  <c r="W194" i="21"/>
  <c r="V194" i="21"/>
  <c r="AB194" i="21" s="1"/>
  <c r="X193" i="21"/>
  <c r="W193" i="21"/>
  <c r="V193" i="21"/>
  <c r="AB193" i="21" s="1"/>
  <c r="X192" i="21"/>
  <c r="W192" i="21"/>
  <c r="V192" i="21"/>
  <c r="AB192" i="21" s="1"/>
  <c r="X191" i="21"/>
  <c r="W191" i="21"/>
  <c r="V191" i="21"/>
  <c r="AB191" i="21" s="1"/>
  <c r="X190" i="21"/>
  <c r="W190" i="21"/>
  <c r="V190" i="21"/>
  <c r="AB190" i="21" s="1"/>
  <c r="X189" i="21"/>
  <c r="W189" i="21"/>
  <c r="V189" i="21"/>
  <c r="AB189" i="21" s="1"/>
  <c r="X188" i="21"/>
  <c r="W188" i="21"/>
  <c r="AC188" i="21" s="1"/>
  <c r="V188" i="21"/>
  <c r="AB188" i="21" s="1"/>
  <c r="X187" i="21"/>
  <c r="W187" i="21"/>
  <c r="V187" i="21"/>
  <c r="AB187" i="21" s="1"/>
  <c r="X186" i="21"/>
  <c r="W186" i="21"/>
  <c r="V186" i="21"/>
  <c r="AB186" i="21" s="1"/>
  <c r="X185" i="21"/>
  <c r="W185" i="21"/>
  <c r="V185" i="21"/>
  <c r="AB185" i="21" s="1"/>
  <c r="X184" i="21"/>
  <c r="W184" i="21"/>
  <c r="V184" i="21"/>
  <c r="AB184" i="21" s="1"/>
  <c r="X183" i="21"/>
  <c r="W183" i="21"/>
  <c r="AC183" i="21" s="1"/>
  <c r="V183" i="21"/>
  <c r="AB183" i="21" s="1"/>
  <c r="X182" i="21"/>
  <c r="W182" i="21"/>
  <c r="V182" i="21"/>
  <c r="AB182" i="21" s="1"/>
  <c r="X181" i="21"/>
  <c r="W181" i="21"/>
  <c r="V181" i="21"/>
  <c r="AB181" i="21" s="1"/>
  <c r="X180" i="21"/>
  <c r="W180" i="21"/>
  <c r="AC180" i="21" s="1"/>
  <c r="V180" i="21"/>
  <c r="AB180" i="21" s="1"/>
  <c r="X179" i="21"/>
  <c r="W179" i="21"/>
  <c r="V179" i="21"/>
  <c r="AB179" i="21" s="1"/>
  <c r="X178" i="21"/>
  <c r="W178" i="21"/>
  <c r="V178" i="21"/>
  <c r="AB178" i="21" s="1"/>
  <c r="X177" i="21"/>
  <c r="W177" i="21"/>
  <c r="V177" i="21"/>
  <c r="AB177" i="21" s="1"/>
  <c r="X176" i="21"/>
  <c r="W176" i="21"/>
  <c r="V176" i="21"/>
  <c r="AB176" i="21" s="1"/>
  <c r="X175" i="21"/>
  <c r="W175" i="21"/>
  <c r="V175" i="21"/>
  <c r="AB175" i="21" s="1"/>
  <c r="X174" i="21"/>
  <c r="W174" i="21"/>
  <c r="V174" i="21"/>
  <c r="AB174" i="21" s="1"/>
  <c r="X173" i="21"/>
  <c r="W173" i="21"/>
  <c r="V173" i="21"/>
  <c r="AB173" i="21" s="1"/>
  <c r="X172" i="21"/>
  <c r="W172" i="21"/>
  <c r="V172" i="21"/>
  <c r="AB172" i="21" s="1"/>
  <c r="X171" i="21"/>
  <c r="W171" i="21"/>
  <c r="V171" i="21"/>
  <c r="AB171" i="21" s="1"/>
  <c r="X170" i="21"/>
  <c r="W170" i="21"/>
  <c r="V170" i="21"/>
  <c r="AB170" i="21" s="1"/>
  <c r="X169" i="21"/>
  <c r="W169" i="21"/>
  <c r="V169" i="21"/>
  <c r="AB169" i="21" s="1"/>
  <c r="X168" i="21"/>
  <c r="W168" i="21"/>
  <c r="V168" i="21"/>
  <c r="AB168" i="21" s="1"/>
  <c r="X167" i="21"/>
  <c r="W167" i="21"/>
  <c r="V167" i="21"/>
  <c r="AB167" i="21" s="1"/>
  <c r="X166" i="21"/>
  <c r="W166" i="21"/>
  <c r="V166" i="21"/>
  <c r="AB166" i="21" s="1"/>
  <c r="X165" i="21"/>
  <c r="W165" i="21"/>
  <c r="V165" i="21"/>
  <c r="AB165" i="21" s="1"/>
  <c r="X164" i="21"/>
  <c r="W164" i="21"/>
  <c r="AC164" i="21" s="1"/>
  <c r="V164" i="21"/>
  <c r="AB164" i="21" s="1"/>
  <c r="X163" i="21"/>
  <c r="W163" i="21"/>
  <c r="V163" i="21"/>
  <c r="AB163" i="21" s="1"/>
  <c r="X162" i="21"/>
  <c r="W162" i="21"/>
  <c r="V162" i="21"/>
  <c r="AB162" i="21" s="1"/>
  <c r="X161" i="21"/>
  <c r="W161" i="21"/>
  <c r="V161" i="21"/>
  <c r="AB161" i="21" s="1"/>
  <c r="X160" i="21"/>
  <c r="W160" i="21"/>
  <c r="V160" i="21"/>
  <c r="AB160" i="21" s="1"/>
  <c r="X159" i="21"/>
  <c r="W159" i="21"/>
  <c r="AC159" i="21" s="1"/>
  <c r="V159" i="21"/>
  <c r="AB159" i="21" s="1"/>
  <c r="X158" i="21"/>
  <c r="W158" i="21"/>
  <c r="V158" i="21"/>
  <c r="AB158" i="21" s="1"/>
  <c r="X157" i="21"/>
  <c r="W157" i="21"/>
  <c r="V157" i="21"/>
  <c r="AB157" i="21" s="1"/>
  <c r="X156" i="21"/>
  <c r="W156" i="21"/>
  <c r="AC156" i="21" s="1"/>
  <c r="V156" i="21"/>
  <c r="AB156" i="21" s="1"/>
  <c r="X155" i="21"/>
  <c r="W155" i="21"/>
  <c r="V155" i="21"/>
  <c r="AB155" i="21" s="1"/>
  <c r="X154" i="21"/>
  <c r="W154" i="21"/>
  <c r="V154" i="21"/>
  <c r="AB154" i="21" s="1"/>
  <c r="X153" i="21"/>
  <c r="W153" i="21"/>
  <c r="V153" i="21"/>
  <c r="AB153" i="21" s="1"/>
  <c r="X152" i="21"/>
  <c r="W152" i="21"/>
  <c r="V152" i="21"/>
  <c r="AB152" i="21" s="1"/>
  <c r="X151" i="21"/>
  <c r="W151" i="21"/>
  <c r="AC151" i="21" s="1"/>
  <c r="V151" i="21"/>
  <c r="AB151" i="21" s="1"/>
  <c r="X150" i="21"/>
  <c r="W150" i="21"/>
  <c r="V150" i="21"/>
  <c r="AB150" i="21" s="1"/>
  <c r="X149" i="21"/>
  <c r="W149" i="21"/>
  <c r="V149" i="21"/>
  <c r="AB149" i="21" s="1"/>
  <c r="X148" i="21"/>
  <c r="W148" i="21"/>
  <c r="AC148" i="21" s="1"/>
  <c r="V148" i="21"/>
  <c r="AB148" i="21" s="1"/>
  <c r="X147" i="21"/>
  <c r="W147" i="21"/>
  <c r="V147" i="21"/>
  <c r="AB147" i="21" s="1"/>
  <c r="X146" i="21"/>
  <c r="W146" i="21"/>
  <c r="V146" i="21"/>
  <c r="AB146" i="21" s="1"/>
  <c r="V145" i="21"/>
  <c r="AB145" i="21" s="1"/>
  <c r="V144" i="21"/>
  <c r="AB144" i="21" s="1"/>
  <c r="V143" i="21"/>
  <c r="AB143" i="21" s="1"/>
  <c r="V142" i="21"/>
  <c r="AB142" i="21" s="1"/>
  <c r="V141" i="21"/>
  <c r="AB141" i="21" s="1"/>
  <c r="V140" i="21"/>
  <c r="AB140" i="21" s="1"/>
  <c r="V139" i="21"/>
  <c r="AB139" i="21" s="1"/>
  <c r="V138" i="21"/>
  <c r="AB138" i="21" s="1"/>
  <c r="V137" i="21"/>
  <c r="AB137" i="21" s="1"/>
  <c r="V136" i="21"/>
  <c r="AB136" i="21" s="1"/>
  <c r="V135" i="21"/>
  <c r="AB135" i="21" s="1"/>
  <c r="V134" i="21"/>
  <c r="AB134" i="21" s="1"/>
  <c r="X133" i="21"/>
  <c r="W133" i="21"/>
  <c r="AC133" i="21" s="1"/>
  <c r="X132" i="21"/>
  <c r="W132" i="21"/>
  <c r="AC132" i="21" s="1"/>
  <c r="X131" i="21"/>
  <c r="W131" i="21"/>
  <c r="X130" i="21"/>
  <c r="W130" i="21"/>
  <c r="AC130" i="21" s="1"/>
  <c r="X129" i="21"/>
  <c r="W129" i="21"/>
  <c r="AC129" i="21" s="1"/>
  <c r="X128" i="21"/>
  <c r="W128" i="21"/>
  <c r="AC128" i="21" s="1"/>
  <c r="X127" i="21"/>
  <c r="W127" i="21"/>
  <c r="X126" i="21"/>
  <c r="W126" i="21"/>
  <c r="AC126" i="21" s="1"/>
  <c r="X125" i="21"/>
  <c r="W125" i="21"/>
  <c r="AC125" i="21" s="1"/>
  <c r="X124" i="21"/>
  <c r="W124" i="21"/>
  <c r="AC124" i="21" s="1"/>
  <c r="X123" i="21"/>
  <c r="W123" i="21"/>
  <c r="X122" i="21"/>
  <c r="W122" i="21"/>
  <c r="AC122" i="21" s="1"/>
  <c r="V121" i="21"/>
  <c r="AB121" i="21" s="1"/>
  <c r="V120" i="21"/>
  <c r="AB120" i="21" s="1"/>
  <c r="V119" i="21"/>
  <c r="AB119" i="21" s="1"/>
  <c r="V118" i="21"/>
  <c r="AB118" i="21" s="1"/>
  <c r="V117" i="21"/>
  <c r="AB117" i="21" s="1"/>
  <c r="V116" i="21"/>
  <c r="AB116" i="21" s="1"/>
  <c r="V115" i="21"/>
  <c r="AB115" i="21" s="1"/>
  <c r="V114" i="21"/>
  <c r="AB114" i="21" s="1"/>
  <c r="V113" i="21"/>
  <c r="AB113" i="21" s="1"/>
  <c r="V112" i="21"/>
  <c r="AB112" i="21" s="1"/>
  <c r="V111" i="21"/>
  <c r="AB111" i="21" s="1"/>
  <c r="V110" i="21"/>
  <c r="AB110" i="21" s="1"/>
  <c r="V109" i="21"/>
  <c r="AB109" i="21" s="1"/>
  <c r="V108" i="21"/>
  <c r="AB108" i="21" s="1"/>
  <c r="V107" i="21"/>
  <c r="AB107" i="21" s="1"/>
  <c r="V106" i="21"/>
  <c r="AB106" i="21" s="1"/>
  <c r="V105" i="21"/>
  <c r="AB105" i="21" s="1"/>
  <c r="V104" i="21"/>
  <c r="AB104" i="21" s="1"/>
  <c r="V103" i="21"/>
  <c r="AB103" i="21" s="1"/>
  <c r="V102" i="21"/>
  <c r="AB102" i="21" s="1"/>
  <c r="V101" i="21"/>
  <c r="AB101" i="21" s="1"/>
  <c r="V100" i="21"/>
  <c r="AB100" i="21" s="1"/>
  <c r="V99" i="21"/>
  <c r="AB99" i="21" s="1"/>
  <c r="V98" i="21"/>
  <c r="AB98" i="21" s="1"/>
  <c r="X97" i="21"/>
  <c r="W97" i="21"/>
  <c r="AC97" i="21" s="1"/>
  <c r="X96" i="21"/>
  <c r="W96" i="21"/>
  <c r="AC96" i="21" s="1"/>
  <c r="X95" i="21"/>
  <c r="W95" i="21"/>
  <c r="X94" i="21"/>
  <c r="W94" i="21"/>
  <c r="AC94" i="21" s="1"/>
  <c r="X93" i="21"/>
  <c r="W93" i="21"/>
  <c r="AC93" i="21" s="1"/>
  <c r="X92" i="21"/>
  <c r="W92" i="21"/>
  <c r="AC92" i="21" s="1"/>
  <c r="X91" i="21"/>
  <c r="W91" i="21"/>
  <c r="X90" i="21"/>
  <c r="W90" i="21"/>
  <c r="AC90" i="21" s="1"/>
  <c r="X89" i="21"/>
  <c r="W89" i="21"/>
  <c r="AC89" i="21" s="1"/>
  <c r="X88" i="21"/>
  <c r="W88" i="21"/>
  <c r="AC88" i="21" s="1"/>
  <c r="X87" i="21"/>
  <c r="W87" i="21"/>
  <c r="X86" i="21"/>
  <c r="W86" i="21"/>
  <c r="AC86" i="21" s="1"/>
  <c r="V85" i="21"/>
  <c r="AB85" i="21" s="1"/>
  <c r="V84" i="21"/>
  <c r="AB84" i="21" s="1"/>
  <c r="V83" i="21"/>
  <c r="AB83" i="21" s="1"/>
  <c r="V82" i="21"/>
  <c r="AB82" i="21" s="1"/>
  <c r="V81" i="21"/>
  <c r="AB81" i="21" s="1"/>
  <c r="V80" i="21"/>
  <c r="AB80" i="21" s="1"/>
  <c r="V79" i="21"/>
  <c r="AB79" i="21" s="1"/>
  <c r="V78" i="21"/>
  <c r="AB78" i="21" s="1"/>
  <c r="V77" i="21"/>
  <c r="AB77" i="21" s="1"/>
  <c r="V76" i="21"/>
  <c r="AB76" i="21" s="1"/>
  <c r="V75" i="21"/>
  <c r="AB75" i="21" s="1"/>
  <c r="V74" i="21"/>
  <c r="AB74" i="21" s="1"/>
  <c r="X73" i="21"/>
  <c r="W73" i="21"/>
  <c r="V73" i="21"/>
  <c r="AB73" i="21" s="1"/>
  <c r="X72" i="21"/>
  <c r="W72" i="21"/>
  <c r="V72" i="21"/>
  <c r="AB72" i="21" s="1"/>
  <c r="X71" i="21"/>
  <c r="W71" i="21"/>
  <c r="AC71" i="21" s="1"/>
  <c r="V71" i="21"/>
  <c r="AB71" i="21" s="1"/>
  <c r="X70" i="21"/>
  <c r="W70" i="21"/>
  <c r="V70" i="21"/>
  <c r="AB70" i="21" s="1"/>
  <c r="X69" i="21"/>
  <c r="W69" i="21"/>
  <c r="AC69" i="21" s="1"/>
  <c r="V69" i="21"/>
  <c r="AB69" i="21" s="1"/>
  <c r="X68" i="21"/>
  <c r="W68" i="21"/>
  <c r="V68" i="21"/>
  <c r="AB68" i="21" s="1"/>
  <c r="X67" i="21"/>
  <c r="W67" i="21"/>
  <c r="AC67" i="21" s="1"/>
  <c r="V67" i="21"/>
  <c r="AB67" i="21" s="1"/>
  <c r="X66" i="21"/>
  <c r="W66" i="21"/>
  <c r="V66" i="21"/>
  <c r="AB66" i="21" s="1"/>
  <c r="X65" i="21"/>
  <c r="W65" i="21"/>
  <c r="V65" i="21"/>
  <c r="AB65" i="21" s="1"/>
  <c r="X64" i="21"/>
  <c r="W64" i="21"/>
  <c r="V64" i="21"/>
  <c r="AB64" i="21" s="1"/>
  <c r="X63" i="21"/>
  <c r="W63" i="21"/>
  <c r="AC63" i="21" s="1"/>
  <c r="V63" i="21"/>
  <c r="AB63" i="21" s="1"/>
  <c r="X62" i="21"/>
  <c r="W62" i="21"/>
  <c r="V62" i="21"/>
  <c r="AB62" i="21" s="1"/>
  <c r="X61" i="21"/>
  <c r="W61" i="21"/>
  <c r="AC61" i="21" s="1"/>
  <c r="V61" i="21"/>
  <c r="AB61" i="21" s="1"/>
  <c r="X60" i="21"/>
  <c r="W60" i="21"/>
  <c r="V60" i="21"/>
  <c r="AB60" i="21" s="1"/>
  <c r="X59" i="21"/>
  <c r="W59" i="21"/>
  <c r="AC59" i="21" s="1"/>
  <c r="V59" i="21"/>
  <c r="AB59" i="21" s="1"/>
  <c r="X58" i="21"/>
  <c r="W58" i="21"/>
  <c r="V58" i="21"/>
  <c r="AB58" i="21" s="1"/>
  <c r="X57" i="21"/>
  <c r="W57" i="21"/>
  <c r="V57" i="21"/>
  <c r="AB57" i="21" s="1"/>
  <c r="X56" i="21"/>
  <c r="W56" i="21"/>
  <c r="V56" i="21"/>
  <c r="AB56" i="21" s="1"/>
  <c r="X55" i="21"/>
  <c r="W55" i="21"/>
  <c r="AC55" i="21" s="1"/>
  <c r="V55" i="21"/>
  <c r="AB55" i="21" s="1"/>
  <c r="X54" i="21"/>
  <c r="W54" i="21"/>
  <c r="V54" i="21"/>
  <c r="AB54" i="21" s="1"/>
  <c r="X53" i="21"/>
  <c r="W53" i="21"/>
  <c r="AC53" i="21" s="1"/>
  <c r="V53" i="21"/>
  <c r="AB53" i="21" s="1"/>
  <c r="X52" i="21"/>
  <c r="W52" i="21"/>
  <c r="V52" i="21"/>
  <c r="AB52" i="21" s="1"/>
  <c r="X51" i="21"/>
  <c r="W51" i="21"/>
  <c r="AC51" i="21" s="1"/>
  <c r="V51" i="21"/>
  <c r="AB51" i="21" s="1"/>
  <c r="X50" i="21"/>
  <c r="W50" i="21"/>
  <c r="V50" i="21"/>
  <c r="AB50" i="21" s="1"/>
  <c r="X49" i="21"/>
  <c r="W49" i="21"/>
  <c r="V49" i="21"/>
  <c r="AB49" i="21" s="1"/>
  <c r="X48" i="21"/>
  <c r="W48" i="21"/>
  <c r="V48" i="21"/>
  <c r="AB48" i="21" s="1"/>
  <c r="X47" i="21"/>
  <c r="W47" i="21"/>
  <c r="AC47" i="21" s="1"/>
  <c r="V47" i="21"/>
  <c r="AB47" i="21" s="1"/>
  <c r="X46" i="21"/>
  <c r="W46" i="21"/>
  <c r="V46" i="21"/>
  <c r="AB46" i="21" s="1"/>
  <c r="X45" i="21"/>
  <c r="W45" i="21"/>
  <c r="AC45" i="21" s="1"/>
  <c r="V45" i="21"/>
  <c r="AB45" i="21" s="1"/>
  <c r="X44" i="21"/>
  <c r="W44" i="21"/>
  <c r="V44" i="21"/>
  <c r="AB44" i="21" s="1"/>
  <c r="X43" i="21"/>
  <c r="W43" i="21"/>
  <c r="AC43" i="21" s="1"/>
  <c r="V43" i="21"/>
  <c r="AB43" i="21" s="1"/>
  <c r="X42" i="21"/>
  <c r="W42" i="21"/>
  <c r="V42" i="21"/>
  <c r="AB42" i="21" s="1"/>
  <c r="X41" i="21"/>
  <c r="W41" i="21"/>
  <c r="V41" i="21"/>
  <c r="AB41" i="21" s="1"/>
  <c r="X40" i="21"/>
  <c r="W40" i="21"/>
  <c r="V40" i="21"/>
  <c r="AB40" i="21" s="1"/>
  <c r="X39" i="21"/>
  <c r="W39" i="21"/>
  <c r="AC39" i="21" s="1"/>
  <c r="V39" i="21"/>
  <c r="AB39" i="21" s="1"/>
  <c r="X38" i="21"/>
  <c r="W38" i="21"/>
  <c r="V38" i="21"/>
  <c r="AB38" i="21" s="1"/>
  <c r="X37" i="21"/>
  <c r="W37" i="21"/>
  <c r="AC37" i="21" s="1"/>
  <c r="V37" i="21"/>
  <c r="AB37" i="21" s="1"/>
  <c r="X36" i="21"/>
  <c r="W36" i="21"/>
  <c r="V36" i="21"/>
  <c r="AB36" i="21" s="1"/>
  <c r="X35" i="21"/>
  <c r="W35" i="21"/>
  <c r="AC35" i="21" s="1"/>
  <c r="V35" i="21"/>
  <c r="AB35" i="21" s="1"/>
  <c r="X34" i="21"/>
  <c r="W34" i="21"/>
  <c r="V34" i="21"/>
  <c r="AB34" i="21" s="1"/>
  <c r="X33" i="21"/>
  <c r="W33" i="21"/>
  <c r="V33" i="21"/>
  <c r="AB33" i="21" s="1"/>
  <c r="X32" i="21"/>
  <c r="W32" i="21"/>
  <c r="V32" i="21"/>
  <c r="AB32" i="21" s="1"/>
  <c r="X31" i="21"/>
  <c r="W31" i="21"/>
  <c r="AC31" i="21" s="1"/>
  <c r="V31" i="21"/>
  <c r="AB31" i="21" s="1"/>
  <c r="X30" i="21"/>
  <c r="W30" i="21"/>
  <c r="V30" i="21"/>
  <c r="AB30" i="21" s="1"/>
  <c r="X29" i="21"/>
  <c r="W29" i="21"/>
  <c r="AC29" i="21" s="1"/>
  <c r="V29" i="21"/>
  <c r="AB29" i="21" s="1"/>
  <c r="X28" i="21"/>
  <c r="W28" i="21"/>
  <c r="V28" i="21"/>
  <c r="AB28" i="21" s="1"/>
  <c r="X27" i="21"/>
  <c r="W27" i="21"/>
  <c r="AC27" i="21" s="1"/>
  <c r="V27" i="21"/>
  <c r="AB27" i="21" s="1"/>
  <c r="X26" i="21"/>
  <c r="W26" i="21"/>
  <c r="V26" i="21"/>
  <c r="AB26" i="21" s="1"/>
  <c r="X25" i="21"/>
  <c r="W25" i="21"/>
  <c r="V25" i="21"/>
  <c r="AB25" i="21" s="1"/>
  <c r="X24" i="21"/>
  <c r="W24" i="21"/>
  <c r="V24" i="21"/>
  <c r="AB24" i="21" s="1"/>
  <c r="X23" i="21"/>
  <c r="W23" i="21"/>
  <c r="AC23" i="21" s="1"/>
  <c r="V23" i="21"/>
  <c r="AB23" i="21" s="1"/>
  <c r="X22" i="21"/>
  <c r="W22" i="21"/>
  <c r="V22" i="21"/>
  <c r="AB22" i="21" s="1"/>
  <c r="X21" i="21"/>
  <c r="W21" i="21"/>
  <c r="AC21" i="21" s="1"/>
  <c r="V21" i="21"/>
  <c r="AB21" i="21" s="1"/>
  <c r="X20" i="21"/>
  <c r="W20" i="21"/>
  <c r="V20" i="21"/>
  <c r="AB20" i="21" s="1"/>
  <c r="X19" i="21"/>
  <c r="W19" i="21"/>
  <c r="AC19" i="21" s="1"/>
  <c r="V19" i="21"/>
  <c r="AB19" i="21" s="1"/>
  <c r="X18" i="21"/>
  <c r="W18" i="21"/>
  <c r="V18" i="21"/>
  <c r="AB18" i="21" s="1"/>
  <c r="X17" i="21"/>
  <c r="W17" i="21"/>
  <c r="V17" i="21"/>
  <c r="AB17" i="21" s="1"/>
  <c r="X16" i="21"/>
  <c r="W16" i="21"/>
  <c r="V16" i="21"/>
  <c r="AB16" i="21" s="1"/>
  <c r="X15" i="21"/>
  <c r="W15" i="21"/>
  <c r="AC15" i="21" s="1"/>
  <c r="V15" i="21"/>
  <c r="AB15" i="21" s="1"/>
  <c r="X14" i="21"/>
  <c r="W14" i="21"/>
  <c r="V14" i="21"/>
  <c r="AB14" i="21" s="1"/>
  <c r="X13" i="21"/>
  <c r="W13" i="21"/>
  <c r="AC13" i="21" s="1"/>
  <c r="V13" i="21"/>
  <c r="AB13" i="21" s="1"/>
  <c r="X12" i="21"/>
  <c r="W12" i="21"/>
  <c r="V12" i="21"/>
  <c r="AB12" i="21" s="1"/>
  <c r="X11" i="21"/>
  <c r="W11" i="21"/>
  <c r="AC11" i="21" s="1"/>
  <c r="V11" i="21"/>
  <c r="AB11" i="21" s="1"/>
  <c r="X10" i="21"/>
  <c r="W10" i="21"/>
  <c r="V10" i="21"/>
  <c r="AB10" i="21" s="1"/>
  <c r="X9" i="21"/>
  <c r="W9" i="21"/>
  <c r="V9" i="21"/>
  <c r="AB9" i="21" s="1"/>
  <c r="X8" i="21"/>
  <c r="W8" i="21"/>
  <c r="V8" i="21"/>
  <c r="AB8" i="21" s="1"/>
  <c r="X7" i="21"/>
  <c r="W7" i="21"/>
  <c r="AC7" i="21" s="1"/>
  <c r="V7" i="21"/>
  <c r="AB7" i="21" s="1"/>
  <c r="X6" i="21"/>
  <c r="W6" i="21"/>
  <c r="V6" i="21"/>
  <c r="AB6" i="21" s="1"/>
  <c r="X5" i="21"/>
  <c r="W5" i="21"/>
  <c r="AC5" i="21" s="1"/>
  <c r="V5" i="21"/>
  <c r="AB5" i="21" s="1"/>
  <c r="X4" i="21"/>
  <c r="W4" i="21"/>
  <c r="V4" i="21"/>
  <c r="AB4" i="21" s="1"/>
  <c r="X3" i="21"/>
  <c r="W3" i="21"/>
  <c r="AC3" i="21" s="1"/>
  <c r="V3" i="21"/>
  <c r="AB3" i="21" s="1"/>
  <c r="X2" i="21"/>
  <c r="W2" i="21"/>
  <c r="V2" i="21"/>
  <c r="AB2" i="21" s="1"/>
  <c r="AE587" i="20"/>
  <c r="AE586" i="20"/>
  <c r="AE585" i="20"/>
  <c r="AE584" i="20"/>
  <c r="AE583" i="20"/>
  <c r="AE582" i="20"/>
  <c r="AE581" i="20"/>
  <c r="AE580" i="20"/>
  <c r="AE579" i="20"/>
  <c r="AE578" i="20"/>
  <c r="AE577" i="20"/>
  <c r="AE576" i="20"/>
  <c r="AE575" i="20"/>
  <c r="AD575" i="20"/>
  <c r="AC575" i="20"/>
  <c r="AE574" i="20"/>
  <c r="AD574" i="20"/>
  <c r="AC574" i="20"/>
  <c r="AE573" i="20"/>
  <c r="AD573" i="20"/>
  <c r="AC573" i="20"/>
  <c r="AE572" i="20"/>
  <c r="AD572" i="20"/>
  <c r="AC572" i="20"/>
  <c r="AE571" i="20"/>
  <c r="AD571" i="20"/>
  <c r="AC571" i="20"/>
  <c r="AE570" i="20"/>
  <c r="AD570" i="20"/>
  <c r="AC570" i="20"/>
  <c r="AE569" i="20"/>
  <c r="AD569" i="20"/>
  <c r="AC569" i="20"/>
  <c r="AE568" i="20"/>
  <c r="AD568" i="20"/>
  <c r="AC568" i="20"/>
  <c r="AE567" i="20"/>
  <c r="AD567" i="20"/>
  <c r="AC567" i="20"/>
  <c r="AE566" i="20"/>
  <c r="AD566" i="20"/>
  <c r="AC566" i="20"/>
  <c r="AE565" i="20"/>
  <c r="AD565" i="20"/>
  <c r="AC565" i="20"/>
  <c r="AE564" i="20"/>
  <c r="AD564" i="20"/>
  <c r="AC564" i="20"/>
  <c r="AE563" i="20"/>
  <c r="AE562" i="20"/>
  <c r="AE561" i="20"/>
  <c r="AE560" i="20"/>
  <c r="AE559" i="20"/>
  <c r="AE558" i="20"/>
  <c r="AE557" i="20"/>
  <c r="AE556" i="20"/>
  <c r="AE555" i="20"/>
  <c r="AE554" i="20"/>
  <c r="AE553" i="20"/>
  <c r="AE552" i="20"/>
  <c r="AE551" i="20"/>
  <c r="AE550" i="20"/>
  <c r="AE549" i="20"/>
  <c r="AE548" i="20"/>
  <c r="AE547" i="20"/>
  <c r="AE546" i="20"/>
  <c r="AE545" i="20"/>
  <c r="AE544" i="20"/>
  <c r="AE543" i="20"/>
  <c r="AE542" i="20"/>
  <c r="AE541" i="20"/>
  <c r="AE540" i="20"/>
  <c r="AE539" i="20"/>
  <c r="AE538" i="20"/>
  <c r="AE537" i="20"/>
  <c r="AE536" i="20"/>
  <c r="AE535" i="20"/>
  <c r="AE534" i="20"/>
  <c r="AE533" i="20"/>
  <c r="AE532" i="20"/>
  <c r="AE531" i="20"/>
  <c r="AE530" i="20"/>
  <c r="AE529" i="20"/>
  <c r="AE528" i="20"/>
  <c r="AE527" i="20"/>
  <c r="AE526" i="20"/>
  <c r="AE525" i="20"/>
  <c r="AE524" i="20"/>
  <c r="AE523" i="20"/>
  <c r="AE522" i="20"/>
  <c r="AE521" i="20"/>
  <c r="AE520" i="20"/>
  <c r="AE519" i="20"/>
  <c r="AE518" i="20"/>
  <c r="AE517" i="20"/>
  <c r="AE516" i="20"/>
  <c r="AE515" i="20"/>
  <c r="AE514" i="20"/>
  <c r="AE513" i="20"/>
  <c r="AE512" i="20"/>
  <c r="AE511" i="20"/>
  <c r="AE510" i="20"/>
  <c r="AE509" i="20"/>
  <c r="AE508" i="20"/>
  <c r="AE507" i="20"/>
  <c r="AE506" i="20"/>
  <c r="AE505" i="20"/>
  <c r="AE504" i="20"/>
  <c r="AE503" i="20"/>
  <c r="AE502" i="20"/>
  <c r="AE501" i="20"/>
  <c r="AE500" i="20"/>
  <c r="AE499" i="20"/>
  <c r="AE498" i="20"/>
  <c r="AE497" i="20"/>
  <c r="AE496" i="20"/>
  <c r="AE495" i="20"/>
  <c r="AE494" i="20"/>
  <c r="AE493" i="20"/>
  <c r="AE492" i="20"/>
  <c r="AE491" i="20"/>
  <c r="AE490" i="20"/>
  <c r="AE489" i="20"/>
  <c r="AE488" i="20"/>
  <c r="AE487" i="20"/>
  <c r="AE486" i="20"/>
  <c r="AE485" i="20"/>
  <c r="AE484" i="20"/>
  <c r="AE483" i="20"/>
  <c r="AE482" i="20"/>
  <c r="AE481" i="20"/>
  <c r="AE480" i="20"/>
  <c r="AE479" i="20"/>
  <c r="AE478" i="20"/>
  <c r="AE477" i="20"/>
  <c r="AE476" i="20"/>
  <c r="AE475" i="20"/>
  <c r="AE474" i="20"/>
  <c r="AE473" i="20"/>
  <c r="AE472" i="20"/>
  <c r="AE471" i="20"/>
  <c r="AE470" i="20"/>
  <c r="AE469" i="20"/>
  <c r="AE468" i="20"/>
  <c r="AE467" i="20"/>
  <c r="AE466" i="20"/>
  <c r="AE465" i="20"/>
  <c r="AE464" i="20"/>
  <c r="AE463" i="20"/>
  <c r="AE462" i="20"/>
  <c r="AE461" i="20"/>
  <c r="AE460" i="20"/>
  <c r="AE459" i="20"/>
  <c r="AE458" i="20"/>
  <c r="AE457" i="20"/>
  <c r="AE456" i="20"/>
  <c r="AE455" i="20"/>
  <c r="AE454" i="20"/>
  <c r="AE453" i="20"/>
  <c r="AE452" i="20"/>
  <c r="AE451" i="20"/>
  <c r="AE450" i="20"/>
  <c r="AE449" i="20"/>
  <c r="AE448" i="20"/>
  <c r="AE447" i="20"/>
  <c r="AE446" i="20"/>
  <c r="AE445" i="20"/>
  <c r="AE444" i="20"/>
  <c r="AE443" i="20"/>
  <c r="AE442" i="20"/>
  <c r="AE441" i="20"/>
  <c r="AE440" i="20"/>
  <c r="AE439" i="20"/>
  <c r="AE438" i="20"/>
  <c r="AE437" i="20"/>
  <c r="AE436" i="20"/>
  <c r="AE435" i="20"/>
  <c r="AE434" i="20"/>
  <c r="AE433" i="20"/>
  <c r="AE432" i="20"/>
  <c r="AE431" i="20"/>
  <c r="AE430" i="20"/>
  <c r="AE429" i="20"/>
  <c r="AE428" i="20"/>
  <c r="AE427" i="20"/>
  <c r="AE426" i="20"/>
  <c r="AE425" i="20"/>
  <c r="AE424" i="20"/>
  <c r="AE423" i="20"/>
  <c r="AE422" i="20"/>
  <c r="AE421" i="20"/>
  <c r="AE420" i="20"/>
  <c r="AE419" i="20"/>
  <c r="AE418" i="20"/>
  <c r="AE417" i="20"/>
  <c r="AE416" i="20"/>
  <c r="AE415" i="20"/>
  <c r="AE414" i="20"/>
  <c r="AE413" i="20"/>
  <c r="AE412" i="20"/>
  <c r="AE411" i="20"/>
  <c r="AE410" i="20"/>
  <c r="AE409" i="20"/>
  <c r="AE408" i="20"/>
  <c r="AE407" i="20"/>
  <c r="AE406" i="20"/>
  <c r="AE405" i="20"/>
  <c r="AE404" i="20"/>
  <c r="AE403" i="20"/>
  <c r="AE402" i="20"/>
  <c r="AE401" i="20"/>
  <c r="AE400" i="20"/>
  <c r="AE399" i="20"/>
  <c r="AE398" i="20"/>
  <c r="AE397" i="20"/>
  <c r="AE396" i="20"/>
  <c r="AE395" i="20"/>
  <c r="AE394" i="20"/>
  <c r="AE393" i="20"/>
  <c r="AE392" i="20"/>
  <c r="AE391" i="20"/>
  <c r="AE390" i="20"/>
  <c r="AE389" i="20"/>
  <c r="AE388" i="20"/>
  <c r="AE387" i="20"/>
  <c r="AE386" i="20"/>
  <c r="AE385" i="20"/>
  <c r="AE384" i="20"/>
  <c r="AE383" i="20"/>
  <c r="AE382" i="20"/>
  <c r="AE381" i="20"/>
  <c r="AE380" i="20"/>
  <c r="AE379" i="20"/>
  <c r="AE378" i="20"/>
  <c r="AE377" i="20"/>
  <c r="AE376" i="20"/>
  <c r="AE375" i="20"/>
  <c r="AE374" i="20"/>
  <c r="AE373" i="20"/>
  <c r="AE372" i="20"/>
  <c r="AE371" i="20"/>
  <c r="AE370" i="20"/>
  <c r="AE369" i="20"/>
  <c r="AE368" i="20"/>
  <c r="AE367" i="20"/>
  <c r="AE366" i="20"/>
  <c r="AE365" i="20"/>
  <c r="AE364" i="20"/>
  <c r="AE363" i="20"/>
  <c r="AE362" i="20"/>
  <c r="AE361" i="20"/>
  <c r="AE360" i="20"/>
  <c r="AE359" i="20"/>
  <c r="AE358" i="20"/>
  <c r="AE357" i="20"/>
  <c r="AE356" i="20"/>
  <c r="AE355" i="20"/>
  <c r="AE354" i="20"/>
  <c r="AE353" i="20"/>
  <c r="AE352" i="20"/>
  <c r="AE351" i="20"/>
  <c r="AE350" i="20"/>
  <c r="AE349" i="20"/>
  <c r="AE348" i="20"/>
  <c r="AE347" i="20"/>
  <c r="AE346" i="20"/>
  <c r="AE345" i="20"/>
  <c r="AE344" i="20"/>
  <c r="AE343" i="20"/>
  <c r="AE342" i="20"/>
  <c r="AE341" i="20"/>
  <c r="AE340" i="20"/>
  <c r="AE339" i="20"/>
  <c r="AE338" i="20"/>
  <c r="AE337" i="20"/>
  <c r="AE336" i="20"/>
  <c r="AE335" i="20"/>
  <c r="AE334" i="20"/>
  <c r="AE333" i="20"/>
  <c r="AE332" i="20"/>
  <c r="AE331" i="20"/>
  <c r="AE330" i="20"/>
  <c r="AE329" i="20"/>
  <c r="AE328" i="20"/>
  <c r="AE327" i="20"/>
  <c r="AE326" i="20"/>
  <c r="AE325" i="20"/>
  <c r="AE324" i="20"/>
  <c r="AE323" i="20"/>
  <c r="AE322" i="20"/>
  <c r="AE321" i="20"/>
  <c r="AE320" i="20"/>
  <c r="AE319" i="20"/>
  <c r="AE318" i="20"/>
  <c r="AE317" i="20"/>
  <c r="AE316" i="20"/>
  <c r="AE315" i="20"/>
  <c r="AE314" i="20"/>
  <c r="AE313" i="20"/>
  <c r="AE312" i="20"/>
  <c r="AE311" i="20"/>
  <c r="AE310" i="20"/>
  <c r="AE309" i="20"/>
  <c r="AE308" i="20"/>
  <c r="AE307" i="20"/>
  <c r="AE306" i="20"/>
  <c r="AE305" i="20"/>
  <c r="AE304" i="20"/>
  <c r="AE303" i="20"/>
  <c r="AE302" i="20"/>
  <c r="AE301" i="20"/>
  <c r="AE300" i="20"/>
  <c r="AE299" i="20"/>
  <c r="AE298" i="20"/>
  <c r="AE297" i="20"/>
  <c r="AE296" i="20"/>
  <c r="AE295" i="20"/>
  <c r="AE294" i="20"/>
  <c r="AE293" i="20"/>
  <c r="AE292" i="20"/>
  <c r="AE291" i="20"/>
  <c r="AE290" i="20"/>
  <c r="AE289" i="20"/>
  <c r="AE288" i="20"/>
  <c r="AE287" i="20"/>
  <c r="AE286" i="20"/>
  <c r="AE285" i="20"/>
  <c r="AE284" i="20"/>
  <c r="AE283" i="20"/>
  <c r="AE282" i="20"/>
  <c r="AE281" i="20"/>
  <c r="AE280" i="20"/>
  <c r="AE279" i="20"/>
  <c r="AE278" i="20"/>
  <c r="AE277" i="20"/>
  <c r="AE276" i="20"/>
  <c r="AE275" i="20"/>
  <c r="AE274" i="20"/>
  <c r="AE273" i="20"/>
  <c r="AE272" i="20"/>
  <c r="AE271" i="20"/>
  <c r="AE270" i="20"/>
  <c r="AE269" i="20"/>
  <c r="AE268" i="20"/>
  <c r="AE267" i="20"/>
  <c r="AE266" i="20"/>
  <c r="AE265" i="20"/>
  <c r="AE264" i="20"/>
  <c r="AE263" i="20"/>
  <c r="AE262" i="20"/>
  <c r="AE261" i="20"/>
  <c r="AE260" i="20"/>
  <c r="AE259" i="20"/>
  <c r="AE258" i="20"/>
  <c r="AE257" i="20"/>
  <c r="AE256" i="20"/>
  <c r="AE255" i="20"/>
  <c r="AE254" i="20"/>
  <c r="AE253" i="20"/>
  <c r="AE252" i="20"/>
  <c r="AE251" i="20"/>
  <c r="AE250" i="20"/>
  <c r="AD250" i="20"/>
  <c r="AC250" i="20"/>
  <c r="AE249" i="20"/>
  <c r="AD249" i="20"/>
  <c r="AC249" i="20"/>
  <c r="AE248" i="20"/>
  <c r="AD248" i="20"/>
  <c r="AC248" i="20"/>
  <c r="AE247" i="20"/>
  <c r="AD247" i="20"/>
  <c r="AC247" i="20"/>
  <c r="AE246" i="20"/>
  <c r="AD246" i="20"/>
  <c r="AC246" i="20"/>
  <c r="AE245" i="20"/>
  <c r="AD245" i="20"/>
  <c r="AC245" i="20"/>
  <c r="AE244" i="20"/>
  <c r="AD244" i="20"/>
  <c r="AC244" i="20"/>
  <c r="AE243" i="20"/>
  <c r="AD243" i="20"/>
  <c r="AC243" i="20"/>
  <c r="AE242" i="20"/>
  <c r="AD242" i="20"/>
  <c r="AC242" i="20"/>
  <c r="AE241" i="20"/>
  <c r="AD241" i="20"/>
  <c r="AC241" i="20"/>
  <c r="AE240" i="20"/>
  <c r="AD240" i="20"/>
  <c r="AC240" i="20"/>
  <c r="AE239" i="20"/>
  <c r="AD239" i="20"/>
  <c r="AC239" i="20"/>
  <c r="AG238" i="20"/>
  <c r="AF238" i="20"/>
  <c r="AB238" i="20"/>
  <c r="AG237" i="20"/>
  <c r="AF237" i="20"/>
  <c r="AB237" i="20"/>
  <c r="AG236" i="20"/>
  <c r="AF236" i="20"/>
  <c r="AB236" i="20"/>
  <c r="AG235" i="20"/>
  <c r="AF235" i="20"/>
  <c r="AB235" i="20"/>
  <c r="AG234" i="20"/>
  <c r="AF234" i="20"/>
  <c r="AB234" i="20"/>
  <c r="AG233" i="20"/>
  <c r="AF233" i="20"/>
  <c r="AB233" i="20"/>
  <c r="AG232" i="20"/>
  <c r="AF232" i="20"/>
  <c r="AB232" i="20"/>
  <c r="AG231" i="20"/>
  <c r="AF231" i="20"/>
  <c r="AB231" i="20"/>
  <c r="AG230" i="20"/>
  <c r="AF230" i="20"/>
  <c r="AB230" i="20"/>
  <c r="AG229" i="20"/>
  <c r="AF229" i="20"/>
  <c r="AB229" i="20"/>
  <c r="AG228" i="20"/>
  <c r="AF228" i="20"/>
  <c r="AB228" i="20"/>
  <c r="AG227" i="20"/>
  <c r="AF227" i="20"/>
  <c r="AB227" i="20"/>
  <c r="AE226" i="20"/>
  <c r="AD226" i="20"/>
  <c r="AC226" i="20"/>
  <c r="AE225" i="20"/>
  <c r="AD225" i="20"/>
  <c r="AC225" i="20"/>
  <c r="AE224" i="20"/>
  <c r="AD224" i="20"/>
  <c r="AC224" i="20"/>
  <c r="AE223" i="20"/>
  <c r="AD223" i="20"/>
  <c r="AC223" i="20"/>
  <c r="AE222" i="20"/>
  <c r="AD222" i="20"/>
  <c r="AC222" i="20"/>
  <c r="AE221" i="20"/>
  <c r="AD221" i="20"/>
  <c r="AC221" i="20"/>
  <c r="AE220" i="20"/>
  <c r="AD220" i="20"/>
  <c r="AC220" i="20"/>
  <c r="AE219" i="20"/>
  <c r="AD219" i="20"/>
  <c r="AC219" i="20"/>
  <c r="AE218" i="20"/>
  <c r="AD218" i="20"/>
  <c r="AC218" i="20"/>
  <c r="AE217" i="20"/>
  <c r="AD217" i="20"/>
  <c r="AC217" i="20"/>
  <c r="AE216" i="20"/>
  <c r="AD216" i="20"/>
  <c r="AC216" i="20"/>
  <c r="AE215" i="20"/>
  <c r="AD215" i="20"/>
  <c r="AC215" i="20"/>
  <c r="AE214" i="20"/>
  <c r="AD214" i="20"/>
  <c r="AC214" i="20"/>
  <c r="AE213" i="20"/>
  <c r="AD213" i="20"/>
  <c r="AC213" i="20"/>
  <c r="AE212" i="20"/>
  <c r="AD212" i="20"/>
  <c r="AC212" i="20"/>
  <c r="AE211" i="20"/>
  <c r="AD211" i="20"/>
  <c r="AC211" i="20"/>
  <c r="AE210" i="20"/>
  <c r="AD210" i="20"/>
  <c r="AC210" i="20"/>
  <c r="AE209" i="20"/>
  <c r="AD209" i="20"/>
  <c r="AC209" i="20"/>
  <c r="AE208" i="20"/>
  <c r="AD208" i="20"/>
  <c r="AC208" i="20"/>
  <c r="AE207" i="20"/>
  <c r="AD207" i="20"/>
  <c r="AC207" i="20"/>
  <c r="AE206" i="20"/>
  <c r="AD206" i="20"/>
  <c r="AC206" i="20"/>
  <c r="AE205" i="20"/>
  <c r="AD205" i="20"/>
  <c r="AC205" i="20"/>
  <c r="AE204" i="20"/>
  <c r="AD204" i="20"/>
  <c r="AC204" i="20"/>
  <c r="AE203" i="20"/>
  <c r="AD203" i="20"/>
  <c r="AC203" i="20"/>
  <c r="AG202" i="20"/>
  <c r="AF202" i="20"/>
  <c r="AB202" i="20"/>
  <c r="AG201" i="20"/>
  <c r="AF201" i="20"/>
  <c r="AB201" i="20"/>
  <c r="AG200" i="20"/>
  <c r="AF200" i="20"/>
  <c r="AB200" i="20"/>
  <c r="AG199" i="20"/>
  <c r="AF199" i="20"/>
  <c r="AB199" i="20"/>
  <c r="AG198" i="20"/>
  <c r="AF198" i="20"/>
  <c r="AB198" i="20"/>
  <c r="AG197" i="20"/>
  <c r="AF197" i="20"/>
  <c r="AB197" i="20"/>
  <c r="AG196" i="20"/>
  <c r="AF196" i="20"/>
  <c r="AB196" i="20"/>
  <c r="AG195" i="20"/>
  <c r="AF195" i="20"/>
  <c r="AB195" i="20"/>
  <c r="AG194" i="20"/>
  <c r="AF194" i="20"/>
  <c r="AB194" i="20"/>
  <c r="AG193" i="20"/>
  <c r="AF193" i="20"/>
  <c r="AB193" i="20"/>
  <c r="AG192" i="20"/>
  <c r="AF192" i="20"/>
  <c r="AB192" i="20"/>
  <c r="AG191" i="20"/>
  <c r="AF191" i="20"/>
  <c r="AB191" i="20"/>
  <c r="AE190" i="20"/>
  <c r="AD190" i="20"/>
  <c r="AC190" i="20"/>
  <c r="AE189" i="20"/>
  <c r="AD189" i="20"/>
  <c r="AC189" i="20"/>
  <c r="AE188" i="20"/>
  <c r="AD188" i="20"/>
  <c r="AC188" i="20"/>
  <c r="AE187" i="20"/>
  <c r="AD187" i="20"/>
  <c r="AC187" i="20"/>
  <c r="AE186" i="20"/>
  <c r="AD186" i="20"/>
  <c r="AC186" i="20"/>
  <c r="AE185" i="20"/>
  <c r="AD185" i="20"/>
  <c r="AC185" i="20"/>
  <c r="AE184" i="20"/>
  <c r="AD184" i="20"/>
  <c r="AC184" i="20"/>
  <c r="AE183" i="20"/>
  <c r="AD183" i="20"/>
  <c r="AC183" i="20"/>
  <c r="AE182" i="20"/>
  <c r="AD182" i="20"/>
  <c r="AC182" i="20"/>
  <c r="AE181" i="20"/>
  <c r="AD181" i="20"/>
  <c r="AC181" i="20"/>
  <c r="AE180" i="20"/>
  <c r="AD180" i="20"/>
  <c r="AC180" i="20"/>
  <c r="AE179" i="20"/>
  <c r="AD179" i="20"/>
  <c r="AC179" i="20"/>
  <c r="AE178" i="20"/>
  <c r="AE177" i="20"/>
  <c r="AE176" i="20"/>
  <c r="AE175" i="20"/>
  <c r="AE174" i="20"/>
  <c r="AE173" i="20"/>
  <c r="AE172" i="20"/>
  <c r="AE171" i="20"/>
  <c r="AE170" i="20"/>
  <c r="AE169" i="20"/>
  <c r="AE168" i="20"/>
  <c r="AE167" i="20"/>
  <c r="AE166" i="20"/>
  <c r="AE165" i="20"/>
  <c r="AE164" i="20"/>
  <c r="AG163" i="20"/>
  <c r="AF163" i="20"/>
  <c r="AG162" i="20"/>
  <c r="AF162" i="20"/>
  <c r="AG161" i="20"/>
  <c r="AF161" i="20"/>
  <c r="AG160" i="20"/>
  <c r="AF160" i="20"/>
  <c r="AG159" i="20"/>
  <c r="AF159" i="20"/>
  <c r="AG158" i="20"/>
  <c r="AF158" i="20"/>
  <c r="AG157" i="20"/>
  <c r="AF157" i="20"/>
  <c r="AG156" i="20"/>
  <c r="AF156" i="20"/>
  <c r="AG155" i="20"/>
  <c r="AF155" i="20"/>
  <c r="AG154" i="20"/>
  <c r="AF154" i="20"/>
  <c r="AG153" i="20"/>
  <c r="AF153" i="20"/>
  <c r="AG152" i="20"/>
  <c r="AF152" i="20"/>
  <c r="AG151" i="20"/>
  <c r="AF151" i="20"/>
  <c r="AG150" i="20"/>
  <c r="AF150" i="20"/>
  <c r="AG149" i="20"/>
  <c r="AF149" i="20"/>
  <c r="AG148" i="20"/>
  <c r="AF148" i="20"/>
  <c r="AG147" i="20"/>
  <c r="AF147" i="20"/>
  <c r="AG146" i="20"/>
  <c r="AF146" i="20"/>
  <c r="AG145" i="20"/>
  <c r="AF145" i="20"/>
  <c r="AG144" i="20"/>
  <c r="AF144" i="20"/>
  <c r="AG143" i="20"/>
  <c r="AF143" i="20"/>
  <c r="AG142" i="20"/>
  <c r="AF142" i="20"/>
  <c r="AG141" i="20"/>
  <c r="AF141" i="20"/>
  <c r="AE140" i="20"/>
  <c r="AE139" i="20"/>
  <c r="AE138" i="20"/>
  <c r="AE137" i="20"/>
  <c r="AE136" i="20"/>
  <c r="AE135" i="20"/>
  <c r="AE134" i="20"/>
  <c r="AE133" i="20"/>
  <c r="AE132" i="20"/>
  <c r="AE131" i="20"/>
  <c r="AE130" i="20"/>
  <c r="AE129" i="20"/>
  <c r="AE128" i="20"/>
  <c r="AG127" i="20"/>
  <c r="AE127" i="20"/>
  <c r="AG126" i="20"/>
  <c r="AE126" i="20"/>
  <c r="AG125" i="20"/>
  <c r="AE125" i="20"/>
  <c r="AG124" i="20"/>
  <c r="AE124" i="20"/>
  <c r="AG123" i="20"/>
  <c r="AE123" i="20"/>
  <c r="AG122" i="20"/>
  <c r="AE122" i="20"/>
  <c r="AG121" i="20"/>
  <c r="AE121" i="20"/>
  <c r="AG120" i="20"/>
  <c r="AE120" i="20"/>
  <c r="AG119" i="20"/>
  <c r="AE119" i="20"/>
  <c r="AG118" i="20"/>
  <c r="AE118" i="20"/>
  <c r="AG117" i="20"/>
  <c r="AE117" i="20"/>
  <c r="AG116" i="20"/>
  <c r="AE116" i="20"/>
  <c r="AG115" i="20"/>
  <c r="AE115" i="20"/>
  <c r="AG114" i="20"/>
  <c r="AE114" i="20"/>
  <c r="AG113" i="20"/>
  <c r="AE113" i="20"/>
  <c r="AG112" i="20"/>
  <c r="AE112" i="20"/>
  <c r="AG111" i="20"/>
  <c r="AE111" i="20"/>
  <c r="AG110" i="20"/>
  <c r="AE110" i="20"/>
  <c r="AG109" i="20"/>
  <c r="AE109" i="20"/>
  <c r="AG108" i="20"/>
  <c r="AE108" i="20"/>
  <c r="AG107" i="20"/>
  <c r="AE107" i="20"/>
  <c r="AG106" i="20"/>
  <c r="AE106" i="20"/>
  <c r="AG105" i="20"/>
  <c r="AE105" i="20"/>
  <c r="AG104" i="20"/>
  <c r="AE104" i="20"/>
  <c r="AG103" i="20"/>
  <c r="AF103" i="20"/>
  <c r="AG102" i="20"/>
  <c r="AF102" i="20"/>
  <c r="AG101" i="20"/>
  <c r="AF101" i="20"/>
  <c r="AG100" i="20"/>
  <c r="AF100" i="20"/>
  <c r="AG99" i="20"/>
  <c r="AF99" i="20"/>
  <c r="AG98" i="20"/>
  <c r="AF98" i="20"/>
  <c r="AG97" i="20"/>
  <c r="AF97" i="20"/>
  <c r="AG96" i="20"/>
  <c r="AF96" i="20"/>
  <c r="AG95" i="20"/>
  <c r="AF95" i="20"/>
  <c r="AG94" i="20"/>
  <c r="AF94" i="20"/>
  <c r="AG93" i="20"/>
  <c r="AF93" i="20"/>
  <c r="AG92" i="20"/>
  <c r="AF92" i="20"/>
  <c r="AG91" i="20"/>
  <c r="AF91" i="20"/>
  <c r="AG90" i="20"/>
  <c r="AF90" i="20"/>
  <c r="AG89" i="20"/>
  <c r="AF89" i="20"/>
  <c r="AG88" i="20"/>
  <c r="AF88" i="20"/>
  <c r="AG87" i="20"/>
  <c r="AF87" i="20"/>
  <c r="AG86" i="20"/>
  <c r="AF86" i="20"/>
  <c r="AG85" i="20"/>
  <c r="AF85" i="20"/>
  <c r="AG84" i="20"/>
  <c r="AF84" i="20"/>
  <c r="AG83" i="20"/>
  <c r="AF83" i="20"/>
  <c r="AG82" i="20"/>
  <c r="AF82" i="20"/>
  <c r="AG81" i="20"/>
  <c r="AF81" i="20"/>
  <c r="AG80" i="20"/>
  <c r="AF80" i="20"/>
  <c r="AG79" i="20"/>
  <c r="AE79" i="20"/>
  <c r="AG78" i="20"/>
  <c r="AE78" i="20"/>
  <c r="AG77" i="20"/>
  <c r="AE77" i="20"/>
  <c r="AG76" i="20"/>
  <c r="AE76" i="20"/>
  <c r="AG75" i="20"/>
  <c r="AE75" i="20"/>
  <c r="AG74" i="20"/>
  <c r="AE74" i="20"/>
  <c r="AG73" i="20"/>
  <c r="AE73" i="20"/>
  <c r="AG72" i="20"/>
  <c r="AE72" i="20"/>
  <c r="AG71" i="20"/>
  <c r="AE71" i="20"/>
  <c r="AG70" i="20"/>
  <c r="AE70" i="20"/>
  <c r="AG69" i="20"/>
  <c r="AE69" i="20"/>
  <c r="AG68" i="20"/>
  <c r="AE68" i="20"/>
  <c r="AG67" i="20"/>
  <c r="AE67" i="20"/>
  <c r="AG66" i="20"/>
  <c r="AE66" i="20"/>
  <c r="AG65" i="20"/>
  <c r="AE65" i="20"/>
  <c r="AG64" i="20"/>
  <c r="AE64" i="20"/>
  <c r="AG63" i="20"/>
  <c r="AE63" i="20"/>
  <c r="AG62" i="20"/>
  <c r="AE62" i="20"/>
  <c r="AG61" i="20"/>
  <c r="AE61" i="20"/>
  <c r="AG60" i="20"/>
  <c r="AE60" i="20"/>
  <c r="AG59" i="20"/>
  <c r="AE59" i="20"/>
  <c r="AG58" i="20"/>
  <c r="AE58" i="20"/>
  <c r="AG57" i="20"/>
  <c r="AE57" i="20"/>
  <c r="AG56" i="20"/>
  <c r="AE56" i="20"/>
  <c r="AE55" i="20"/>
  <c r="AE54" i="20"/>
  <c r="AE53" i="20"/>
  <c r="AE52" i="20"/>
  <c r="AE51" i="20"/>
  <c r="AE50" i="20"/>
  <c r="AE49" i="20"/>
  <c r="AE48" i="20"/>
  <c r="AE47" i="20"/>
  <c r="AE46" i="20"/>
  <c r="AE45" i="20"/>
  <c r="AE44" i="20"/>
  <c r="AE43" i="20"/>
  <c r="AE42" i="20"/>
  <c r="AE41" i="20"/>
  <c r="AE40" i="20"/>
  <c r="AE39" i="20"/>
  <c r="AE38" i="20"/>
  <c r="AG37" i="20"/>
  <c r="AF37" i="20"/>
  <c r="AG36" i="20"/>
  <c r="AF36" i="20"/>
  <c r="AG35" i="20"/>
  <c r="AF35" i="20"/>
  <c r="AG34" i="20"/>
  <c r="AF34" i="20"/>
  <c r="AG33" i="20"/>
  <c r="AF33" i="20"/>
  <c r="AG32" i="20"/>
  <c r="AF32" i="20"/>
  <c r="AG31" i="20"/>
  <c r="AF31" i="20"/>
  <c r="AG30" i="20"/>
  <c r="AF30" i="20"/>
  <c r="AG29" i="20"/>
  <c r="AF29" i="20"/>
  <c r="AG28" i="20"/>
  <c r="AF28" i="20"/>
  <c r="AG27" i="20"/>
  <c r="AF27" i="20"/>
  <c r="AG26" i="20"/>
  <c r="AF26" i="20"/>
  <c r="AG25" i="20"/>
  <c r="AF25" i="20"/>
  <c r="AG24" i="20"/>
  <c r="AF24" i="20"/>
  <c r="AG23" i="20"/>
  <c r="AF23" i="20"/>
  <c r="AG22" i="20"/>
  <c r="AF22" i="20"/>
  <c r="AG21" i="20"/>
  <c r="AF21" i="20"/>
  <c r="AG20" i="20"/>
  <c r="AF20" i="20"/>
  <c r="AE19" i="20"/>
  <c r="AE18" i="20"/>
  <c r="AE17" i="20"/>
  <c r="AE16" i="20"/>
  <c r="AE15" i="20"/>
  <c r="AE14" i="20"/>
  <c r="AE13" i="20"/>
  <c r="AE12" i="20"/>
  <c r="AE11" i="20"/>
  <c r="AE10" i="20"/>
  <c r="AE9" i="20"/>
  <c r="AE8" i="20"/>
  <c r="AE7" i="20"/>
  <c r="AE6" i="20"/>
  <c r="AE5" i="20"/>
  <c r="AE4" i="20"/>
  <c r="AE3" i="20"/>
  <c r="AE2" i="20"/>
  <c r="X587" i="20"/>
  <c r="AD587" i="20" s="1"/>
  <c r="W587" i="20"/>
  <c r="AC587" i="20" s="1"/>
  <c r="V587" i="20"/>
  <c r="AB587" i="20" s="1"/>
  <c r="X586" i="20"/>
  <c r="AD586" i="20" s="1"/>
  <c r="W586" i="20"/>
  <c r="AC586" i="20" s="1"/>
  <c r="V586" i="20"/>
  <c r="AB586" i="20" s="1"/>
  <c r="X585" i="20"/>
  <c r="AD585" i="20" s="1"/>
  <c r="W585" i="20"/>
  <c r="AC585" i="20" s="1"/>
  <c r="V585" i="20"/>
  <c r="AB585" i="20" s="1"/>
  <c r="X584" i="20"/>
  <c r="AD584" i="20" s="1"/>
  <c r="W584" i="20"/>
  <c r="AC584" i="20" s="1"/>
  <c r="V584" i="20"/>
  <c r="AB584" i="20" s="1"/>
  <c r="X583" i="20"/>
  <c r="AD583" i="20" s="1"/>
  <c r="W583" i="20"/>
  <c r="AC583" i="20" s="1"/>
  <c r="V583" i="20"/>
  <c r="AB583" i="20" s="1"/>
  <c r="X582" i="20"/>
  <c r="AD582" i="20" s="1"/>
  <c r="W582" i="20"/>
  <c r="AC582" i="20" s="1"/>
  <c r="V582" i="20"/>
  <c r="AB582" i="20" s="1"/>
  <c r="X581" i="20"/>
  <c r="AD581" i="20" s="1"/>
  <c r="W581" i="20"/>
  <c r="AC581" i="20" s="1"/>
  <c r="V581" i="20"/>
  <c r="AB581" i="20" s="1"/>
  <c r="X580" i="20"/>
  <c r="AD580" i="20" s="1"/>
  <c r="W580" i="20"/>
  <c r="AC580" i="20" s="1"/>
  <c r="V580" i="20"/>
  <c r="AB580" i="20" s="1"/>
  <c r="X579" i="20"/>
  <c r="AD579" i="20" s="1"/>
  <c r="W579" i="20"/>
  <c r="AC579" i="20" s="1"/>
  <c r="V579" i="20"/>
  <c r="AB579" i="20" s="1"/>
  <c r="X578" i="20"/>
  <c r="AD578" i="20" s="1"/>
  <c r="W578" i="20"/>
  <c r="AC578" i="20" s="1"/>
  <c r="V578" i="20"/>
  <c r="AB578" i="20" s="1"/>
  <c r="X577" i="20"/>
  <c r="AD577" i="20" s="1"/>
  <c r="W577" i="20"/>
  <c r="AC577" i="20" s="1"/>
  <c r="V577" i="20"/>
  <c r="AB577" i="20" s="1"/>
  <c r="X576" i="20"/>
  <c r="AD576" i="20" s="1"/>
  <c r="AO6" i="20" s="1"/>
  <c r="W576" i="20"/>
  <c r="AC576" i="20" s="1"/>
  <c r="V576" i="20"/>
  <c r="AB576" i="20" s="1"/>
  <c r="V575" i="20"/>
  <c r="AB575" i="20" s="1"/>
  <c r="V574" i="20"/>
  <c r="AB574" i="20" s="1"/>
  <c r="V573" i="20"/>
  <c r="AB573" i="20" s="1"/>
  <c r="V572" i="20"/>
  <c r="AB572" i="20" s="1"/>
  <c r="V571" i="20"/>
  <c r="AB571" i="20" s="1"/>
  <c r="V570" i="20"/>
  <c r="AB570" i="20" s="1"/>
  <c r="V569" i="20"/>
  <c r="AB569" i="20" s="1"/>
  <c r="V568" i="20"/>
  <c r="AB568" i="20" s="1"/>
  <c r="V567" i="20"/>
  <c r="AB567" i="20" s="1"/>
  <c r="V566" i="20"/>
  <c r="AB566" i="20" s="1"/>
  <c r="V565" i="20"/>
  <c r="AB565" i="20" s="1"/>
  <c r="V564" i="20"/>
  <c r="AB564" i="20" s="1"/>
  <c r="X563" i="20"/>
  <c r="AD563" i="20" s="1"/>
  <c r="W563" i="20"/>
  <c r="AC563" i="20" s="1"/>
  <c r="V563" i="20"/>
  <c r="AB563" i="20" s="1"/>
  <c r="X562" i="20"/>
  <c r="AD562" i="20" s="1"/>
  <c r="W562" i="20"/>
  <c r="AC562" i="20" s="1"/>
  <c r="V562" i="20"/>
  <c r="AB562" i="20" s="1"/>
  <c r="X561" i="20"/>
  <c r="AD561" i="20" s="1"/>
  <c r="W561" i="20"/>
  <c r="AC561" i="20" s="1"/>
  <c r="V561" i="20"/>
  <c r="AB561" i="20" s="1"/>
  <c r="X560" i="20"/>
  <c r="AD560" i="20" s="1"/>
  <c r="W560" i="20"/>
  <c r="AC560" i="20" s="1"/>
  <c r="V560" i="20"/>
  <c r="AB560" i="20" s="1"/>
  <c r="X559" i="20"/>
  <c r="AD559" i="20" s="1"/>
  <c r="W559" i="20"/>
  <c r="AC559" i="20" s="1"/>
  <c r="V559" i="20"/>
  <c r="AB559" i="20" s="1"/>
  <c r="X558" i="20"/>
  <c r="AD558" i="20" s="1"/>
  <c r="W558" i="20"/>
  <c r="AC558" i="20" s="1"/>
  <c r="V558" i="20"/>
  <c r="AB558" i="20" s="1"/>
  <c r="X557" i="20"/>
  <c r="AD557" i="20" s="1"/>
  <c r="W557" i="20"/>
  <c r="AC557" i="20" s="1"/>
  <c r="V557" i="20"/>
  <c r="AB557" i="20" s="1"/>
  <c r="X556" i="20"/>
  <c r="AD556" i="20" s="1"/>
  <c r="W556" i="20"/>
  <c r="AC556" i="20" s="1"/>
  <c r="V556" i="20"/>
  <c r="AB556" i="20" s="1"/>
  <c r="X555" i="20"/>
  <c r="AD555" i="20" s="1"/>
  <c r="W555" i="20"/>
  <c r="AC555" i="20" s="1"/>
  <c r="V555" i="20"/>
  <c r="AB555" i="20" s="1"/>
  <c r="X554" i="20"/>
  <c r="AD554" i="20" s="1"/>
  <c r="W554" i="20"/>
  <c r="AC554" i="20" s="1"/>
  <c r="V554" i="20"/>
  <c r="AB554" i="20" s="1"/>
  <c r="X553" i="20"/>
  <c r="AD553" i="20" s="1"/>
  <c r="W553" i="20"/>
  <c r="AC553" i="20" s="1"/>
  <c r="V553" i="20"/>
  <c r="AB553" i="20" s="1"/>
  <c r="X552" i="20"/>
  <c r="AD552" i="20" s="1"/>
  <c r="W552" i="20"/>
  <c r="AC552" i="20" s="1"/>
  <c r="V552" i="20"/>
  <c r="AB552" i="20" s="1"/>
  <c r="X551" i="20"/>
  <c r="AD551" i="20" s="1"/>
  <c r="W551" i="20"/>
  <c r="AC551" i="20" s="1"/>
  <c r="V551" i="20"/>
  <c r="AB551" i="20" s="1"/>
  <c r="X550" i="20"/>
  <c r="AD550" i="20" s="1"/>
  <c r="W550" i="20"/>
  <c r="AC550" i="20" s="1"/>
  <c r="V550" i="20"/>
  <c r="AB550" i="20" s="1"/>
  <c r="X549" i="20"/>
  <c r="AD549" i="20" s="1"/>
  <c r="W549" i="20"/>
  <c r="AC549" i="20" s="1"/>
  <c r="V549" i="20"/>
  <c r="AB549" i="20" s="1"/>
  <c r="X548" i="20"/>
  <c r="AD548" i="20" s="1"/>
  <c r="W548" i="20"/>
  <c r="AC548" i="20" s="1"/>
  <c r="V548" i="20"/>
  <c r="AB548" i="20" s="1"/>
  <c r="X547" i="20"/>
  <c r="AD547" i="20" s="1"/>
  <c r="W547" i="20"/>
  <c r="AC547" i="20" s="1"/>
  <c r="V547" i="20"/>
  <c r="AB547" i="20" s="1"/>
  <c r="X546" i="20"/>
  <c r="AD546" i="20" s="1"/>
  <c r="W546" i="20"/>
  <c r="AC546" i="20" s="1"/>
  <c r="V546" i="20"/>
  <c r="AB546" i="20" s="1"/>
  <c r="X545" i="20"/>
  <c r="AD545" i="20" s="1"/>
  <c r="W545" i="20"/>
  <c r="AC545" i="20" s="1"/>
  <c r="V545" i="20"/>
  <c r="AB545" i="20" s="1"/>
  <c r="X544" i="20"/>
  <c r="AD544" i="20" s="1"/>
  <c r="W544" i="20"/>
  <c r="AC544" i="20" s="1"/>
  <c r="V544" i="20"/>
  <c r="AB544" i="20" s="1"/>
  <c r="X543" i="20"/>
  <c r="AD543" i="20" s="1"/>
  <c r="W543" i="20"/>
  <c r="AC543" i="20" s="1"/>
  <c r="V543" i="20"/>
  <c r="AB543" i="20" s="1"/>
  <c r="X542" i="20"/>
  <c r="AD542" i="20" s="1"/>
  <c r="W542" i="20"/>
  <c r="AC542" i="20" s="1"/>
  <c r="V542" i="20"/>
  <c r="AB542" i="20" s="1"/>
  <c r="X541" i="20"/>
  <c r="AD541" i="20" s="1"/>
  <c r="W541" i="20"/>
  <c r="AC541" i="20" s="1"/>
  <c r="V541" i="20"/>
  <c r="AB541" i="20" s="1"/>
  <c r="X540" i="20"/>
  <c r="AD540" i="20" s="1"/>
  <c r="W540" i="20"/>
  <c r="AC540" i="20" s="1"/>
  <c r="V540" i="20"/>
  <c r="AB540" i="20" s="1"/>
  <c r="X539" i="20"/>
  <c r="AD539" i="20" s="1"/>
  <c r="W539" i="20"/>
  <c r="AC539" i="20" s="1"/>
  <c r="V539" i="20"/>
  <c r="AB539" i="20" s="1"/>
  <c r="X538" i="20"/>
  <c r="AD538" i="20" s="1"/>
  <c r="W538" i="20"/>
  <c r="AC538" i="20" s="1"/>
  <c r="V538" i="20"/>
  <c r="AB538" i="20" s="1"/>
  <c r="X537" i="20"/>
  <c r="AD537" i="20" s="1"/>
  <c r="W537" i="20"/>
  <c r="AC537" i="20" s="1"/>
  <c r="V537" i="20"/>
  <c r="AB537" i="20" s="1"/>
  <c r="X536" i="20"/>
  <c r="AD536" i="20" s="1"/>
  <c r="W536" i="20"/>
  <c r="AC536" i="20" s="1"/>
  <c r="V536" i="20"/>
  <c r="AB536" i="20" s="1"/>
  <c r="X535" i="20"/>
  <c r="AD535" i="20" s="1"/>
  <c r="W535" i="20"/>
  <c r="AC535" i="20" s="1"/>
  <c r="V535" i="20"/>
  <c r="AB535" i="20" s="1"/>
  <c r="X534" i="20"/>
  <c r="AD534" i="20" s="1"/>
  <c r="W534" i="20"/>
  <c r="AC534" i="20" s="1"/>
  <c r="V534" i="20"/>
  <c r="AB534" i="20" s="1"/>
  <c r="X533" i="20"/>
  <c r="AD533" i="20" s="1"/>
  <c r="W533" i="20"/>
  <c r="AC533" i="20" s="1"/>
  <c r="V533" i="20"/>
  <c r="AB533" i="20" s="1"/>
  <c r="X532" i="20"/>
  <c r="AD532" i="20" s="1"/>
  <c r="W532" i="20"/>
  <c r="AC532" i="20" s="1"/>
  <c r="V532" i="20"/>
  <c r="AB532" i="20" s="1"/>
  <c r="X531" i="20"/>
  <c r="AD531" i="20" s="1"/>
  <c r="W531" i="20"/>
  <c r="AC531" i="20" s="1"/>
  <c r="V531" i="20"/>
  <c r="AB531" i="20" s="1"/>
  <c r="X530" i="20"/>
  <c r="AD530" i="20" s="1"/>
  <c r="W530" i="20"/>
  <c r="AC530" i="20" s="1"/>
  <c r="V530" i="20"/>
  <c r="AB530" i="20" s="1"/>
  <c r="X529" i="20"/>
  <c r="AD529" i="20" s="1"/>
  <c r="W529" i="20"/>
  <c r="AC529" i="20" s="1"/>
  <c r="V529" i="20"/>
  <c r="AB529" i="20" s="1"/>
  <c r="X528" i="20"/>
  <c r="AD528" i="20" s="1"/>
  <c r="W528" i="20"/>
  <c r="AC528" i="20" s="1"/>
  <c r="V528" i="20"/>
  <c r="AB528" i="20" s="1"/>
  <c r="X527" i="20"/>
  <c r="AD527" i="20" s="1"/>
  <c r="W527" i="20"/>
  <c r="AC527" i="20" s="1"/>
  <c r="V527" i="20"/>
  <c r="AB527" i="20" s="1"/>
  <c r="X526" i="20"/>
  <c r="AD526" i="20" s="1"/>
  <c r="W526" i="20"/>
  <c r="AC526" i="20" s="1"/>
  <c r="V526" i="20"/>
  <c r="AB526" i="20" s="1"/>
  <c r="X525" i="20"/>
  <c r="AD525" i="20" s="1"/>
  <c r="W525" i="20"/>
  <c r="AC525" i="20" s="1"/>
  <c r="V525" i="20"/>
  <c r="AB525" i="20" s="1"/>
  <c r="X524" i="20"/>
  <c r="AD524" i="20" s="1"/>
  <c r="W524" i="20"/>
  <c r="AC524" i="20" s="1"/>
  <c r="V524" i="20"/>
  <c r="AB524" i="20" s="1"/>
  <c r="X523" i="20"/>
  <c r="AD523" i="20" s="1"/>
  <c r="W523" i="20"/>
  <c r="AC523" i="20" s="1"/>
  <c r="V523" i="20"/>
  <c r="AB523" i="20" s="1"/>
  <c r="X522" i="20"/>
  <c r="AD522" i="20" s="1"/>
  <c r="W522" i="20"/>
  <c r="AC522" i="20" s="1"/>
  <c r="V522" i="20"/>
  <c r="AB522" i="20" s="1"/>
  <c r="X521" i="20"/>
  <c r="AD521" i="20" s="1"/>
  <c r="W521" i="20"/>
  <c r="AC521" i="20" s="1"/>
  <c r="V521" i="20"/>
  <c r="AB521" i="20" s="1"/>
  <c r="X520" i="20"/>
  <c r="AD520" i="20" s="1"/>
  <c r="W520" i="20"/>
  <c r="AC520" i="20" s="1"/>
  <c r="V520" i="20"/>
  <c r="AB520" i="20" s="1"/>
  <c r="X519" i="20"/>
  <c r="AD519" i="20" s="1"/>
  <c r="W519" i="20"/>
  <c r="AC519" i="20" s="1"/>
  <c r="V519" i="20"/>
  <c r="AB519" i="20" s="1"/>
  <c r="X518" i="20"/>
  <c r="AD518" i="20" s="1"/>
  <c r="W518" i="20"/>
  <c r="AC518" i="20" s="1"/>
  <c r="V518" i="20"/>
  <c r="AB518" i="20" s="1"/>
  <c r="X517" i="20"/>
  <c r="AD517" i="20" s="1"/>
  <c r="W517" i="20"/>
  <c r="AC517" i="20" s="1"/>
  <c r="V517" i="20"/>
  <c r="AB517" i="20" s="1"/>
  <c r="X516" i="20"/>
  <c r="AD516" i="20" s="1"/>
  <c r="W516" i="20"/>
  <c r="AC516" i="20" s="1"/>
  <c r="V516" i="20"/>
  <c r="AB516" i="20" s="1"/>
  <c r="X515" i="20"/>
  <c r="AD515" i="20" s="1"/>
  <c r="W515" i="20"/>
  <c r="AC515" i="20" s="1"/>
  <c r="V515" i="20"/>
  <c r="AB515" i="20" s="1"/>
  <c r="X514" i="20"/>
  <c r="AD514" i="20" s="1"/>
  <c r="W514" i="20"/>
  <c r="AC514" i="20" s="1"/>
  <c r="V514" i="20"/>
  <c r="AB514" i="20" s="1"/>
  <c r="X513" i="20"/>
  <c r="AD513" i="20" s="1"/>
  <c r="W513" i="20"/>
  <c r="AC513" i="20" s="1"/>
  <c r="V513" i="20"/>
  <c r="AB513" i="20" s="1"/>
  <c r="X512" i="20"/>
  <c r="AD512" i="20" s="1"/>
  <c r="W512" i="20"/>
  <c r="AC512" i="20" s="1"/>
  <c r="V512" i="20"/>
  <c r="AB512" i="20" s="1"/>
  <c r="X511" i="20"/>
  <c r="AD511" i="20" s="1"/>
  <c r="W511" i="20"/>
  <c r="AC511" i="20" s="1"/>
  <c r="V511" i="20"/>
  <c r="AB511" i="20" s="1"/>
  <c r="X510" i="20"/>
  <c r="AD510" i="20" s="1"/>
  <c r="W510" i="20"/>
  <c r="AC510" i="20" s="1"/>
  <c r="V510" i="20"/>
  <c r="AB510" i="20" s="1"/>
  <c r="X509" i="20"/>
  <c r="AD509" i="20" s="1"/>
  <c r="W509" i="20"/>
  <c r="AC509" i="20" s="1"/>
  <c r="V509" i="20"/>
  <c r="AB509" i="20" s="1"/>
  <c r="X508" i="20"/>
  <c r="AD508" i="20" s="1"/>
  <c r="W508" i="20"/>
  <c r="AC508" i="20" s="1"/>
  <c r="V508" i="20"/>
  <c r="AB508" i="20" s="1"/>
  <c r="X507" i="20"/>
  <c r="AD507" i="20" s="1"/>
  <c r="W507" i="20"/>
  <c r="AC507" i="20" s="1"/>
  <c r="V507" i="20"/>
  <c r="AB507" i="20" s="1"/>
  <c r="X506" i="20"/>
  <c r="AD506" i="20" s="1"/>
  <c r="W506" i="20"/>
  <c r="AC506" i="20" s="1"/>
  <c r="V506" i="20"/>
  <c r="AB506" i="20" s="1"/>
  <c r="X505" i="20"/>
  <c r="AD505" i="20" s="1"/>
  <c r="W505" i="20"/>
  <c r="AC505" i="20" s="1"/>
  <c r="V505" i="20"/>
  <c r="AB505" i="20" s="1"/>
  <c r="X504" i="20"/>
  <c r="AD504" i="20" s="1"/>
  <c r="W504" i="20"/>
  <c r="AC504" i="20" s="1"/>
  <c r="V504" i="20"/>
  <c r="AB504" i="20" s="1"/>
  <c r="X503" i="20"/>
  <c r="AD503" i="20" s="1"/>
  <c r="W503" i="20"/>
  <c r="AC503" i="20" s="1"/>
  <c r="V503" i="20"/>
  <c r="AB503" i="20" s="1"/>
  <c r="X502" i="20"/>
  <c r="AD502" i="20" s="1"/>
  <c r="W502" i="20"/>
  <c r="AC502" i="20" s="1"/>
  <c r="V502" i="20"/>
  <c r="AB502" i="20" s="1"/>
  <c r="X501" i="20"/>
  <c r="AD501" i="20" s="1"/>
  <c r="W501" i="20"/>
  <c r="AC501" i="20" s="1"/>
  <c r="V501" i="20"/>
  <c r="AB501" i="20" s="1"/>
  <c r="X500" i="20"/>
  <c r="AD500" i="20" s="1"/>
  <c r="W500" i="20"/>
  <c r="AC500" i="20" s="1"/>
  <c r="V500" i="20"/>
  <c r="AB500" i="20" s="1"/>
  <c r="X499" i="20"/>
  <c r="AD499" i="20" s="1"/>
  <c r="W499" i="20"/>
  <c r="AC499" i="20" s="1"/>
  <c r="V499" i="20"/>
  <c r="AB499" i="20" s="1"/>
  <c r="X498" i="20"/>
  <c r="AD498" i="20" s="1"/>
  <c r="W498" i="20"/>
  <c r="AC498" i="20" s="1"/>
  <c r="V498" i="20"/>
  <c r="AB498" i="20" s="1"/>
  <c r="X497" i="20"/>
  <c r="AD497" i="20" s="1"/>
  <c r="W497" i="20"/>
  <c r="AC497" i="20" s="1"/>
  <c r="V497" i="20"/>
  <c r="AB497" i="20" s="1"/>
  <c r="X496" i="20"/>
  <c r="AD496" i="20" s="1"/>
  <c r="W496" i="20"/>
  <c r="AC496" i="20" s="1"/>
  <c r="V496" i="20"/>
  <c r="AB496" i="20" s="1"/>
  <c r="X495" i="20"/>
  <c r="AD495" i="20" s="1"/>
  <c r="W495" i="20"/>
  <c r="AC495" i="20" s="1"/>
  <c r="V495" i="20"/>
  <c r="AB495" i="20" s="1"/>
  <c r="X494" i="20"/>
  <c r="AD494" i="20" s="1"/>
  <c r="W494" i="20"/>
  <c r="AC494" i="20" s="1"/>
  <c r="V494" i="20"/>
  <c r="AB494" i="20" s="1"/>
  <c r="X493" i="20"/>
  <c r="AD493" i="20" s="1"/>
  <c r="W493" i="20"/>
  <c r="AC493" i="20" s="1"/>
  <c r="V493" i="20"/>
  <c r="AB493" i="20" s="1"/>
  <c r="X492" i="20"/>
  <c r="AD492" i="20" s="1"/>
  <c r="W492" i="20"/>
  <c r="AC492" i="20" s="1"/>
  <c r="V492" i="20"/>
  <c r="AB492" i="20" s="1"/>
  <c r="X491" i="20"/>
  <c r="AD491" i="20" s="1"/>
  <c r="W491" i="20"/>
  <c r="AC491" i="20" s="1"/>
  <c r="V491" i="20"/>
  <c r="AB491" i="20" s="1"/>
  <c r="X490" i="20"/>
  <c r="AD490" i="20" s="1"/>
  <c r="W490" i="20"/>
  <c r="AC490" i="20" s="1"/>
  <c r="V490" i="20"/>
  <c r="AB490" i="20" s="1"/>
  <c r="X489" i="20"/>
  <c r="AD489" i="20" s="1"/>
  <c r="W489" i="20"/>
  <c r="AC489" i="20" s="1"/>
  <c r="V489" i="20"/>
  <c r="AB489" i="20" s="1"/>
  <c r="X488" i="20"/>
  <c r="AD488" i="20" s="1"/>
  <c r="W488" i="20"/>
  <c r="AC488" i="20" s="1"/>
  <c r="V488" i="20"/>
  <c r="AB488" i="20" s="1"/>
  <c r="X487" i="20"/>
  <c r="AD487" i="20" s="1"/>
  <c r="W487" i="20"/>
  <c r="AC487" i="20" s="1"/>
  <c r="V487" i="20"/>
  <c r="AB487" i="20" s="1"/>
  <c r="X486" i="20"/>
  <c r="AD486" i="20" s="1"/>
  <c r="W486" i="20"/>
  <c r="AC486" i="20" s="1"/>
  <c r="V486" i="20"/>
  <c r="AB486" i="20" s="1"/>
  <c r="X485" i="20"/>
  <c r="AD485" i="20" s="1"/>
  <c r="W485" i="20"/>
  <c r="AC485" i="20" s="1"/>
  <c r="V485" i="20"/>
  <c r="AB485" i="20" s="1"/>
  <c r="X484" i="20"/>
  <c r="AD484" i="20" s="1"/>
  <c r="W484" i="20"/>
  <c r="AC484" i="20" s="1"/>
  <c r="V484" i="20"/>
  <c r="AB484" i="20" s="1"/>
  <c r="X483" i="20"/>
  <c r="AD483" i="20" s="1"/>
  <c r="W483" i="20"/>
  <c r="AC483" i="20" s="1"/>
  <c r="V483" i="20"/>
  <c r="AB483" i="20" s="1"/>
  <c r="X482" i="20"/>
  <c r="AD482" i="20" s="1"/>
  <c r="W482" i="20"/>
  <c r="AC482" i="20" s="1"/>
  <c r="V482" i="20"/>
  <c r="AB482" i="20" s="1"/>
  <c r="X481" i="20"/>
  <c r="AD481" i="20" s="1"/>
  <c r="W481" i="20"/>
  <c r="AC481" i="20" s="1"/>
  <c r="V481" i="20"/>
  <c r="AB481" i="20" s="1"/>
  <c r="X480" i="20"/>
  <c r="AD480" i="20" s="1"/>
  <c r="W480" i="20"/>
  <c r="AC480" i="20" s="1"/>
  <c r="V480" i="20"/>
  <c r="AB480" i="20" s="1"/>
  <c r="X479" i="20"/>
  <c r="AD479" i="20" s="1"/>
  <c r="W479" i="20"/>
  <c r="AC479" i="20" s="1"/>
  <c r="V479" i="20"/>
  <c r="AB479" i="20" s="1"/>
  <c r="X478" i="20"/>
  <c r="AD478" i="20" s="1"/>
  <c r="W478" i="20"/>
  <c r="AC478" i="20" s="1"/>
  <c r="V478" i="20"/>
  <c r="AB478" i="20" s="1"/>
  <c r="X477" i="20"/>
  <c r="AD477" i="20" s="1"/>
  <c r="W477" i="20"/>
  <c r="AC477" i="20" s="1"/>
  <c r="V477" i="20"/>
  <c r="AB477" i="20" s="1"/>
  <c r="X476" i="20"/>
  <c r="AD476" i="20" s="1"/>
  <c r="W476" i="20"/>
  <c r="AC476" i="20" s="1"/>
  <c r="V476" i="20"/>
  <c r="AB476" i="20" s="1"/>
  <c r="X475" i="20"/>
  <c r="AD475" i="20" s="1"/>
  <c r="W475" i="20"/>
  <c r="AC475" i="20" s="1"/>
  <c r="V475" i="20"/>
  <c r="AB475" i="20" s="1"/>
  <c r="X474" i="20"/>
  <c r="AD474" i="20" s="1"/>
  <c r="W474" i="20"/>
  <c r="AC474" i="20" s="1"/>
  <c r="V474" i="20"/>
  <c r="AB474" i="20" s="1"/>
  <c r="X473" i="20"/>
  <c r="AD473" i="20" s="1"/>
  <c r="W473" i="20"/>
  <c r="AC473" i="20" s="1"/>
  <c r="V473" i="20"/>
  <c r="AB473" i="20" s="1"/>
  <c r="X472" i="20"/>
  <c r="AD472" i="20" s="1"/>
  <c r="W472" i="20"/>
  <c r="AC472" i="20" s="1"/>
  <c r="V472" i="20"/>
  <c r="AB472" i="20" s="1"/>
  <c r="X471" i="20"/>
  <c r="AD471" i="20" s="1"/>
  <c r="W471" i="20"/>
  <c r="AC471" i="20" s="1"/>
  <c r="V471" i="20"/>
  <c r="AB471" i="20" s="1"/>
  <c r="X470" i="20"/>
  <c r="AD470" i="20" s="1"/>
  <c r="W470" i="20"/>
  <c r="AC470" i="20" s="1"/>
  <c r="V470" i="20"/>
  <c r="AB470" i="20" s="1"/>
  <c r="X469" i="20"/>
  <c r="AD469" i="20" s="1"/>
  <c r="W469" i="20"/>
  <c r="AC469" i="20" s="1"/>
  <c r="V469" i="20"/>
  <c r="AB469" i="20" s="1"/>
  <c r="X468" i="20"/>
  <c r="AD468" i="20" s="1"/>
  <c r="W468" i="20"/>
  <c r="AC468" i="20" s="1"/>
  <c r="V468" i="20"/>
  <c r="AB468" i="20" s="1"/>
  <c r="X467" i="20"/>
  <c r="AD467" i="20" s="1"/>
  <c r="W467" i="20"/>
  <c r="AC467" i="20" s="1"/>
  <c r="V467" i="20"/>
  <c r="AB467" i="20" s="1"/>
  <c r="X466" i="20"/>
  <c r="AD466" i="20" s="1"/>
  <c r="W466" i="20"/>
  <c r="AC466" i="20" s="1"/>
  <c r="V466" i="20"/>
  <c r="AB466" i="20" s="1"/>
  <c r="X465" i="20"/>
  <c r="AD465" i="20" s="1"/>
  <c r="W465" i="20"/>
  <c r="AC465" i="20" s="1"/>
  <c r="V465" i="20"/>
  <c r="AB465" i="20" s="1"/>
  <c r="X464" i="20"/>
  <c r="AD464" i="20" s="1"/>
  <c r="W464" i="20"/>
  <c r="AC464" i="20" s="1"/>
  <c r="V464" i="20"/>
  <c r="AB464" i="20" s="1"/>
  <c r="X463" i="20"/>
  <c r="AD463" i="20" s="1"/>
  <c r="W463" i="20"/>
  <c r="AC463" i="20" s="1"/>
  <c r="V463" i="20"/>
  <c r="AB463" i="20" s="1"/>
  <c r="X462" i="20"/>
  <c r="AD462" i="20" s="1"/>
  <c r="W462" i="20"/>
  <c r="AC462" i="20" s="1"/>
  <c r="V462" i="20"/>
  <c r="AB462" i="20" s="1"/>
  <c r="X461" i="20"/>
  <c r="AD461" i="20" s="1"/>
  <c r="W461" i="20"/>
  <c r="AC461" i="20" s="1"/>
  <c r="V461" i="20"/>
  <c r="AB461" i="20" s="1"/>
  <c r="X460" i="20"/>
  <c r="AD460" i="20" s="1"/>
  <c r="W460" i="20"/>
  <c r="AC460" i="20" s="1"/>
  <c r="V460" i="20"/>
  <c r="AB460" i="20" s="1"/>
  <c r="X459" i="20"/>
  <c r="AD459" i="20" s="1"/>
  <c r="W459" i="20"/>
  <c r="AC459" i="20" s="1"/>
  <c r="V459" i="20"/>
  <c r="AB459" i="20" s="1"/>
  <c r="X458" i="20"/>
  <c r="AD458" i="20" s="1"/>
  <c r="W458" i="20"/>
  <c r="AC458" i="20" s="1"/>
  <c r="V458" i="20"/>
  <c r="AB458" i="20" s="1"/>
  <c r="X457" i="20"/>
  <c r="AD457" i="20" s="1"/>
  <c r="W457" i="20"/>
  <c r="AC457" i="20" s="1"/>
  <c r="V457" i="20"/>
  <c r="AB457" i="20" s="1"/>
  <c r="X456" i="20"/>
  <c r="AD456" i="20" s="1"/>
  <c r="W456" i="20"/>
  <c r="AC456" i="20" s="1"/>
  <c r="V456" i="20"/>
  <c r="AB456" i="20" s="1"/>
  <c r="X455" i="20"/>
  <c r="AD455" i="20" s="1"/>
  <c r="W455" i="20"/>
  <c r="AC455" i="20" s="1"/>
  <c r="V455" i="20"/>
  <c r="AB455" i="20" s="1"/>
  <c r="X454" i="20"/>
  <c r="AD454" i="20" s="1"/>
  <c r="W454" i="20"/>
  <c r="AC454" i="20" s="1"/>
  <c r="V454" i="20"/>
  <c r="AB454" i="20" s="1"/>
  <c r="X453" i="20"/>
  <c r="AD453" i="20" s="1"/>
  <c r="W453" i="20"/>
  <c r="AC453" i="20" s="1"/>
  <c r="V453" i="20"/>
  <c r="AB453" i="20" s="1"/>
  <c r="X452" i="20"/>
  <c r="AD452" i="20" s="1"/>
  <c r="W452" i="20"/>
  <c r="AC452" i="20" s="1"/>
  <c r="V452" i="20"/>
  <c r="AB452" i="20" s="1"/>
  <c r="X451" i="20"/>
  <c r="AD451" i="20" s="1"/>
  <c r="W451" i="20"/>
  <c r="AC451" i="20" s="1"/>
  <c r="V451" i="20"/>
  <c r="AB451" i="20" s="1"/>
  <c r="X450" i="20"/>
  <c r="AD450" i="20" s="1"/>
  <c r="W450" i="20"/>
  <c r="AC450" i="20" s="1"/>
  <c r="V450" i="20"/>
  <c r="AB450" i="20" s="1"/>
  <c r="X449" i="20"/>
  <c r="AD449" i="20" s="1"/>
  <c r="W449" i="20"/>
  <c r="AC449" i="20" s="1"/>
  <c r="V449" i="20"/>
  <c r="AB449" i="20" s="1"/>
  <c r="X448" i="20"/>
  <c r="AD448" i="20" s="1"/>
  <c r="W448" i="20"/>
  <c r="AC448" i="20" s="1"/>
  <c r="V448" i="20"/>
  <c r="AB448" i="20" s="1"/>
  <c r="X447" i="20"/>
  <c r="AD447" i="20" s="1"/>
  <c r="W447" i="20"/>
  <c r="AC447" i="20" s="1"/>
  <c r="V447" i="20"/>
  <c r="AB447" i="20" s="1"/>
  <c r="X446" i="20"/>
  <c r="AD446" i="20" s="1"/>
  <c r="W446" i="20"/>
  <c r="AC446" i="20" s="1"/>
  <c r="V446" i="20"/>
  <c r="AB446" i="20" s="1"/>
  <c r="X445" i="20"/>
  <c r="AD445" i="20" s="1"/>
  <c r="W445" i="20"/>
  <c r="AC445" i="20" s="1"/>
  <c r="V445" i="20"/>
  <c r="AB445" i="20" s="1"/>
  <c r="X444" i="20"/>
  <c r="AD444" i="20" s="1"/>
  <c r="W444" i="20"/>
  <c r="AC444" i="20" s="1"/>
  <c r="V444" i="20"/>
  <c r="AB444" i="20" s="1"/>
  <c r="X443" i="20"/>
  <c r="AD443" i="20" s="1"/>
  <c r="W443" i="20"/>
  <c r="AC443" i="20" s="1"/>
  <c r="V443" i="20"/>
  <c r="AB443" i="20" s="1"/>
  <c r="X442" i="20"/>
  <c r="AD442" i="20" s="1"/>
  <c r="W442" i="20"/>
  <c r="AC442" i="20" s="1"/>
  <c r="V442" i="20"/>
  <c r="AB442" i="20" s="1"/>
  <c r="X441" i="20"/>
  <c r="AD441" i="20" s="1"/>
  <c r="W441" i="20"/>
  <c r="AC441" i="20" s="1"/>
  <c r="V441" i="20"/>
  <c r="AB441" i="20" s="1"/>
  <c r="X440" i="20"/>
  <c r="AD440" i="20" s="1"/>
  <c r="W440" i="20"/>
  <c r="AC440" i="20" s="1"/>
  <c r="V440" i="20"/>
  <c r="AB440" i="20" s="1"/>
  <c r="X439" i="20"/>
  <c r="AD439" i="20" s="1"/>
  <c r="W439" i="20"/>
  <c r="AC439" i="20" s="1"/>
  <c r="V439" i="20"/>
  <c r="AB439" i="20" s="1"/>
  <c r="X438" i="20"/>
  <c r="AD438" i="20" s="1"/>
  <c r="W438" i="20"/>
  <c r="AC438" i="20" s="1"/>
  <c r="V438" i="20"/>
  <c r="AB438" i="20" s="1"/>
  <c r="X437" i="20"/>
  <c r="AD437" i="20" s="1"/>
  <c r="W437" i="20"/>
  <c r="AC437" i="20" s="1"/>
  <c r="V437" i="20"/>
  <c r="AB437" i="20" s="1"/>
  <c r="X436" i="20"/>
  <c r="AD436" i="20" s="1"/>
  <c r="W436" i="20"/>
  <c r="AC436" i="20" s="1"/>
  <c r="V436" i="20"/>
  <c r="AB436" i="20" s="1"/>
  <c r="X435" i="20"/>
  <c r="AD435" i="20" s="1"/>
  <c r="W435" i="20"/>
  <c r="AC435" i="20" s="1"/>
  <c r="V435" i="20"/>
  <c r="AB435" i="20" s="1"/>
  <c r="X434" i="20"/>
  <c r="AD434" i="20" s="1"/>
  <c r="W434" i="20"/>
  <c r="AC434" i="20" s="1"/>
  <c r="V434" i="20"/>
  <c r="AB434" i="20" s="1"/>
  <c r="X433" i="20"/>
  <c r="AD433" i="20" s="1"/>
  <c r="W433" i="20"/>
  <c r="AC433" i="20" s="1"/>
  <c r="V433" i="20"/>
  <c r="AB433" i="20" s="1"/>
  <c r="X432" i="20"/>
  <c r="AD432" i="20" s="1"/>
  <c r="W432" i="20"/>
  <c r="AC432" i="20" s="1"/>
  <c r="V432" i="20"/>
  <c r="AB432" i="20" s="1"/>
  <c r="X431" i="20"/>
  <c r="AD431" i="20" s="1"/>
  <c r="W431" i="20"/>
  <c r="AC431" i="20" s="1"/>
  <c r="V431" i="20"/>
  <c r="AB431" i="20" s="1"/>
  <c r="X430" i="20"/>
  <c r="AD430" i="20" s="1"/>
  <c r="W430" i="20"/>
  <c r="AC430" i="20" s="1"/>
  <c r="V430" i="20"/>
  <c r="AB430" i="20" s="1"/>
  <c r="X429" i="20"/>
  <c r="AD429" i="20" s="1"/>
  <c r="W429" i="20"/>
  <c r="AC429" i="20" s="1"/>
  <c r="V429" i="20"/>
  <c r="AB429" i="20" s="1"/>
  <c r="X428" i="20"/>
  <c r="AD428" i="20" s="1"/>
  <c r="W428" i="20"/>
  <c r="AC428" i="20" s="1"/>
  <c r="V428" i="20"/>
  <c r="AB428" i="20" s="1"/>
  <c r="X427" i="20"/>
  <c r="AD427" i="20" s="1"/>
  <c r="W427" i="20"/>
  <c r="AC427" i="20" s="1"/>
  <c r="V427" i="20"/>
  <c r="AB427" i="20" s="1"/>
  <c r="X426" i="20"/>
  <c r="AD426" i="20" s="1"/>
  <c r="W426" i="20"/>
  <c r="AC426" i="20" s="1"/>
  <c r="V426" i="20"/>
  <c r="AB426" i="20" s="1"/>
  <c r="X425" i="20"/>
  <c r="AD425" i="20" s="1"/>
  <c r="W425" i="20"/>
  <c r="AC425" i="20" s="1"/>
  <c r="V425" i="20"/>
  <c r="AB425" i="20" s="1"/>
  <c r="X424" i="20"/>
  <c r="AD424" i="20" s="1"/>
  <c r="W424" i="20"/>
  <c r="AC424" i="20" s="1"/>
  <c r="V424" i="20"/>
  <c r="AB424" i="20" s="1"/>
  <c r="X423" i="20"/>
  <c r="AD423" i="20" s="1"/>
  <c r="W423" i="20"/>
  <c r="AC423" i="20" s="1"/>
  <c r="V423" i="20"/>
  <c r="AB423" i="20" s="1"/>
  <c r="X422" i="20"/>
  <c r="AD422" i="20" s="1"/>
  <c r="W422" i="20"/>
  <c r="AC422" i="20" s="1"/>
  <c r="V422" i="20"/>
  <c r="AB422" i="20" s="1"/>
  <c r="X421" i="20"/>
  <c r="AD421" i="20" s="1"/>
  <c r="W421" i="20"/>
  <c r="AC421" i="20" s="1"/>
  <c r="V421" i="20"/>
  <c r="AB421" i="20" s="1"/>
  <c r="X420" i="20"/>
  <c r="AD420" i="20" s="1"/>
  <c r="W420" i="20"/>
  <c r="AC420" i="20" s="1"/>
  <c r="V420" i="20"/>
  <c r="AB420" i="20" s="1"/>
  <c r="X419" i="20"/>
  <c r="AD419" i="20" s="1"/>
  <c r="W419" i="20"/>
  <c r="AC419" i="20" s="1"/>
  <c r="V419" i="20"/>
  <c r="AB419" i="20" s="1"/>
  <c r="X418" i="20"/>
  <c r="AD418" i="20" s="1"/>
  <c r="W418" i="20"/>
  <c r="AC418" i="20" s="1"/>
  <c r="V418" i="20"/>
  <c r="AB418" i="20" s="1"/>
  <c r="X417" i="20"/>
  <c r="AD417" i="20" s="1"/>
  <c r="W417" i="20"/>
  <c r="AC417" i="20" s="1"/>
  <c r="V417" i="20"/>
  <c r="AB417" i="20" s="1"/>
  <c r="X416" i="20"/>
  <c r="AD416" i="20" s="1"/>
  <c r="W416" i="20"/>
  <c r="AC416" i="20" s="1"/>
  <c r="V416" i="20"/>
  <c r="AB416" i="20" s="1"/>
  <c r="X415" i="20"/>
  <c r="AD415" i="20" s="1"/>
  <c r="W415" i="20"/>
  <c r="AC415" i="20" s="1"/>
  <c r="V415" i="20"/>
  <c r="AB415" i="20" s="1"/>
  <c r="X414" i="20"/>
  <c r="AD414" i="20" s="1"/>
  <c r="W414" i="20"/>
  <c r="AC414" i="20" s="1"/>
  <c r="V414" i="20"/>
  <c r="AB414" i="20" s="1"/>
  <c r="X413" i="20"/>
  <c r="AD413" i="20" s="1"/>
  <c r="W413" i="20"/>
  <c r="AC413" i="20" s="1"/>
  <c r="V413" i="20"/>
  <c r="AB413" i="20" s="1"/>
  <c r="X412" i="20"/>
  <c r="AD412" i="20" s="1"/>
  <c r="W412" i="20"/>
  <c r="AC412" i="20" s="1"/>
  <c r="V412" i="20"/>
  <c r="AB412" i="20" s="1"/>
  <c r="X411" i="20"/>
  <c r="AD411" i="20" s="1"/>
  <c r="W411" i="20"/>
  <c r="AC411" i="20" s="1"/>
  <c r="V411" i="20"/>
  <c r="AB411" i="20" s="1"/>
  <c r="X410" i="20"/>
  <c r="AD410" i="20" s="1"/>
  <c r="W410" i="20"/>
  <c r="AC410" i="20" s="1"/>
  <c r="V410" i="20"/>
  <c r="AB410" i="20" s="1"/>
  <c r="X409" i="20"/>
  <c r="AD409" i="20" s="1"/>
  <c r="W409" i="20"/>
  <c r="AC409" i="20" s="1"/>
  <c r="V409" i="20"/>
  <c r="AB409" i="20" s="1"/>
  <c r="X408" i="20"/>
  <c r="AD408" i="20" s="1"/>
  <c r="W408" i="20"/>
  <c r="AC408" i="20" s="1"/>
  <c r="V408" i="20"/>
  <c r="AB408" i="20" s="1"/>
  <c r="X407" i="20"/>
  <c r="AD407" i="20" s="1"/>
  <c r="W407" i="20"/>
  <c r="AC407" i="20" s="1"/>
  <c r="V407" i="20"/>
  <c r="AB407" i="20" s="1"/>
  <c r="X406" i="20"/>
  <c r="AD406" i="20" s="1"/>
  <c r="W406" i="20"/>
  <c r="AC406" i="20" s="1"/>
  <c r="V406" i="20"/>
  <c r="AB406" i="20" s="1"/>
  <c r="X405" i="20"/>
  <c r="AD405" i="20" s="1"/>
  <c r="W405" i="20"/>
  <c r="AC405" i="20" s="1"/>
  <c r="V405" i="20"/>
  <c r="AB405" i="20" s="1"/>
  <c r="X404" i="20"/>
  <c r="AD404" i="20" s="1"/>
  <c r="W404" i="20"/>
  <c r="AC404" i="20" s="1"/>
  <c r="V404" i="20"/>
  <c r="AB404" i="20" s="1"/>
  <c r="X403" i="20"/>
  <c r="AD403" i="20" s="1"/>
  <c r="W403" i="20"/>
  <c r="AC403" i="20" s="1"/>
  <c r="V403" i="20"/>
  <c r="AB403" i="20" s="1"/>
  <c r="X402" i="20"/>
  <c r="AD402" i="20" s="1"/>
  <c r="W402" i="20"/>
  <c r="AC402" i="20" s="1"/>
  <c r="V402" i="20"/>
  <c r="AB402" i="20" s="1"/>
  <c r="X401" i="20"/>
  <c r="AD401" i="20" s="1"/>
  <c r="W401" i="20"/>
  <c r="AC401" i="20" s="1"/>
  <c r="V401" i="20"/>
  <c r="AB401" i="20" s="1"/>
  <c r="X400" i="20"/>
  <c r="AD400" i="20" s="1"/>
  <c r="W400" i="20"/>
  <c r="AC400" i="20" s="1"/>
  <c r="V400" i="20"/>
  <c r="AB400" i="20" s="1"/>
  <c r="X399" i="20"/>
  <c r="AD399" i="20" s="1"/>
  <c r="W399" i="20"/>
  <c r="AC399" i="20" s="1"/>
  <c r="V399" i="20"/>
  <c r="AB399" i="20" s="1"/>
  <c r="X398" i="20"/>
  <c r="AD398" i="20" s="1"/>
  <c r="W398" i="20"/>
  <c r="AC398" i="20" s="1"/>
  <c r="V398" i="20"/>
  <c r="AB398" i="20" s="1"/>
  <c r="X397" i="20"/>
  <c r="AD397" i="20" s="1"/>
  <c r="W397" i="20"/>
  <c r="AC397" i="20" s="1"/>
  <c r="V397" i="20"/>
  <c r="AB397" i="20" s="1"/>
  <c r="X396" i="20"/>
  <c r="AD396" i="20" s="1"/>
  <c r="W396" i="20"/>
  <c r="AC396" i="20" s="1"/>
  <c r="V396" i="20"/>
  <c r="AB396" i="20" s="1"/>
  <c r="X395" i="20"/>
  <c r="AD395" i="20" s="1"/>
  <c r="W395" i="20"/>
  <c r="AC395" i="20" s="1"/>
  <c r="V395" i="20"/>
  <c r="AB395" i="20" s="1"/>
  <c r="X394" i="20"/>
  <c r="AD394" i="20" s="1"/>
  <c r="W394" i="20"/>
  <c r="AC394" i="20" s="1"/>
  <c r="V394" i="20"/>
  <c r="AB394" i="20" s="1"/>
  <c r="X393" i="20"/>
  <c r="AD393" i="20" s="1"/>
  <c r="W393" i="20"/>
  <c r="AC393" i="20" s="1"/>
  <c r="V393" i="20"/>
  <c r="AB393" i="20" s="1"/>
  <c r="X392" i="20"/>
  <c r="AD392" i="20" s="1"/>
  <c r="W392" i="20"/>
  <c r="AC392" i="20" s="1"/>
  <c r="V392" i="20"/>
  <c r="AB392" i="20" s="1"/>
  <c r="X391" i="20"/>
  <c r="AD391" i="20" s="1"/>
  <c r="W391" i="20"/>
  <c r="AC391" i="20" s="1"/>
  <c r="V391" i="20"/>
  <c r="AB391" i="20" s="1"/>
  <c r="X390" i="20"/>
  <c r="AD390" i="20" s="1"/>
  <c r="W390" i="20"/>
  <c r="AC390" i="20" s="1"/>
  <c r="V390" i="20"/>
  <c r="AB390" i="20" s="1"/>
  <c r="X389" i="20"/>
  <c r="AD389" i="20" s="1"/>
  <c r="W389" i="20"/>
  <c r="AC389" i="20" s="1"/>
  <c r="V389" i="20"/>
  <c r="AB389" i="20" s="1"/>
  <c r="X388" i="20"/>
  <c r="AD388" i="20" s="1"/>
  <c r="W388" i="20"/>
  <c r="AC388" i="20" s="1"/>
  <c r="V388" i="20"/>
  <c r="AB388" i="20" s="1"/>
  <c r="X387" i="20"/>
  <c r="AD387" i="20" s="1"/>
  <c r="W387" i="20"/>
  <c r="AC387" i="20" s="1"/>
  <c r="V387" i="20"/>
  <c r="AB387" i="20" s="1"/>
  <c r="X386" i="20"/>
  <c r="AD386" i="20" s="1"/>
  <c r="W386" i="20"/>
  <c r="AC386" i="20" s="1"/>
  <c r="V386" i="20"/>
  <c r="AB386" i="20" s="1"/>
  <c r="X385" i="20"/>
  <c r="AD385" i="20" s="1"/>
  <c r="W385" i="20"/>
  <c r="AC385" i="20" s="1"/>
  <c r="V385" i="20"/>
  <c r="AB385" i="20" s="1"/>
  <c r="X384" i="20"/>
  <c r="AD384" i="20" s="1"/>
  <c r="W384" i="20"/>
  <c r="AC384" i="20" s="1"/>
  <c r="V384" i="20"/>
  <c r="AB384" i="20" s="1"/>
  <c r="X383" i="20"/>
  <c r="AD383" i="20" s="1"/>
  <c r="W383" i="20"/>
  <c r="AC383" i="20" s="1"/>
  <c r="V383" i="20"/>
  <c r="AB383" i="20" s="1"/>
  <c r="X382" i="20"/>
  <c r="AD382" i="20" s="1"/>
  <c r="W382" i="20"/>
  <c r="AC382" i="20" s="1"/>
  <c r="V382" i="20"/>
  <c r="AB382" i="20" s="1"/>
  <c r="X381" i="20"/>
  <c r="AD381" i="20" s="1"/>
  <c r="W381" i="20"/>
  <c r="AC381" i="20" s="1"/>
  <c r="V381" i="20"/>
  <c r="AB381" i="20" s="1"/>
  <c r="X380" i="20"/>
  <c r="AD380" i="20" s="1"/>
  <c r="W380" i="20"/>
  <c r="AC380" i="20" s="1"/>
  <c r="V380" i="20"/>
  <c r="AB380" i="20" s="1"/>
  <c r="X379" i="20"/>
  <c r="AD379" i="20" s="1"/>
  <c r="W379" i="20"/>
  <c r="AC379" i="20" s="1"/>
  <c r="V379" i="20"/>
  <c r="AB379" i="20" s="1"/>
  <c r="X378" i="20"/>
  <c r="AD378" i="20" s="1"/>
  <c r="W378" i="20"/>
  <c r="AC378" i="20" s="1"/>
  <c r="V378" i="20"/>
  <c r="AB378" i="20" s="1"/>
  <c r="X377" i="20"/>
  <c r="AD377" i="20" s="1"/>
  <c r="W377" i="20"/>
  <c r="AC377" i="20" s="1"/>
  <c r="V377" i="20"/>
  <c r="AB377" i="20" s="1"/>
  <c r="X376" i="20"/>
  <c r="AD376" i="20" s="1"/>
  <c r="W376" i="20"/>
  <c r="AC376" i="20" s="1"/>
  <c r="V376" i="20"/>
  <c r="AB376" i="20" s="1"/>
  <c r="X375" i="20"/>
  <c r="AD375" i="20" s="1"/>
  <c r="W375" i="20"/>
  <c r="AC375" i="20" s="1"/>
  <c r="V375" i="20"/>
  <c r="AB375" i="20" s="1"/>
  <c r="X374" i="20"/>
  <c r="AD374" i="20" s="1"/>
  <c r="W374" i="20"/>
  <c r="AC374" i="20" s="1"/>
  <c r="V374" i="20"/>
  <c r="AB374" i="20" s="1"/>
  <c r="X373" i="20"/>
  <c r="AD373" i="20" s="1"/>
  <c r="W373" i="20"/>
  <c r="AC373" i="20" s="1"/>
  <c r="V373" i="20"/>
  <c r="AB373" i="20" s="1"/>
  <c r="X372" i="20"/>
  <c r="AD372" i="20" s="1"/>
  <c r="W372" i="20"/>
  <c r="AC372" i="20" s="1"/>
  <c r="V372" i="20"/>
  <c r="AB372" i="20" s="1"/>
  <c r="X371" i="20"/>
  <c r="AD371" i="20" s="1"/>
  <c r="W371" i="20"/>
  <c r="AC371" i="20" s="1"/>
  <c r="V371" i="20"/>
  <c r="AB371" i="20" s="1"/>
  <c r="X370" i="20"/>
  <c r="AD370" i="20" s="1"/>
  <c r="AO4" i="20" s="1"/>
  <c r="W370" i="20"/>
  <c r="AC370" i="20" s="1"/>
  <c r="V370" i="20"/>
  <c r="AB370" i="20" s="1"/>
  <c r="X369" i="20"/>
  <c r="AD369" i="20" s="1"/>
  <c r="W369" i="20"/>
  <c r="AC369" i="20" s="1"/>
  <c r="V369" i="20"/>
  <c r="AB369" i="20" s="1"/>
  <c r="X368" i="20"/>
  <c r="AD368" i="20" s="1"/>
  <c r="W368" i="20"/>
  <c r="AC368" i="20" s="1"/>
  <c r="V368" i="20"/>
  <c r="AB368" i="20" s="1"/>
  <c r="X367" i="20"/>
  <c r="AD367" i="20" s="1"/>
  <c r="W367" i="20"/>
  <c r="AC367" i="20" s="1"/>
  <c r="V367" i="20"/>
  <c r="AB367" i="20" s="1"/>
  <c r="X366" i="20"/>
  <c r="AD366" i="20" s="1"/>
  <c r="W366" i="20"/>
  <c r="AC366" i="20" s="1"/>
  <c r="V366" i="20"/>
  <c r="AB366" i="20" s="1"/>
  <c r="X365" i="20"/>
  <c r="AD365" i="20" s="1"/>
  <c r="W365" i="20"/>
  <c r="AC365" i="20" s="1"/>
  <c r="V365" i="20"/>
  <c r="AB365" i="20" s="1"/>
  <c r="X364" i="20"/>
  <c r="AD364" i="20" s="1"/>
  <c r="W364" i="20"/>
  <c r="AC364" i="20" s="1"/>
  <c r="V364" i="20"/>
  <c r="AB364" i="20" s="1"/>
  <c r="X363" i="20"/>
  <c r="AD363" i="20" s="1"/>
  <c r="W363" i="20"/>
  <c r="AC363" i="20" s="1"/>
  <c r="V363" i="20"/>
  <c r="AB363" i="20" s="1"/>
  <c r="X362" i="20"/>
  <c r="AD362" i="20" s="1"/>
  <c r="W362" i="20"/>
  <c r="AC362" i="20" s="1"/>
  <c r="V362" i="20"/>
  <c r="AB362" i="20" s="1"/>
  <c r="X361" i="20"/>
  <c r="AD361" i="20" s="1"/>
  <c r="W361" i="20"/>
  <c r="AC361" i="20" s="1"/>
  <c r="V361" i="20"/>
  <c r="AB361" i="20" s="1"/>
  <c r="X360" i="20"/>
  <c r="AD360" i="20" s="1"/>
  <c r="W360" i="20"/>
  <c r="AC360" i="20" s="1"/>
  <c r="V360" i="20"/>
  <c r="AB360" i="20" s="1"/>
  <c r="X359" i="20"/>
  <c r="AD359" i="20" s="1"/>
  <c r="W359" i="20"/>
  <c r="AC359" i="20" s="1"/>
  <c r="V359" i="20"/>
  <c r="AB359" i="20" s="1"/>
  <c r="X358" i="20"/>
  <c r="AD358" i="20" s="1"/>
  <c r="W358" i="20"/>
  <c r="AC358" i="20" s="1"/>
  <c r="V358" i="20"/>
  <c r="AB358" i="20" s="1"/>
  <c r="X357" i="20"/>
  <c r="AD357" i="20" s="1"/>
  <c r="W357" i="20"/>
  <c r="AC357" i="20" s="1"/>
  <c r="V357" i="20"/>
  <c r="AB357" i="20" s="1"/>
  <c r="X356" i="20"/>
  <c r="AD356" i="20" s="1"/>
  <c r="W356" i="20"/>
  <c r="AC356" i="20" s="1"/>
  <c r="V356" i="20"/>
  <c r="AB356" i="20" s="1"/>
  <c r="X355" i="20"/>
  <c r="AD355" i="20" s="1"/>
  <c r="W355" i="20"/>
  <c r="AC355" i="20" s="1"/>
  <c r="V355" i="20"/>
  <c r="AB355" i="20" s="1"/>
  <c r="X354" i="20"/>
  <c r="AD354" i="20" s="1"/>
  <c r="W354" i="20"/>
  <c r="AC354" i="20" s="1"/>
  <c r="V354" i="20"/>
  <c r="AB354" i="20" s="1"/>
  <c r="X353" i="20"/>
  <c r="AD353" i="20" s="1"/>
  <c r="W353" i="20"/>
  <c r="AC353" i="20" s="1"/>
  <c r="V353" i="20"/>
  <c r="AB353" i="20" s="1"/>
  <c r="X352" i="20"/>
  <c r="AD352" i="20" s="1"/>
  <c r="W352" i="20"/>
  <c r="AC352" i="20" s="1"/>
  <c r="V352" i="20"/>
  <c r="AB352" i="20" s="1"/>
  <c r="X351" i="20"/>
  <c r="AD351" i="20" s="1"/>
  <c r="W351" i="20"/>
  <c r="AC351" i="20" s="1"/>
  <c r="V351" i="20"/>
  <c r="AB351" i="20" s="1"/>
  <c r="X350" i="20"/>
  <c r="AD350" i="20" s="1"/>
  <c r="W350" i="20"/>
  <c r="AC350" i="20" s="1"/>
  <c r="V350" i="20"/>
  <c r="AB350" i="20" s="1"/>
  <c r="X349" i="20"/>
  <c r="AD349" i="20" s="1"/>
  <c r="W349" i="20"/>
  <c r="AC349" i="20" s="1"/>
  <c r="V349" i="20"/>
  <c r="AB349" i="20" s="1"/>
  <c r="X348" i="20"/>
  <c r="AD348" i="20" s="1"/>
  <c r="W348" i="20"/>
  <c r="AC348" i="20" s="1"/>
  <c r="V348" i="20"/>
  <c r="AB348" i="20" s="1"/>
  <c r="X347" i="20"/>
  <c r="AD347" i="20" s="1"/>
  <c r="W347" i="20"/>
  <c r="AC347" i="20" s="1"/>
  <c r="V347" i="20"/>
  <c r="AB347" i="20" s="1"/>
  <c r="X346" i="20"/>
  <c r="AD346" i="20" s="1"/>
  <c r="W346" i="20"/>
  <c r="AC346" i="20" s="1"/>
  <c r="V346" i="20"/>
  <c r="AB346" i="20" s="1"/>
  <c r="X345" i="20"/>
  <c r="AD345" i="20" s="1"/>
  <c r="W345" i="20"/>
  <c r="AC345" i="20" s="1"/>
  <c r="V345" i="20"/>
  <c r="AB345" i="20" s="1"/>
  <c r="X344" i="20"/>
  <c r="AD344" i="20" s="1"/>
  <c r="W344" i="20"/>
  <c r="AC344" i="20" s="1"/>
  <c r="V344" i="20"/>
  <c r="AB344" i="20" s="1"/>
  <c r="X343" i="20"/>
  <c r="AD343" i="20" s="1"/>
  <c r="W343" i="20"/>
  <c r="AC343" i="20" s="1"/>
  <c r="V343" i="20"/>
  <c r="AB343" i="20" s="1"/>
  <c r="X342" i="20"/>
  <c r="AD342" i="20" s="1"/>
  <c r="W342" i="20"/>
  <c r="AC342" i="20" s="1"/>
  <c r="V342" i="20"/>
  <c r="AB342" i="20" s="1"/>
  <c r="X341" i="20"/>
  <c r="AD341" i="20" s="1"/>
  <c r="W341" i="20"/>
  <c r="AC341" i="20" s="1"/>
  <c r="V341" i="20"/>
  <c r="AB341" i="20" s="1"/>
  <c r="X340" i="20"/>
  <c r="AD340" i="20" s="1"/>
  <c r="W340" i="20"/>
  <c r="AC340" i="20" s="1"/>
  <c r="V340" i="20"/>
  <c r="AB340" i="20" s="1"/>
  <c r="X339" i="20"/>
  <c r="AD339" i="20" s="1"/>
  <c r="W339" i="20"/>
  <c r="AC339" i="20" s="1"/>
  <c r="V339" i="20"/>
  <c r="AB339" i="20" s="1"/>
  <c r="X338" i="20"/>
  <c r="AD338" i="20" s="1"/>
  <c r="W338" i="20"/>
  <c r="AC338" i="20" s="1"/>
  <c r="V338" i="20"/>
  <c r="AB338" i="20" s="1"/>
  <c r="X337" i="20"/>
  <c r="AD337" i="20" s="1"/>
  <c r="W337" i="20"/>
  <c r="AC337" i="20" s="1"/>
  <c r="V337" i="20"/>
  <c r="AB337" i="20" s="1"/>
  <c r="X336" i="20"/>
  <c r="AD336" i="20" s="1"/>
  <c r="W336" i="20"/>
  <c r="AC336" i="20" s="1"/>
  <c r="V336" i="20"/>
  <c r="AB336" i="20" s="1"/>
  <c r="X335" i="20"/>
  <c r="AD335" i="20" s="1"/>
  <c r="W335" i="20"/>
  <c r="AC335" i="20" s="1"/>
  <c r="V335" i="20"/>
  <c r="AB335" i="20" s="1"/>
  <c r="X334" i="20"/>
  <c r="AD334" i="20" s="1"/>
  <c r="W334" i="20"/>
  <c r="AC334" i="20" s="1"/>
  <c r="V334" i="20"/>
  <c r="AB334" i="20" s="1"/>
  <c r="X333" i="20"/>
  <c r="AD333" i="20" s="1"/>
  <c r="W333" i="20"/>
  <c r="AC333" i="20" s="1"/>
  <c r="V333" i="20"/>
  <c r="AB333" i="20" s="1"/>
  <c r="X332" i="20"/>
  <c r="AD332" i="20" s="1"/>
  <c r="W332" i="20"/>
  <c r="AC332" i="20" s="1"/>
  <c r="V332" i="20"/>
  <c r="AB332" i="20" s="1"/>
  <c r="X331" i="20"/>
  <c r="AD331" i="20" s="1"/>
  <c r="W331" i="20"/>
  <c r="AC331" i="20" s="1"/>
  <c r="V331" i="20"/>
  <c r="AB331" i="20" s="1"/>
  <c r="X330" i="20"/>
  <c r="AD330" i="20" s="1"/>
  <c r="W330" i="20"/>
  <c r="AC330" i="20" s="1"/>
  <c r="V330" i="20"/>
  <c r="AB330" i="20" s="1"/>
  <c r="X329" i="20"/>
  <c r="AD329" i="20" s="1"/>
  <c r="W329" i="20"/>
  <c r="AC329" i="20" s="1"/>
  <c r="V329" i="20"/>
  <c r="AB329" i="20" s="1"/>
  <c r="X328" i="20"/>
  <c r="AD328" i="20" s="1"/>
  <c r="W328" i="20"/>
  <c r="AC328" i="20" s="1"/>
  <c r="V328" i="20"/>
  <c r="AB328" i="20" s="1"/>
  <c r="X327" i="20"/>
  <c r="AD327" i="20" s="1"/>
  <c r="W327" i="20"/>
  <c r="AC327" i="20" s="1"/>
  <c r="V327" i="20"/>
  <c r="AB327" i="20" s="1"/>
  <c r="X326" i="20"/>
  <c r="AD326" i="20" s="1"/>
  <c r="W326" i="20"/>
  <c r="AC326" i="20" s="1"/>
  <c r="V326" i="20"/>
  <c r="AB326" i="20" s="1"/>
  <c r="X325" i="20"/>
  <c r="AD325" i="20" s="1"/>
  <c r="W325" i="20"/>
  <c r="AC325" i="20" s="1"/>
  <c r="V325" i="20"/>
  <c r="AB325" i="20" s="1"/>
  <c r="X324" i="20"/>
  <c r="AD324" i="20" s="1"/>
  <c r="W324" i="20"/>
  <c r="AC324" i="20" s="1"/>
  <c r="V324" i="20"/>
  <c r="AB324" i="20" s="1"/>
  <c r="X323" i="20"/>
  <c r="AD323" i="20" s="1"/>
  <c r="W323" i="20"/>
  <c r="AC323" i="20" s="1"/>
  <c r="V323" i="20"/>
  <c r="AB323" i="20" s="1"/>
  <c r="X322" i="20"/>
  <c r="AD322" i="20" s="1"/>
  <c r="W322" i="20"/>
  <c r="AC322" i="20" s="1"/>
  <c r="V322" i="20"/>
  <c r="AB322" i="20" s="1"/>
  <c r="X321" i="20"/>
  <c r="AD321" i="20" s="1"/>
  <c r="W321" i="20"/>
  <c r="AC321" i="20" s="1"/>
  <c r="V321" i="20"/>
  <c r="AB321" i="20" s="1"/>
  <c r="X320" i="20"/>
  <c r="AD320" i="20" s="1"/>
  <c r="W320" i="20"/>
  <c r="AC320" i="20" s="1"/>
  <c r="V320" i="20"/>
  <c r="AB320" i="20" s="1"/>
  <c r="X319" i="20"/>
  <c r="AD319" i="20" s="1"/>
  <c r="W319" i="20"/>
  <c r="AC319" i="20" s="1"/>
  <c r="V319" i="20"/>
  <c r="AB319" i="20" s="1"/>
  <c r="X318" i="20"/>
  <c r="AD318" i="20" s="1"/>
  <c r="W318" i="20"/>
  <c r="AC318" i="20" s="1"/>
  <c r="V318" i="20"/>
  <c r="AB318" i="20" s="1"/>
  <c r="X317" i="20"/>
  <c r="AD317" i="20" s="1"/>
  <c r="W317" i="20"/>
  <c r="AC317" i="20" s="1"/>
  <c r="V317" i="20"/>
  <c r="AB317" i="20" s="1"/>
  <c r="X316" i="20"/>
  <c r="AD316" i="20" s="1"/>
  <c r="W316" i="20"/>
  <c r="AC316" i="20" s="1"/>
  <c r="V316" i="20"/>
  <c r="AB316" i="20" s="1"/>
  <c r="X315" i="20"/>
  <c r="AD315" i="20" s="1"/>
  <c r="W315" i="20"/>
  <c r="AC315" i="20" s="1"/>
  <c r="V315" i="20"/>
  <c r="AB315" i="20" s="1"/>
  <c r="X314" i="20"/>
  <c r="AD314" i="20" s="1"/>
  <c r="W314" i="20"/>
  <c r="AC314" i="20" s="1"/>
  <c r="V314" i="20"/>
  <c r="AB314" i="20" s="1"/>
  <c r="X313" i="20"/>
  <c r="AD313" i="20" s="1"/>
  <c r="W313" i="20"/>
  <c r="AC313" i="20" s="1"/>
  <c r="V313" i="20"/>
  <c r="AB313" i="20" s="1"/>
  <c r="X312" i="20"/>
  <c r="AD312" i="20" s="1"/>
  <c r="W312" i="20"/>
  <c r="AC312" i="20" s="1"/>
  <c r="V312" i="20"/>
  <c r="AB312" i="20" s="1"/>
  <c r="X311" i="20"/>
  <c r="AD311" i="20" s="1"/>
  <c r="W311" i="20"/>
  <c r="AC311" i="20" s="1"/>
  <c r="V311" i="20"/>
  <c r="AB311" i="20" s="1"/>
  <c r="X310" i="20"/>
  <c r="AD310" i="20" s="1"/>
  <c r="W310" i="20"/>
  <c r="AC310" i="20" s="1"/>
  <c r="V310" i="20"/>
  <c r="AB310" i="20" s="1"/>
  <c r="X309" i="20"/>
  <c r="AD309" i="20" s="1"/>
  <c r="W309" i="20"/>
  <c r="AC309" i="20" s="1"/>
  <c r="V309" i="20"/>
  <c r="AB309" i="20" s="1"/>
  <c r="X308" i="20"/>
  <c r="AD308" i="20" s="1"/>
  <c r="W308" i="20"/>
  <c r="AC308" i="20" s="1"/>
  <c r="V308" i="20"/>
  <c r="AB308" i="20" s="1"/>
  <c r="X307" i="20"/>
  <c r="AD307" i="20" s="1"/>
  <c r="W307" i="20"/>
  <c r="AC307" i="20" s="1"/>
  <c r="V307" i="20"/>
  <c r="AB307" i="20" s="1"/>
  <c r="X306" i="20"/>
  <c r="AD306" i="20" s="1"/>
  <c r="W306" i="20"/>
  <c r="AC306" i="20" s="1"/>
  <c r="V306" i="20"/>
  <c r="AB306" i="20" s="1"/>
  <c r="X305" i="20"/>
  <c r="AD305" i="20" s="1"/>
  <c r="W305" i="20"/>
  <c r="AC305" i="20" s="1"/>
  <c r="V305" i="20"/>
  <c r="AB305" i="20" s="1"/>
  <c r="X304" i="20"/>
  <c r="AD304" i="20" s="1"/>
  <c r="W304" i="20"/>
  <c r="AC304" i="20" s="1"/>
  <c r="V304" i="20"/>
  <c r="AB304" i="20" s="1"/>
  <c r="X303" i="20"/>
  <c r="AD303" i="20" s="1"/>
  <c r="W303" i="20"/>
  <c r="AC303" i="20" s="1"/>
  <c r="V303" i="20"/>
  <c r="AB303" i="20" s="1"/>
  <c r="X302" i="20"/>
  <c r="AD302" i="20" s="1"/>
  <c r="W302" i="20"/>
  <c r="AC302" i="20" s="1"/>
  <c r="V302" i="20"/>
  <c r="AB302" i="20" s="1"/>
  <c r="X301" i="20"/>
  <c r="AD301" i="20" s="1"/>
  <c r="W301" i="20"/>
  <c r="AC301" i="20" s="1"/>
  <c r="V301" i="20"/>
  <c r="AB301" i="20" s="1"/>
  <c r="X300" i="20"/>
  <c r="AD300" i="20" s="1"/>
  <c r="W300" i="20"/>
  <c r="AC300" i="20" s="1"/>
  <c r="V300" i="20"/>
  <c r="AB300" i="20" s="1"/>
  <c r="X299" i="20"/>
  <c r="AD299" i="20" s="1"/>
  <c r="W299" i="20"/>
  <c r="AC299" i="20" s="1"/>
  <c r="V299" i="20"/>
  <c r="AB299" i="20" s="1"/>
  <c r="X298" i="20"/>
  <c r="AD298" i="20" s="1"/>
  <c r="W298" i="20"/>
  <c r="AC298" i="20" s="1"/>
  <c r="V298" i="20"/>
  <c r="AB298" i="20" s="1"/>
  <c r="X297" i="20"/>
  <c r="AD297" i="20" s="1"/>
  <c r="W297" i="20"/>
  <c r="AC297" i="20" s="1"/>
  <c r="V297" i="20"/>
  <c r="AB297" i="20" s="1"/>
  <c r="X296" i="20"/>
  <c r="AD296" i="20" s="1"/>
  <c r="W296" i="20"/>
  <c r="AC296" i="20" s="1"/>
  <c r="V296" i="20"/>
  <c r="AB296" i="20" s="1"/>
  <c r="X295" i="20"/>
  <c r="AD295" i="20" s="1"/>
  <c r="W295" i="20"/>
  <c r="AC295" i="20" s="1"/>
  <c r="V295" i="20"/>
  <c r="AB295" i="20" s="1"/>
  <c r="X294" i="20"/>
  <c r="AD294" i="20" s="1"/>
  <c r="W294" i="20"/>
  <c r="AC294" i="20" s="1"/>
  <c r="V294" i="20"/>
  <c r="AB294" i="20" s="1"/>
  <c r="X293" i="20"/>
  <c r="AD293" i="20" s="1"/>
  <c r="W293" i="20"/>
  <c r="AC293" i="20" s="1"/>
  <c r="V293" i="20"/>
  <c r="AB293" i="20" s="1"/>
  <c r="X292" i="20"/>
  <c r="AD292" i="20" s="1"/>
  <c r="W292" i="20"/>
  <c r="AC292" i="20" s="1"/>
  <c r="V292" i="20"/>
  <c r="AB292" i="20" s="1"/>
  <c r="X291" i="20"/>
  <c r="AD291" i="20" s="1"/>
  <c r="W291" i="20"/>
  <c r="AC291" i="20" s="1"/>
  <c r="V291" i="20"/>
  <c r="AB291" i="20" s="1"/>
  <c r="X290" i="20"/>
  <c r="AD290" i="20" s="1"/>
  <c r="W290" i="20"/>
  <c r="AC290" i="20" s="1"/>
  <c r="V290" i="20"/>
  <c r="AB290" i="20" s="1"/>
  <c r="X289" i="20"/>
  <c r="AD289" i="20" s="1"/>
  <c r="W289" i="20"/>
  <c r="AC289" i="20" s="1"/>
  <c r="V289" i="20"/>
  <c r="AB289" i="20" s="1"/>
  <c r="X288" i="20"/>
  <c r="AD288" i="20" s="1"/>
  <c r="W288" i="20"/>
  <c r="AC288" i="20" s="1"/>
  <c r="V288" i="20"/>
  <c r="AB288" i="20" s="1"/>
  <c r="X287" i="20"/>
  <c r="AD287" i="20" s="1"/>
  <c r="W287" i="20"/>
  <c r="AC287" i="20" s="1"/>
  <c r="V287" i="20"/>
  <c r="AB287" i="20" s="1"/>
  <c r="X286" i="20"/>
  <c r="AD286" i="20" s="1"/>
  <c r="W286" i="20"/>
  <c r="AC286" i="20" s="1"/>
  <c r="V286" i="20"/>
  <c r="AB286" i="20" s="1"/>
  <c r="X285" i="20"/>
  <c r="AD285" i="20" s="1"/>
  <c r="W285" i="20"/>
  <c r="AC285" i="20" s="1"/>
  <c r="V285" i="20"/>
  <c r="AB285" i="20" s="1"/>
  <c r="X284" i="20"/>
  <c r="AD284" i="20" s="1"/>
  <c r="W284" i="20"/>
  <c r="AC284" i="20" s="1"/>
  <c r="V284" i="20"/>
  <c r="AB284" i="20" s="1"/>
  <c r="X283" i="20"/>
  <c r="AD283" i="20" s="1"/>
  <c r="W283" i="20"/>
  <c r="AC283" i="20" s="1"/>
  <c r="V283" i="20"/>
  <c r="AB283" i="20" s="1"/>
  <c r="X282" i="20"/>
  <c r="AD282" i="20" s="1"/>
  <c r="W282" i="20"/>
  <c r="AC282" i="20" s="1"/>
  <c r="V282" i="20"/>
  <c r="AB282" i="20" s="1"/>
  <c r="X281" i="20"/>
  <c r="AD281" i="20" s="1"/>
  <c r="W281" i="20"/>
  <c r="AC281" i="20" s="1"/>
  <c r="V281" i="20"/>
  <c r="AB281" i="20" s="1"/>
  <c r="X280" i="20"/>
  <c r="AD280" i="20" s="1"/>
  <c r="W280" i="20"/>
  <c r="AC280" i="20" s="1"/>
  <c r="V280" i="20"/>
  <c r="AB280" i="20" s="1"/>
  <c r="X279" i="20"/>
  <c r="AD279" i="20" s="1"/>
  <c r="W279" i="20"/>
  <c r="AC279" i="20" s="1"/>
  <c r="V279" i="20"/>
  <c r="AB279" i="20" s="1"/>
  <c r="X278" i="20"/>
  <c r="AD278" i="20" s="1"/>
  <c r="W278" i="20"/>
  <c r="AC278" i="20" s="1"/>
  <c r="V278" i="20"/>
  <c r="AB278" i="20" s="1"/>
  <c r="X277" i="20"/>
  <c r="AD277" i="20" s="1"/>
  <c r="W277" i="20"/>
  <c r="AC277" i="20" s="1"/>
  <c r="V277" i="20"/>
  <c r="AB277" i="20" s="1"/>
  <c r="X276" i="20"/>
  <c r="AD276" i="20" s="1"/>
  <c r="W276" i="20"/>
  <c r="AC276" i="20" s="1"/>
  <c r="V276" i="20"/>
  <c r="AB276" i="20" s="1"/>
  <c r="X275" i="20"/>
  <c r="AD275" i="20" s="1"/>
  <c r="W275" i="20"/>
  <c r="AC275" i="20" s="1"/>
  <c r="V275" i="20"/>
  <c r="AB275" i="20" s="1"/>
  <c r="X274" i="20"/>
  <c r="AD274" i="20" s="1"/>
  <c r="W274" i="20"/>
  <c r="AC274" i="20" s="1"/>
  <c r="V274" i="20"/>
  <c r="AB274" i="20" s="1"/>
  <c r="X273" i="20"/>
  <c r="AD273" i="20" s="1"/>
  <c r="W273" i="20"/>
  <c r="AC273" i="20" s="1"/>
  <c r="V273" i="20"/>
  <c r="AB273" i="20" s="1"/>
  <c r="X272" i="20"/>
  <c r="AD272" i="20" s="1"/>
  <c r="W272" i="20"/>
  <c r="AC272" i="20" s="1"/>
  <c r="V272" i="20"/>
  <c r="AB272" i="20" s="1"/>
  <c r="X271" i="20"/>
  <c r="AD271" i="20" s="1"/>
  <c r="W271" i="20"/>
  <c r="AC271" i="20" s="1"/>
  <c r="V271" i="20"/>
  <c r="AB271" i="20" s="1"/>
  <c r="X270" i="20"/>
  <c r="AD270" i="20" s="1"/>
  <c r="W270" i="20"/>
  <c r="AC270" i="20" s="1"/>
  <c r="V270" i="20"/>
  <c r="AB270" i="20" s="1"/>
  <c r="X269" i="20"/>
  <c r="AD269" i="20" s="1"/>
  <c r="W269" i="20"/>
  <c r="AC269" i="20" s="1"/>
  <c r="V269" i="20"/>
  <c r="AB269" i="20" s="1"/>
  <c r="X268" i="20"/>
  <c r="AD268" i="20" s="1"/>
  <c r="W268" i="20"/>
  <c r="AC268" i="20" s="1"/>
  <c r="V268" i="20"/>
  <c r="AB268" i="20" s="1"/>
  <c r="X267" i="20"/>
  <c r="AD267" i="20" s="1"/>
  <c r="W267" i="20"/>
  <c r="AC267" i="20" s="1"/>
  <c r="V267" i="20"/>
  <c r="AB267" i="20" s="1"/>
  <c r="X266" i="20"/>
  <c r="AD266" i="20" s="1"/>
  <c r="W266" i="20"/>
  <c r="AC266" i="20" s="1"/>
  <c r="V266" i="20"/>
  <c r="AB266" i="20" s="1"/>
  <c r="X265" i="20"/>
  <c r="AD265" i="20" s="1"/>
  <c r="W265" i="20"/>
  <c r="AC265" i="20" s="1"/>
  <c r="V265" i="20"/>
  <c r="AB265" i="20" s="1"/>
  <c r="X264" i="20"/>
  <c r="AD264" i="20" s="1"/>
  <c r="W264" i="20"/>
  <c r="AC264" i="20" s="1"/>
  <c r="V264" i="20"/>
  <c r="AB264" i="20" s="1"/>
  <c r="X263" i="20"/>
  <c r="AD263" i="20" s="1"/>
  <c r="W263" i="20"/>
  <c r="AC263" i="20" s="1"/>
  <c r="V263" i="20"/>
  <c r="AB263" i="20" s="1"/>
  <c r="X262" i="20"/>
  <c r="AD262" i="20" s="1"/>
  <c r="W262" i="20"/>
  <c r="AC262" i="20" s="1"/>
  <c r="V262" i="20"/>
  <c r="AB262" i="20" s="1"/>
  <c r="X261" i="20"/>
  <c r="AD261" i="20" s="1"/>
  <c r="W261" i="20"/>
  <c r="AC261" i="20" s="1"/>
  <c r="V261" i="20"/>
  <c r="AB261" i="20" s="1"/>
  <c r="X260" i="20"/>
  <c r="AD260" i="20" s="1"/>
  <c r="W260" i="20"/>
  <c r="AC260" i="20" s="1"/>
  <c r="V260" i="20"/>
  <c r="AB260" i="20" s="1"/>
  <c r="X259" i="20"/>
  <c r="AD259" i="20" s="1"/>
  <c r="W259" i="20"/>
  <c r="AC259" i="20" s="1"/>
  <c r="V259" i="20"/>
  <c r="AB259" i="20" s="1"/>
  <c r="X258" i="20"/>
  <c r="AD258" i="20" s="1"/>
  <c r="W258" i="20"/>
  <c r="AC258" i="20" s="1"/>
  <c r="V258" i="20"/>
  <c r="AB258" i="20" s="1"/>
  <c r="X257" i="20"/>
  <c r="AD257" i="20" s="1"/>
  <c r="W257" i="20"/>
  <c r="AC257" i="20" s="1"/>
  <c r="V257" i="20"/>
  <c r="AB257" i="20" s="1"/>
  <c r="X256" i="20"/>
  <c r="AD256" i="20" s="1"/>
  <c r="W256" i="20"/>
  <c r="AC256" i="20" s="1"/>
  <c r="V256" i="20"/>
  <c r="AB256" i="20" s="1"/>
  <c r="X255" i="20"/>
  <c r="AD255" i="20" s="1"/>
  <c r="W255" i="20"/>
  <c r="AC255" i="20" s="1"/>
  <c r="V255" i="20"/>
  <c r="AB255" i="20" s="1"/>
  <c r="X254" i="20"/>
  <c r="AD254" i="20" s="1"/>
  <c r="W254" i="20"/>
  <c r="AC254" i="20" s="1"/>
  <c r="V254" i="20"/>
  <c r="AB254" i="20" s="1"/>
  <c r="X253" i="20"/>
  <c r="AD253" i="20" s="1"/>
  <c r="W253" i="20"/>
  <c r="AC253" i="20" s="1"/>
  <c r="V253" i="20"/>
  <c r="AB253" i="20" s="1"/>
  <c r="X252" i="20"/>
  <c r="AD252" i="20" s="1"/>
  <c r="W252" i="20"/>
  <c r="AC252" i="20" s="1"/>
  <c r="V252" i="20"/>
  <c r="AB252" i="20" s="1"/>
  <c r="X251" i="20"/>
  <c r="AD251" i="20" s="1"/>
  <c r="AO3" i="20" s="1"/>
  <c r="W251" i="20"/>
  <c r="AC251" i="20" s="1"/>
  <c r="V251" i="20"/>
  <c r="AB251" i="20" s="1"/>
  <c r="V250" i="20"/>
  <c r="AB250" i="20" s="1"/>
  <c r="V249" i="20"/>
  <c r="AB249" i="20" s="1"/>
  <c r="V248" i="20"/>
  <c r="AB248" i="20" s="1"/>
  <c r="V247" i="20"/>
  <c r="AB247" i="20" s="1"/>
  <c r="V246" i="20"/>
  <c r="AB246" i="20" s="1"/>
  <c r="V245" i="20"/>
  <c r="AB245" i="20" s="1"/>
  <c r="V244" i="20"/>
  <c r="AB244" i="20" s="1"/>
  <c r="V243" i="20"/>
  <c r="AB243" i="20" s="1"/>
  <c r="V242" i="20"/>
  <c r="AB242" i="20" s="1"/>
  <c r="V241" i="20"/>
  <c r="AB241" i="20" s="1"/>
  <c r="V240" i="20"/>
  <c r="AB240" i="20" s="1"/>
  <c r="V239" i="20"/>
  <c r="AB239" i="20" s="1"/>
  <c r="X238" i="20"/>
  <c r="AD238" i="20" s="1"/>
  <c r="W238" i="20"/>
  <c r="AC238" i="20" s="1"/>
  <c r="X237" i="20"/>
  <c r="AD237" i="20" s="1"/>
  <c r="W237" i="20"/>
  <c r="AC237" i="20" s="1"/>
  <c r="X236" i="20"/>
  <c r="AD236" i="20" s="1"/>
  <c r="W236" i="20"/>
  <c r="AC236" i="20" s="1"/>
  <c r="X235" i="20"/>
  <c r="AD235" i="20" s="1"/>
  <c r="W235" i="20"/>
  <c r="AC235" i="20" s="1"/>
  <c r="X234" i="20"/>
  <c r="AD234" i="20" s="1"/>
  <c r="W234" i="20"/>
  <c r="AC234" i="20" s="1"/>
  <c r="X233" i="20"/>
  <c r="AD233" i="20" s="1"/>
  <c r="W233" i="20"/>
  <c r="AC233" i="20" s="1"/>
  <c r="X232" i="20"/>
  <c r="AD232" i="20" s="1"/>
  <c r="W232" i="20"/>
  <c r="AC232" i="20" s="1"/>
  <c r="X231" i="20"/>
  <c r="AD231" i="20" s="1"/>
  <c r="W231" i="20"/>
  <c r="AC231" i="20" s="1"/>
  <c r="X230" i="20"/>
  <c r="AD230" i="20" s="1"/>
  <c r="W230" i="20"/>
  <c r="AC230" i="20" s="1"/>
  <c r="X229" i="20"/>
  <c r="AD229" i="20" s="1"/>
  <c r="W229" i="20"/>
  <c r="AC229" i="20" s="1"/>
  <c r="X228" i="20"/>
  <c r="AD228" i="20" s="1"/>
  <c r="W228" i="20"/>
  <c r="AC228" i="20" s="1"/>
  <c r="X227" i="20"/>
  <c r="AD227" i="20" s="1"/>
  <c r="W227" i="20"/>
  <c r="AC227" i="20" s="1"/>
  <c r="V226" i="20"/>
  <c r="AB226" i="20" s="1"/>
  <c r="V225" i="20"/>
  <c r="AB225" i="20" s="1"/>
  <c r="V224" i="20"/>
  <c r="AB224" i="20" s="1"/>
  <c r="V223" i="20"/>
  <c r="AB223" i="20" s="1"/>
  <c r="V222" i="20"/>
  <c r="AB222" i="20" s="1"/>
  <c r="V221" i="20"/>
  <c r="AB221" i="20" s="1"/>
  <c r="V220" i="20"/>
  <c r="AB220" i="20" s="1"/>
  <c r="V219" i="20"/>
  <c r="AB219" i="20" s="1"/>
  <c r="V218" i="20"/>
  <c r="AB218" i="20" s="1"/>
  <c r="V217" i="20"/>
  <c r="AB217" i="20" s="1"/>
  <c r="V216" i="20"/>
  <c r="AB216" i="20" s="1"/>
  <c r="V215" i="20"/>
  <c r="AB215" i="20" s="1"/>
  <c r="V214" i="20"/>
  <c r="AB214" i="20" s="1"/>
  <c r="V213" i="20"/>
  <c r="AB213" i="20" s="1"/>
  <c r="V212" i="20"/>
  <c r="AB212" i="20" s="1"/>
  <c r="V211" i="20"/>
  <c r="AB211" i="20" s="1"/>
  <c r="V210" i="20"/>
  <c r="AB210" i="20" s="1"/>
  <c r="V209" i="20"/>
  <c r="AB209" i="20" s="1"/>
  <c r="V208" i="20"/>
  <c r="AB208" i="20" s="1"/>
  <c r="V207" i="20"/>
  <c r="AB207" i="20" s="1"/>
  <c r="V206" i="20"/>
  <c r="AB206" i="20" s="1"/>
  <c r="V205" i="20"/>
  <c r="AB205" i="20" s="1"/>
  <c r="V204" i="20"/>
  <c r="AB204" i="20" s="1"/>
  <c r="V203" i="20"/>
  <c r="AB203" i="20" s="1"/>
  <c r="X202" i="20"/>
  <c r="AD202" i="20" s="1"/>
  <c r="W202" i="20"/>
  <c r="AC202" i="20" s="1"/>
  <c r="X201" i="20"/>
  <c r="AD201" i="20" s="1"/>
  <c r="W201" i="20"/>
  <c r="AC201" i="20" s="1"/>
  <c r="X200" i="20"/>
  <c r="AD200" i="20" s="1"/>
  <c r="W200" i="20"/>
  <c r="AC200" i="20" s="1"/>
  <c r="X199" i="20"/>
  <c r="AD199" i="20" s="1"/>
  <c r="W199" i="20"/>
  <c r="AC199" i="20" s="1"/>
  <c r="X198" i="20"/>
  <c r="AD198" i="20" s="1"/>
  <c r="W198" i="20"/>
  <c r="AC198" i="20" s="1"/>
  <c r="X197" i="20"/>
  <c r="AD197" i="20" s="1"/>
  <c r="W197" i="20"/>
  <c r="AC197" i="20" s="1"/>
  <c r="X196" i="20"/>
  <c r="AD196" i="20" s="1"/>
  <c r="W196" i="20"/>
  <c r="AC196" i="20" s="1"/>
  <c r="X195" i="20"/>
  <c r="AD195" i="20" s="1"/>
  <c r="W195" i="20"/>
  <c r="AC195" i="20" s="1"/>
  <c r="X194" i="20"/>
  <c r="AD194" i="20" s="1"/>
  <c r="W194" i="20"/>
  <c r="AC194" i="20" s="1"/>
  <c r="X193" i="20"/>
  <c r="AD193" i="20" s="1"/>
  <c r="W193" i="20"/>
  <c r="AC193" i="20" s="1"/>
  <c r="X192" i="20"/>
  <c r="AD192" i="20" s="1"/>
  <c r="W192" i="20"/>
  <c r="AC192" i="20" s="1"/>
  <c r="X191" i="20"/>
  <c r="AD191" i="20" s="1"/>
  <c r="W191" i="20"/>
  <c r="AC191" i="20" s="1"/>
  <c r="V190" i="20"/>
  <c r="AB190" i="20" s="1"/>
  <c r="V189" i="20"/>
  <c r="AB189" i="20" s="1"/>
  <c r="V188" i="20"/>
  <c r="AB188" i="20" s="1"/>
  <c r="V187" i="20"/>
  <c r="AB187" i="20" s="1"/>
  <c r="V186" i="20"/>
  <c r="AB186" i="20" s="1"/>
  <c r="V185" i="20"/>
  <c r="AB185" i="20" s="1"/>
  <c r="V184" i="20"/>
  <c r="AB184" i="20" s="1"/>
  <c r="V183" i="20"/>
  <c r="AB183" i="20" s="1"/>
  <c r="V182" i="20"/>
  <c r="AB182" i="20" s="1"/>
  <c r="V181" i="20"/>
  <c r="AB181" i="20" s="1"/>
  <c r="V180" i="20"/>
  <c r="AB180" i="20" s="1"/>
  <c r="V179" i="20"/>
  <c r="AB179" i="20" s="1"/>
  <c r="X178" i="20"/>
  <c r="AD178" i="20" s="1"/>
  <c r="W178" i="20"/>
  <c r="AC178" i="20" s="1"/>
  <c r="V178" i="20"/>
  <c r="AB178" i="20" s="1"/>
  <c r="X177" i="20"/>
  <c r="AD177" i="20" s="1"/>
  <c r="W177" i="20"/>
  <c r="AC177" i="20" s="1"/>
  <c r="V177" i="20"/>
  <c r="AB177" i="20" s="1"/>
  <c r="X176" i="20"/>
  <c r="AD176" i="20" s="1"/>
  <c r="W176" i="20"/>
  <c r="AC176" i="20" s="1"/>
  <c r="V176" i="20"/>
  <c r="AB176" i="20" s="1"/>
  <c r="X175" i="20"/>
  <c r="AD175" i="20" s="1"/>
  <c r="W175" i="20"/>
  <c r="AC175" i="20" s="1"/>
  <c r="V175" i="20"/>
  <c r="AB175" i="20" s="1"/>
  <c r="X174" i="20"/>
  <c r="AD174" i="20" s="1"/>
  <c r="W174" i="20"/>
  <c r="AC174" i="20" s="1"/>
  <c r="V174" i="20"/>
  <c r="AB174" i="20" s="1"/>
  <c r="X173" i="20"/>
  <c r="AD173" i="20" s="1"/>
  <c r="W173" i="20"/>
  <c r="AC173" i="20" s="1"/>
  <c r="V173" i="20"/>
  <c r="AB173" i="20" s="1"/>
  <c r="X172" i="20"/>
  <c r="AD172" i="20" s="1"/>
  <c r="W172" i="20"/>
  <c r="AC172" i="20" s="1"/>
  <c r="V172" i="20"/>
  <c r="AB172" i="20" s="1"/>
  <c r="X171" i="20"/>
  <c r="AD171" i="20" s="1"/>
  <c r="W171" i="20"/>
  <c r="AC171" i="20" s="1"/>
  <c r="V171" i="20"/>
  <c r="AB171" i="20" s="1"/>
  <c r="X170" i="20"/>
  <c r="AD170" i="20" s="1"/>
  <c r="W170" i="20"/>
  <c r="AC170" i="20" s="1"/>
  <c r="V170" i="20"/>
  <c r="AB170" i="20" s="1"/>
  <c r="X169" i="20"/>
  <c r="AD169" i="20" s="1"/>
  <c r="W169" i="20"/>
  <c r="AC169" i="20" s="1"/>
  <c r="V169" i="20"/>
  <c r="AB169" i="20" s="1"/>
  <c r="X168" i="20"/>
  <c r="AD168" i="20" s="1"/>
  <c r="W168" i="20"/>
  <c r="AC168" i="20" s="1"/>
  <c r="V168" i="20"/>
  <c r="AB168" i="20" s="1"/>
  <c r="X167" i="20"/>
  <c r="AD167" i="20" s="1"/>
  <c r="W167" i="20"/>
  <c r="AC167" i="20" s="1"/>
  <c r="V167" i="20"/>
  <c r="AB167" i="20" s="1"/>
  <c r="X166" i="20"/>
  <c r="AD166" i="20" s="1"/>
  <c r="W166" i="20"/>
  <c r="AC166" i="20" s="1"/>
  <c r="V166" i="20"/>
  <c r="AB166" i="20" s="1"/>
  <c r="X165" i="20"/>
  <c r="AD165" i="20" s="1"/>
  <c r="W165" i="20"/>
  <c r="AC165" i="20" s="1"/>
  <c r="V165" i="20"/>
  <c r="AB165" i="20" s="1"/>
  <c r="X164" i="20"/>
  <c r="AD164" i="20" s="1"/>
  <c r="W164" i="20"/>
  <c r="AC164" i="20" s="1"/>
  <c r="V164" i="20"/>
  <c r="AB164" i="20" s="1"/>
  <c r="X163" i="20"/>
  <c r="AD163" i="20" s="1"/>
  <c r="W163" i="20"/>
  <c r="AC163" i="20" s="1"/>
  <c r="V163" i="20"/>
  <c r="AB163" i="20" s="1"/>
  <c r="X162" i="20"/>
  <c r="AD162" i="20" s="1"/>
  <c r="W162" i="20"/>
  <c r="AC162" i="20" s="1"/>
  <c r="V162" i="20"/>
  <c r="AB162" i="20" s="1"/>
  <c r="X161" i="20"/>
  <c r="AD161" i="20" s="1"/>
  <c r="W161" i="20"/>
  <c r="AC161" i="20" s="1"/>
  <c r="V161" i="20"/>
  <c r="AB161" i="20" s="1"/>
  <c r="X160" i="20"/>
  <c r="AD160" i="20" s="1"/>
  <c r="W160" i="20"/>
  <c r="AC160" i="20" s="1"/>
  <c r="V160" i="20"/>
  <c r="AB160" i="20" s="1"/>
  <c r="X159" i="20"/>
  <c r="AD159" i="20" s="1"/>
  <c r="W159" i="20"/>
  <c r="AC159" i="20" s="1"/>
  <c r="V159" i="20"/>
  <c r="AB159" i="20" s="1"/>
  <c r="X158" i="20"/>
  <c r="AD158" i="20" s="1"/>
  <c r="W158" i="20"/>
  <c r="AC158" i="20" s="1"/>
  <c r="V158" i="20"/>
  <c r="AB158" i="20" s="1"/>
  <c r="X157" i="20"/>
  <c r="AD157" i="20" s="1"/>
  <c r="W157" i="20"/>
  <c r="AC157" i="20" s="1"/>
  <c r="V157" i="20"/>
  <c r="AB157" i="20" s="1"/>
  <c r="X156" i="20"/>
  <c r="AD156" i="20" s="1"/>
  <c r="W156" i="20"/>
  <c r="AC156" i="20" s="1"/>
  <c r="V156" i="20"/>
  <c r="AB156" i="20" s="1"/>
  <c r="X155" i="20"/>
  <c r="AD155" i="20" s="1"/>
  <c r="W155" i="20"/>
  <c r="AC155" i="20" s="1"/>
  <c r="V155" i="20"/>
  <c r="AB155" i="20" s="1"/>
  <c r="X154" i="20"/>
  <c r="AD154" i="20" s="1"/>
  <c r="W154" i="20"/>
  <c r="AC154" i="20" s="1"/>
  <c r="V154" i="20"/>
  <c r="AB154" i="20" s="1"/>
  <c r="X153" i="20"/>
  <c r="AD153" i="20" s="1"/>
  <c r="W153" i="20"/>
  <c r="AC153" i="20" s="1"/>
  <c r="V153" i="20"/>
  <c r="AB153" i="20" s="1"/>
  <c r="X152" i="20"/>
  <c r="AD152" i="20" s="1"/>
  <c r="W152" i="20"/>
  <c r="AC152" i="20" s="1"/>
  <c r="V152" i="20"/>
  <c r="AB152" i="20" s="1"/>
  <c r="X151" i="20"/>
  <c r="AD151" i="20" s="1"/>
  <c r="W151" i="20"/>
  <c r="AC151" i="20" s="1"/>
  <c r="V151" i="20"/>
  <c r="AB151" i="20" s="1"/>
  <c r="X150" i="20"/>
  <c r="AD150" i="20" s="1"/>
  <c r="W150" i="20"/>
  <c r="AC150" i="20" s="1"/>
  <c r="V150" i="20"/>
  <c r="AB150" i="20" s="1"/>
  <c r="X149" i="20"/>
  <c r="AD149" i="20" s="1"/>
  <c r="W149" i="20"/>
  <c r="AC149" i="20" s="1"/>
  <c r="V149" i="20"/>
  <c r="AB149" i="20" s="1"/>
  <c r="X148" i="20"/>
  <c r="AD148" i="20" s="1"/>
  <c r="W148" i="20"/>
  <c r="AC148" i="20" s="1"/>
  <c r="V148" i="20"/>
  <c r="AB148" i="20" s="1"/>
  <c r="X147" i="20"/>
  <c r="AD147" i="20" s="1"/>
  <c r="W147" i="20"/>
  <c r="AC147" i="20" s="1"/>
  <c r="V147" i="20"/>
  <c r="AB147" i="20" s="1"/>
  <c r="X146" i="20"/>
  <c r="AD146" i="20" s="1"/>
  <c r="W146" i="20"/>
  <c r="AC146" i="20" s="1"/>
  <c r="V146" i="20"/>
  <c r="AB146" i="20" s="1"/>
  <c r="X145" i="20"/>
  <c r="AD145" i="20" s="1"/>
  <c r="W145" i="20"/>
  <c r="AC145" i="20" s="1"/>
  <c r="V145" i="20"/>
  <c r="AB145" i="20" s="1"/>
  <c r="X144" i="20"/>
  <c r="AD144" i="20" s="1"/>
  <c r="W144" i="20"/>
  <c r="AC144" i="20" s="1"/>
  <c r="V144" i="20"/>
  <c r="AB144" i="20" s="1"/>
  <c r="X143" i="20"/>
  <c r="AD143" i="20" s="1"/>
  <c r="W143" i="20"/>
  <c r="AC143" i="20" s="1"/>
  <c r="V143" i="20"/>
  <c r="AB143" i="20" s="1"/>
  <c r="X142" i="20"/>
  <c r="AD142" i="20" s="1"/>
  <c r="W142" i="20"/>
  <c r="AC142" i="20" s="1"/>
  <c r="V142" i="20"/>
  <c r="AB142" i="20" s="1"/>
  <c r="X141" i="20"/>
  <c r="AD141" i="20" s="1"/>
  <c r="W141" i="20"/>
  <c r="AC141" i="20" s="1"/>
  <c r="V141" i="20"/>
  <c r="AB141" i="20" s="1"/>
  <c r="X140" i="20"/>
  <c r="AD140" i="20" s="1"/>
  <c r="W140" i="20"/>
  <c r="AC140" i="20" s="1"/>
  <c r="V140" i="20"/>
  <c r="AB140" i="20" s="1"/>
  <c r="X139" i="20"/>
  <c r="AD139" i="20" s="1"/>
  <c r="W139" i="20"/>
  <c r="AC139" i="20" s="1"/>
  <c r="V139" i="20"/>
  <c r="AB139" i="20" s="1"/>
  <c r="X138" i="20"/>
  <c r="AD138" i="20" s="1"/>
  <c r="W138" i="20"/>
  <c r="AC138" i="20" s="1"/>
  <c r="V138" i="20"/>
  <c r="AB138" i="20" s="1"/>
  <c r="X137" i="20"/>
  <c r="AD137" i="20" s="1"/>
  <c r="W137" i="20"/>
  <c r="AC137" i="20" s="1"/>
  <c r="V137" i="20"/>
  <c r="AB137" i="20" s="1"/>
  <c r="X136" i="20"/>
  <c r="AD136" i="20" s="1"/>
  <c r="W136" i="20"/>
  <c r="AC136" i="20" s="1"/>
  <c r="V136" i="20"/>
  <c r="AB136" i="20" s="1"/>
  <c r="X135" i="20"/>
  <c r="AD135" i="20" s="1"/>
  <c r="W135" i="20"/>
  <c r="AC135" i="20" s="1"/>
  <c r="V135" i="20"/>
  <c r="AB135" i="20" s="1"/>
  <c r="X134" i="20"/>
  <c r="AD134" i="20" s="1"/>
  <c r="W134" i="20"/>
  <c r="AC134" i="20" s="1"/>
  <c r="V134" i="20"/>
  <c r="AB134" i="20" s="1"/>
  <c r="X133" i="20"/>
  <c r="AD133" i="20" s="1"/>
  <c r="W133" i="20"/>
  <c r="AC133" i="20" s="1"/>
  <c r="V133" i="20"/>
  <c r="AB133" i="20" s="1"/>
  <c r="X132" i="20"/>
  <c r="AD132" i="20" s="1"/>
  <c r="W132" i="20"/>
  <c r="AC132" i="20" s="1"/>
  <c r="V132" i="20"/>
  <c r="AB132" i="20" s="1"/>
  <c r="X131" i="20"/>
  <c r="AD131" i="20" s="1"/>
  <c r="W131" i="20"/>
  <c r="AC131" i="20" s="1"/>
  <c r="V131" i="20"/>
  <c r="AB131" i="20" s="1"/>
  <c r="X130" i="20"/>
  <c r="AD130" i="20" s="1"/>
  <c r="W130" i="20"/>
  <c r="AC130" i="20" s="1"/>
  <c r="V130" i="20"/>
  <c r="AB130" i="20" s="1"/>
  <c r="X129" i="20"/>
  <c r="AD129" i="20" s="1"/>
  <c r="W129" i="20"/>
  <c r="AC129" i="20" s="1"/>
  <c r="V129" i="20"/>
  <c r="AB129" i="20" s="1"/>
  <c r="X128" i="20"/>
  <c r="AD128" i="20" s="1"/>
  <c r="W128" i="20"/>
  <c r="AC128" i="20" s="1"/>
  <c r="V128" i="20"/>
  <c r="AB128" i="20" s="1"/>
  <c r="X127" i="20"/>
  <c r="AD127" i="20" s="1"/>
  <c r="W127" i="20"/>
  <c r="AC127" i="20" s="1"/>
  <c r="V127" i="20"/>
  <c r="AB127" i="20" s="1"/>
  <c r="X126" i="20"/>
  <c r="AD126" i="20" s="1"/>
  <c r="W126" i="20"/>
  <c r="AC126" i="20" s="1"/>
  <c r="V126" i="20"/>
  <c r="AB126" i="20" s="1"/>
  <c r="X125" i="20"/>
  <c r="AD125" i="20" s="1"/>
  <c r="W125" i="20"/>
  <c r="AC125" i="20" s="1"/>
  <c r="V125" i="20"/>
  <c r="AB125" i="20" s="1"/>
  <c r="X124" i="20"/>
  <c r="AD124" i="20" s="1"/>
  <c r="W124" i="20"/>
  <c r="AC124" i="20" s="1"/>
  <c r="V124" i="20"/>
  <c r="AB124" i="20" s="1"/>
  <c r="X123" i="20"/>
  <c r="AD123" i="20" s="1"/>
  <c r="W123" i="20"/>
  <c r="AC123" i="20" s="1"/>
  <c r="V123" i="20"/>
  <c r="AB123" i="20" s="1"/>
  <c r="X122" i="20"/>
  <c r="AD122" i="20" s="1"/>
  <c r="W122" i="20"/>
  <c r="AC122" i="20" s="1"/>
  <c r="V122" i="20"/>
  <c r="AB122" i="20" s="1"/>
  <c r="X121" i="20"/>
  <c r="AD121" i="20" s="1"/>
  <c r="W121" i="20"/>
  <c r="AC121" i="20" s="1"/>
  <c r="V121" i="20"/>
  <c r="AB121" i="20" s="1"/>
  <c r="X120" i="20"/>
  <c r="AD120" i="20" s="1"/>
  <c r="W120" i="20"/>
  <c r="AC120" i="20" s="1"/>
  <c r="V120" i="20"/>
  <c r="AB120" i="20" s="1"/>
  <c r="X119" i="20"/>
  <c r="AD119" i="20" s="1"/>
  <c r="W119" i="20"/>
  <c r="AC119" i="20" s="1"/>
  <c r="V119" i="20"/>
  <c r="AB119" i="20" s="1"/>
  <c r="X118" i="20"/>
  <c r="AD118" i="20" s="1"/>
  <c r="W118" i="20"/>
  <c r="AC118" i="20" s="1"/>
  <c r="V118" i="20"/>
  <c r="AB118" i="20" s="1"/>
  <c r="X117" i="20"/>
  <c r="AD117" i="20" s="1"/>
  <c r="W117" i="20"/>
  <c r="AC117" i="20" s="1"/>
  <c r="V117" i="20"/>
  <c r="AB117" i="20" s="1"/>
  <c r="X116" i="20"/>
  <c r="AD116" i="20" s="1"/>
  <c r="W116" i="20"/>
  <c r="AC116" i="20" s="1"/>
  <c r="V116" i="20"/>
  <c r="AB116" i="20" s="1"/>
  <c r="X115" i="20"/>
  <c r="AD115" i="20" s="1"/>
  <c r="W115" i="20"/>
  <c r="AC115" i="20" s="1"/>
  <c r="V115" i="20"/>
  <c r="AB115" i="20" s="1"/>
  <c r="X114" i="20"/>
  <c r="AD114" i="20" s="1"/>
  <c r="W114" i="20"/>
  <c r="AC114" i="20" s="1"/>
  <c r="V114" i="20"/>
  <c r="AB114" i="20" s="1"/>
  <c r="X113" i="20"/>
  <c r="AD113" i="20" s="1"/>
  <c r="W113" i="20"/>
  <c r="AC113" i="20" s="1"/>
  <c r="V113" i="20"/>
  <c r="AB113" i="20" s="1"/>
  <c r="X112" i="20"/>
  <c r="AD112" i="20" s="1"/>
  <c r="W112" i="20"/>
  <c r="AC112" i="20" s="1"/>
  <c r="V112" i="20"/>
  <c r="AB112" i="20" s="1"/>
  <c r="X111" i="20"/>
  <c r="AD111" i="20" s="1"/>
  <c r="W111" i="20"/>
  <c r="AC111" i="20" s="1"/>
  <c r="V111" i="20"/>
  <c r="AB111" i="20" s="1"/>
  <c r="X110" i="20"/>
  <c r="AD110" i="20" s="1"/>
  <c r="W110" i="20"/>
  <c r="AC110" i="20" s="1"/>
  <c r="V110" i="20"/>
  <c r="AB110" i="20" s="1"/>
  <c r="X109" i="20"/>
  <c r="AD109" i="20" s="1"/>
  <c r="W109" i="20"/>
  <c r="AC109" i="20" s="1"/>
  <c r="V109" i="20"/>
  <c r="AB109" i="20" s="1"/>
  <c r="X108" i="20"/>
  <c r="AD108" i="20" s="1"/>
  <c r="W108" i="20"/>
  <c r="AC108" i="20" s="1"/>
  <c r="V108" i="20"/>
  <c r="AB108" i="20" s="1"/>
  <c r="X107" i="20"/>
  <c r="AD107" i="20" s="1"/>
  <c r="W107" i="20"/>
  <c r="AC107" i="20" s="1"/>
  <c r="V107" i="20"/>
  <c r="AB107" i="20" s="1"/>
  <c r="X106" i="20"/>
  <c r="AD106" i="20" s="1"/>
  <c r="W106" i="20"/>
  <c r="AC106" i="20" s="1"/>
  <c r="V106" i="20"/>
  <c r="AB106" i="20" s="1"/>
  <c r="X105" i="20"/>
  <c r="AD105" i="20" s="1"/>
  <c r="W105" i="20"/>
  <c r="AC105" i="20" s="1"/>
  <c r="V105" i="20"/>
  <c r="AB105" i="20" s="1"/>
  <c r="X104" i="20"/>
  <c r="AD104" i="20" s="1"/>
  <c r="W104" i="20"/>
  <c r="AC104" i="20" s="1"/>
  <c r="V104" i="20"/>
  <c r="AB104" i="20" s="1"/>
  <c r="X103" i="20"/>
  <c r="AD103" i="20" s="1"/>
  <c r="W103" i="20"/>
  <c r="AC103" i="20" s="1"/>
  <c r="V103" i="20"/>
  <c r="AB103" i="20" s="1"/>
  <c r="X102" i="20"/>
  <c r="AD102" i="20" s="1"/>
  <c r="W102" i="20"/>
  <c r="AC102" i="20" s="1"/>
  <c r="V102" i="20"/>
  <c r="AB102" i="20" s="1"/>
  <c r="X101" i="20"/>
  <c r="AD101" i="20" s="1"/>
  <c r="W101" i="20"/>
  <c r="AC101" i="20" s="1"/>
  <c r="V101" i="20"/>
  <c r="AB101" i="20" s="1"/>
  <c r="X100" i="20"/>
  <c r="AD100" i="20" s="1"/>
  <c r="W100" i="20"/>
  <c r="AC100" i="20" s="1"/>
  <c r="V100" i="20"/>
  <c r="AB100" i="20" s="1"/>
  <c r="X99" i="20"/>
  <c r="AD99" i="20" s="1"/>
  <c r="W99" i="20"/>
  <c r="AC99" i="20" s="1"/>
  <c r="V99" i="20"/>
  <c r="AB99" i="20" s="1"/>
  <c r="X98" i="20"/>
  <c r="AD98" i="20" s="1"/>
  <c r="W98" i="20"/>
  <c r="AC98" i="20" s="1"/>
  <c r="V98" i="20"/>
  <c r="AB98" i="20" s="1"/>
  <c r="X97" i="20"/>
  <c r="AD97" i="20" s="1"/>
  <c r="W97" i="20"/>
  <c r="AC97" i="20" s="1"/>
  <c r="V97" i="20"/>
  <c r="AB97" i="20" s="1"/>
  <c r="X96" i="20"/>
  <c r="AD96" i="20" s="1"/>
  <c r="W96" i="20"/>
  <c r="AC96" i="20" s="1"/>
  <c r="V96" i="20"/>
  <c r="AB96" i="20" s="1"/>
  <c r="X95" i="20"/>
  <c r="AD95" i="20" s="1"/>
  <c r="W95" i="20"/>
  <c r="AC95" i="20" s="1"/>
  <c r="V95" i="20"/>
  <c r="AB95" i="20" s="1"/>
  <c r="X94" i="20"/>
  <c r="AD94" i="20" s="1"/>
  <c r="W94" i="20"/>
  <c r="AC94" i="20" s="1"/>
  <c r="V94" i="20"/>
  <c r="AB94" i="20" s="1"/>
  <c r="X93" i="20"/>
  <c r="AD93" i="20" s="1"/>
  <c r="W93" i="20"/>
  <c r="AC93" i="20" s="1"/>
  <c r="V93" i="20"/>
  <c r="AB93" i="20" s="1"/>
  <c r="X92" i="20"/>
  <c r="AD92" i="20" s="1"/>
  <c r="W92" i="20"/>
  <c r="AC92" i="20" s="1"/>
  <c r="V92" i="20"/>
  <c r="AB92" i="20" s="1"/>
  <c r="X91" i="20"/>
  <c r="AD91" i="20" s="1"/>
  <c r="W91" i="20"/>
  <c r="AC91" i="20" s="1"/>
  <c r="V91" i="20"/>
  <c r="AB91" i="20" s="1"/>
  <c r="X90" i="20"/>
  <c r="AD90" i="20" s="1"/>
  <c r="W90" i="20"/>
  <c r="AC90" i="20" s="1"/>
  <c r="V90" i="20"/>
  <c r="AB90" i="20" s="1"/>
  <c r="X89" i="20"/>
  <c r="AD89" i="20" s="1"/>
  <c r="W89" i="20"/>
  <c r="AC89" i="20" s="1"/>
  <c r="V89" i="20"/>
  <c r="AB89" i="20" s="1"/>
  <c r="X88" i="20"/>
  <c r="AD88" i="20" s="1"/>
  <c r="W88" i="20"/>
  <c r="AC88" i="20" s="1"/>
  <c r="V88" i="20"/>
  <c r="AB88" i="20" s="1"/>
  <c r="X87" i="20"/>
  <c r="AD87" i="20" s="1"/>
  <c r="W87" i="20"/>
  <c r="AC87" i="20" s="1"/>
  <c r="V87" i="20"/>
  <c r="AB87" i="20" s="1"/>
  <c r="X86" i="20"/>
  <c r="AD86" i="20" s="1"/>
  <c r="W86" i="20"/>
  <c r="AC86" i="20" s="1"/>
  <c r="V86" i="20"/>
  <c r="AB86" i="20" s="1"/>
  <c r="X85" i="20"/>
  <c r="AD85" i="20" s="1"/>
  <c r="W85" i="20"/>
  <c r="AC85" i="20" s="1"/>
  <c r="V85" i="20"/>
  <c r="AB85" i="20" s="1"/>
  <c r="X84" i="20"/>
  <c r="AD84" i="20" s="1"/>
  <c r="W84" i="20"/>
  <c r="AC84" i="20" s="1"/>
  <c r="V84" i="20"/>
  <c r="AB84" i="20" s="1"/>
  <c r="X83" i="20"/>
  <c r="AD83" i="20" s="1"/>
  <c r="W83" i="20"/>
  <c r="AC83" i="20" s="1"/>
  <c r="V83" i="20"/>
  <c r="AB83" i="20" s="1"/>
  <c r="X82" i="20"/>
  <c r="AD82" i="20" s="1"/>
  <c r="W82" i="20"/>
  <c r="AC82" i="20" s="1"/>
  <c r="V82" i="20"/>
  <c r="AB82" i="20" s="1"/>
  <c r="X81" i="20"/>
  <c r="AD81" i="20" s="1"/>
  <c r="W81" i="20"/>
  <c r="AC81" i="20" s="1"/>
  <c r="V81" i="20"/>
  <c r="AB81" i="20" s="1"/>
  <c r="X80" i="20"/>
  <c r="AD80" i="20" s="1"/>
  <c r="W80" i="20"/>
  <c r="AC80" i="20" s="1"/>
  <c r="V80" i="20"/>
  <c r="AB80" i="20" s="1"/>
  <c r="X79" i="20"/>
  <c r="AD79" i="20" s="1"/>
  <c r="W79" i="20"/>
  <c r="AC79" i="20" s="1"/>
  <c r="V79" i="20"/>
  <c r="AB79" i="20" s="1"/>
  <c r="X78" i="20"/>
  <c r="AD78" i="20" s="1"/>
  <c r="W78" i="20"/>
  <c r="AC78" i="20" s="1"/>
  <c r="V78" i="20"/>
  <c r="AB78" i="20" s="1"/>
  <c r="X77" i="20"/>
  <c r="AD77" i="20" s="1"/>
  <c r="W77" i="20"/>
  <c r="AC77" i="20" s="1"/>
  <c r="V77" i="20"/>
  <c r="AB77" i="20" s="1"/>
  <c r="X76" i="20"/>
  <c r="AD76" i="20" s="1"/>
  <c r="W76" i="20"/>
  <c r="AC76" i="20" s="1"/>
  <c r="V76" i="20"/>
  <c r="AB76" i="20" s="1"/>
  <c r="X75" i="20"/>
  <c r="AD75" i="20" s="1"/>
  <c r="W75" i="20"/>
  <c r="AC75" i="20" s="1"/>
  <c r="V75" i="20"/>
  <c r="AB75" i="20" s="1"/>
  <c r="X74" i="20"/>
  <c r="AD74" i="20" s="1"/>
  <c r="W74" i="20"/>
  <c r="AC74" i="20" s="1"/>
  <c r="V74" i="20"/>
  <c r="AB74" i="20" s="1"/>
  <c r="X73" i="20"/>
  <c r="AD73" i="20" s="1"/>
  <c r="W73" i="20"/>
  <c r="AC73" i="20" s="1"/>
  <c r="V73" i="20"/>
  <c r="AB73" i="20" s="1"/>
  <c r="X72" i="20"/>
  <c r="AD72" i="20" s="1"/>
  <c r="W72" i="20"/>
  <c r="AC72" i="20" s="1"/>
  <c r="V72" i="20"/>
  <c r="AB72" i="20" s="1"/>
  <c r="X71" i="20"/>
  <c r="AD71" i="20" s="1"/>
  <c r="W71" i="20"/>
  <c r="AC71" i="20" s="1"/>
  <c r="V71" i="20"/>
  <c r="AB71" i="20" s="1"/>
  <c r="X70" i="20"/>
  <c r="AD70" i="20" s="1"/>
  <c r="W70" i="20"/>
  <c r="AC70" i="20" s="1"/>
  <c r="V70" i="20"/>
  <c r="AB70" i="20" s="1"/>
  <c r="X69" i="20"/>
  <c r="AD69" i="20" s="1"/>
  <c r="W69" i="20"/>
  <c r="AC69" i="20" s="1"/>
  <c r="V69" i="20"/>
  <c r="AB69" i="20" s="1"/>
  <c r="X68" i="20"/>
  <c r="AD68" i="20" s="1"/>
  <c r="W68" i="20"/>
  <c r="AC68" i="20" s="1"/>
  <c r="V68" i="20"/>
  <c r="AB68" i="20" s="1"/>
  <c r="X67" i="20"/>
  <c r="AD67" i="20" s="1"/>
  <c r="W67" i="20"/>
  <c r="AC67" i="20" s="1"/>
  <c r="V67" i="20"/>
  <c r="AB67" i="20" s="1"/>
  <c r="X66" i="20"/>
  <c r="AD66" i="20" s="1"/>
  <c r="W66" i="20"/>
  <c r="AC66" i="20" s="1"/>
  <c r="V66" i="20"/>
  <c r="AB66" i="20" s="1"/>
  <c r="X65" i="20"/>
  <c r="AD65" i="20" s="1"/>
  <c r="W65" i="20"/>
  <c r="AC65" i="20" s="1"/>
  <c r="V65" i="20"/>
  <c r="AB65" i="20" s="1"/>
  <c r="X64" i="20"/>
  <c r="AD64" i="20" s="1"/>
  <c r="W64" i="20"/>
  <c r="AC64" i="20" s="1"/>
  <c r="V64" i="20"/>
  <c r="AB64" i="20" s="1"/>
  <c r="X63" i="20"/>
  <c r="AD63" i="20" s="1"/>
  <c r="W63" i="20"/>
  <c r="AC63" i="20" s="1"/>
  <c r="V63" i="20"/>
  <c r="AB63" i="20" s="1"/>
  <c r="X62" i="20"/>
  <c r="AD62" i="20" s="1"/>
  <c r="W62" i="20"/>
  <c r="AC62" i="20" s="1"/>
  <c r="V62" i="20"/>
  <c r="AB62" i="20" s="1"/>
  <c r="X61" i="20"/>
  <c r="AD61" i="20" s="1"/>
  <c r="W61" i="20"/>
  <c r="AC61" i="20" s="1"/>
  <c r="V61" i="20"/>
  <c r="AB61" i="20" s="1"/>
  <c r="X60" i="20"/>
  <c r="AD60" i="20" s="1"/>
  <c r="W60" i="20"/>
  <c r="AC60" i="20" s="1"/>
  <c r="V60" i="20"/>
  <c r="AB60" i="20" s="1"/>
  <c r="X59" i="20"/>
  <c r="AD59" i="20" s="1"/>
  <c r="W59" i="20"/>
  <c r="AC59" i="20" s="1"/>
  <c r="V59" i="20"/>
  <c r="AB59" i="20" s="1"/>
  <c r="X58" i="20"/>
  <c r="AD58" i="20" s="1"/>
  <c r="W58" i="20"/>
  <c r="AC58" i="20" s="1"/>
  <c r="V58" i="20"/>
  <c r="AB58" i="20" s="1"/>
  <c r="X57" i="20"/>
  <c r="AD57" i="20" s="1"/>
  <c r="W57" i="20"/>
  <c r="AC57" i="20" s="1"/>
  <c r="V57" i="20"/>
  <c r="AB57" i="20" s="1"/>
  <c r="X56" i="20"/>
  <c r="AD56" i="20" s="1"/>
  <c r="W56" i="20"/>
  <c r="AC56" i="20" s="1"/>
  <c r="V56" i="20"/>
  <c r="AB56" i="20" s="1"/>
  <c r="X55" i="20"/>
  <c r="AD55" i="20" s="1"/>
  <c r="W55" i="20"/>
  <c r="AC55" i="20" s="1"/>
  <c r="V55" i="20"/>
  <c r="AB55" i="20" s="1"/>
  <c r="X54" i="20"/>
  <c r="AD54" i="20" s="1"/>
  <c r="W54" i="20"/>
  <c r="AC54" i="20" s="1"/>
  <c r="V54" i="20"/>
  <c r="AB54" i="20" s="1"/>
  <c r="X53" i="20"/>
  <c r="AD53" i="20" s="1"/>
  <c r="W53" i="20"/>
  <c r="AC53" i="20" s="1"/>
  <c r="V53" i="20"/>
  <c r="AB53" i="20" s="1"/>
  <c r="X52" i="20"/>
  <c r="AD52" i="20" s="1"/>
  <c r="W52" i="20"/>
  <c r="AC52" i="20" s="1"/>
  <c r="V52" i="20"/>
  <c r="AB52" i="20" s="1"/>
  <c r="X51" i="20"/>
  <c r="AD51" i="20" s="1"/>
  <c r="W51" i="20"/>
  <c r="AC51" i="20" s="1"/>
  <c r="V51" i="20"/>
  <c r="AB51" i="20" s="1"/>
  <c r="X50" i="20"/>
  <c r="AD50" i="20" s="1"/>
  <c r="W50" i="20"/>
  <c r="AC50" i="20" s="1"/>
  <c r="V50" i="20"/>
  <c r="AB50" i="20" s="1"/>
  <c r="X49" i="20"/>
  <c r="AD49" i="20" s="1"/>
  <c r="W49" i="20"/>
  <c r="AC49" i="20" s="1"/>
  <c r="V49" i="20"/>
  <c r="AB49" i="20" s="1"/>
  <c r="X48" i="20"/>
  <c r="AD48" i="20" s="1"/>
  <c r="W48" i="20"/>
  <c r="AC48" i="20" s="1"/>
  <c r="V48" i="20"/>
  <c r="AB48" i="20" s="1"/>
  <c r="X47" i="20"/>
  <c r="AD47" i="20" s="1"/>
  <c r="W47" i="20"/>
  <c r="AC47" i="20" s="1"/>
  <c r="V47" i="20"/>
  <c r="AB47" i="20" s="1"/>
  <c r="X46" i="20"/>
  <c r="AD46" i="20" s="1"/>
  <c r="W46" i="20"/>
  <c r="AC46" i="20" s="1"/>
  <c r="V46" i="20"/>
  <c r="AB46" i="20" s="1"/>
  <c r="X45" i="20"/>
  <c r="AD45" i="20" s="1"/>
  <c r="W45" i="20"/>
  <c r="AC45" i="20" s="1"/>
  <c r="V45" i="20"/>
  <c r="AB45" i="20" s="1"/>
  <c r="X44" i="20"/>
  <c r="AD44" i="20" s="1"/>
  <c r="W44" i="20"/>
  <c r="AC44" i="20" s="1"/>
  <c r="V44" i="20"/>
  <c r="AB44" i="20" s="1"/>
  <c r="X43" i="20"/>
  <c r="AD43" i="20" s="1"/>
  <c r="W43" i="20"/>
  <c r="AC43" i="20" s="1"/>
  <c r="V43" i="20"/>
  <c r="AB43" i="20" s="1"/>
  <c r="X42" i="20"/>
  <c r="AD42" i="20" s="1"/>
  <c r="W42" i="20"/>
  <c r="AC42" i="20" s="1"/>
  <c r="V42" i="20"/>
  <c r="AB42" i="20" s="1"/>
  <c r="X41" i="20"/>
  <c r="AD41" i="20" s="1"/>
  <c r="W41" i="20"/>
  <c r="AC41" i="20" s="1"/>
  <c r="V41" i="20"/>
  <c r="AB41" i="20" s="1"/>
  <c r="X40" i="20"/>
  <c r="AD40" i="20" s="1"/>
  <c r="W40" i="20"/>
  <c r="AC40" i="20" s="1"/>
  <c r="V40" i="20"/>
  <c r="AB40" i="20" s="1"/>
  <c r="X39" i="20"/>
  <c r="AD39" i="20" s="1"/>
  <c r="W39" i="20"/>
  <c r="AC39" i="20" s="1"/>
  <c r="V39" i="20"/>
  <c r="AB39" i="20" s="1"/>
  <c r="X38" i="20"/>
  <c r="AD38" i="20" s="1"/>
  <c r="W38" i="20"/>
  <c r="AC38" i="20" s="1"/>
  <c r="V38" i="20"/>
  <c r="AB38" i="20" s="1"/>
  <c r="X37" i="20"/>
  <c r="AD37" i="20" s="1"/>
  <c r="W37" i="20"/>
  <c r="AC37" i="20" s="1"/>
  <c r="V37" i="20"/>
  <c r="AB37" i="20" s="1"/>
  <c r="X36" i="20"/>
  <c r="AD36" i="20" s="1"/>
  <c r="W36" i="20"/>
  <c r="AC36" i="20" s="1"/>
  <c r="V36" i="20"/>
  <c r="AB36" i="20" s="1"/>
  <c r="X35" i="20"/>
  <c r="AD35" i="20" s="1"/>
  <c r="W35" i="20"/>
  <c r="AC35" i="20" s="1"/>
  <c r="V35" i="20"/>
  <c r="AB35" i="20" s="1"/>
  <c r="X34" i="20"/>
  <c r="AD34" i="20" s="1"/>
  <c r="W34" i="20"/>
  <c r="AC34" i="20" s="1"/>
  <c r="V34" i="20"/>
  <c r="AB34" i="20" s="1"/>
  <c r="X33" i="20"/>
  <c r="AD33" i="20" s="1"/>
  <c r="W33" i="20"/>
  <c r="AC33" i="20" s="1"/>
  <c r="V33" i="20"/>
  <c r="AB33" i="20" s="1"/>
  <c r="X32" i="20"/>
  <c r="AD32" i="20" s="1"/>
  <c r="W32" i="20"/>
  <c r="AC32" i="20" s="1"/>
  <c r="V32" i="20"/>
  <c r="AB32" i="20" s="1"/>
  <c r="X31" i="20"/>
  <c r="AD31" i="20" s="1"/>
  <c r="W31" i="20"/>
  <c r="AC31" i="20" s="1"/>
  <c r="V31" i="20"/>
  <c r="AB31" i="20" s="1"/>
  <c r="X30" i="20"/>
  <c r="AD30" i="20" s="1"/>
  <c r="W30" i="20"/>
  <c r="AC30" i="20" s="1"/>
  <c r="V30" i="20"/>
  <c r="AB30" i="20" s="1"/>
  <c r="X29" i="20"/>
  <c r="AD29" i="20" s="1"/>
  <c r="W29" i="20"/>
  <c r="AC29" i="20" s="1"/>
  <c r="V29" i="20"/>
  <c r="AB29" i="20" s="1"/>
  <c r="X28" i="20"/>
  <c r="AD28" i="20" s="1"/>
  <c r="W28" i="20"/>
  <c r="AC28" i="20" s="1"/>
  <c r="V28" i="20"/>
  <c r="AB28" i="20" s="1"/>
  <c r="X27" i="20"/>
  <c r="AD27" i="20" s="1"/>
  <c r="W27" i="20"/>
  <c r="AC27" i="20" s="1"/>
  <c r="V27" i="20"/>
  <c r="AB27" i="20" s="1"/>
  <c r="X26" i="20"/>
  <c r="AD26" i="20" s="1"/>
  <c r="W26" i="20"/>
  <c r="AC26" i="20" s="1"/>
  <c r="V26" i="20"/>
  <c r="AB26" i="20" s="1"/>
  <c r="X25" i="20"/>
  <c r="AD25" i="20" s="1"/>
  <c r="W25" i="20"/>
  <c r="AC25" i="20" s="1"/>
  <c r="V25" i="20"/>
  <c r="AB25" i="20" s="1"/>
  <c r="X24" i="20"/>
  <c r="AD24" i="20" s="1"/>
  <c r="W24" i="20"/>
  <c r="AC24" i="20" s="1"/>
  <c r="V24" i="20"/>
  <c r="AB24" i="20" s="1"/>
  <c r="X23" i="20"/>
  <c r="AD23" i="20" s="1"/>
  <c r="W23" i="20"/>
  <c r="AC23" i="20" s="1"/>
  <c r="V23" i="20"/>
  <c r="AB23" i="20" s="1"/>
  <c r="X22" i="20"/>
  <c r="AD22" i="20" s="1"/>
  <c r="W22" i="20"/>
  <c r="AC22" i="20" s="1"/>
  <c r="V22" i="20"/>
  <c r="AB22" i="20" s="1"/>
  <c r="X21" i="20"/>
  <c r="AD21" i="20" s="1"/>
  <c r="W21" i="20"/>
  <c r="AC21" i="20" s="1"/>
  <c r="V21" i="20"/>
  <c r="AB21" i="20" s="1"/>
  <c r="X20" i="20"/>
  <c r="AD20" i="20" s="1"/>
  <c r="W20" i="20"/>
  <c r="AC20" i="20" s="1"/>
  <c r="V20" i="20"/>
  <c r="AB20" i="20" s="1"/>
  <c r="X19" i="20"/>
  <c r="AD19" i="20" s="1"/>
  <c r="W19" i="20"/>
  <c r="AC19" i="20" s="1"/>
  <c r="V19" i="20"/>
  <c r="AB19" i="20" s="1"/>
  <c r="X18" i="20"/>
  <c r="AD18" i="20" s="1"/>
  <c r="W18" i="20"/>
  <c r="AC18" i="20" s="1"/>
  <c r="V18" i="20"/>
  <c r="AB18" i="20" s="1"/>
  <c r="X17" i="20"/>
  <c r="AD17" i="20" s="1"/>
  <c r="W17" i="20"/>
  <c r="AC17" i="20" s="1"/>
  <c r="V17" i="20"/>
  <c r="AB17" i="20" s="1"/>
  <c r="X16" i="20"/>
  <c r="AD16" i="20" s="1"/>
  <c r="W16" i="20"/>
  <c r="AC16" i="20" s="1"/>
  <c r="V16" i="20"/>
  <c r="AB16" i="20" s="1"/>
  <c r="X15" i="20"/>
  <c r="AD15" i="20" s="1"/>
  <c r="W15" i="20"/>
  <c r="AC15" i="20" s="1"/>
  <c r="V15" i="20"/>
  <c r="AB15" i="20" s="1"/>
  <c r="X14" i="20"/>
  <c r="AD14" i="20" s="1"/>
  <c r="W14" i="20"/>
  <c r="AC14" i="20" s="1"/>
  <c r="V14" i="20"/>
  <c r="AB14" i="20" s="1"/>
  <c r="X13" i="20"/>
  <c r="AD13" i="20" s="1"/>
  <c r="W13" i="20"/>
  <c r="AC13" i="20" s="1"/>
  <c r="V13" i="20"/>
  <c r="AB13" i="20" s="1"/>
  <c r="X12" i="20"/>
  <c r="AD12" i="20" s="1"/>
  <c r="W12" i="20"/>
  <c r="AC12" i="20" s="1"/>
  <c r="V12" i="20"/>
  <c r="AB12" i="20" s="1"/>
  <c r="X11" i="20"/>
  <c r="AD11" i="20" s="1"/>
  <c r="W11" i="20"/>
  <c r="AC11" i="20" s="1"/>
  <c r="V11" i="20"/>
  <c r="AB11" i="20" s="1"/>
  <c r="X10" i="20"/>
  <c r="AD10" i="20" s="1"/>
  <c r="W10" i="20"/>
  <c r="AC10" i="20" s="1"/>
  <c r="V10" i="20"/>
  <c r="AB10" i="20" s="1"/>
  <c r="X9" i="20"/>
  <c r="AD9" i="20" s="1"/>
  <c r="W9" i="20"/>
  <c r="AC9" i="20" s="1"/>
  <c r="V9" i="20"/>
  <c r="AB9" i="20" s="1"/>
  <c r="X8" i="20"/>
  <c r="AD8" i="20" s="1"/>
  <c r="W8" i="20"/>
  <c r="AC8" i="20" s="1"/>
  <c r="V8" i="20"/>
  <c r="AB8" i="20" s="1"/>
  <c r="X7" i="20"/>
  <c r="AD7" i="20" s="1"/>
  <c r="W7" i="20"/>
  <c r="AC7" i="20" s="1"/>
  <c r="V7" i="20"/>
  <c r="AB7" i="20" s="1"/>
  <c r="X6" i="20"/>
  <c r="AD6" i="20" s="1"/>
  <c r="W6" i="20"/>
  <c r="AC6" i="20" s="1"/>
  <c r="V6" i="20"/>
  <c r="AB6" i="20" s="1"/>
  <c r="X5" i="20"/>
  <c r="AD5" i="20" s="1"/>
  <c r="W5" i="20"/>
  <c r="AC5" i="20" s="1"/>
  <c r="V5" i="20"/>
  <c r="AB5" i="20" s="1"/>
  <c r="X4" i="20"/>
  <c r="AD4" i="20" s="1"/>
  <c r="W4" i="20"/>
  <c r="AC4" i="20" s="1"/>
  <c r="V4" i="20"/>
  <c r="AB4" i="20" s="1"/>
  <c r="X3" i="20"/>
  <c r="AD3" i="20" s="1"/>
  <c r="W3" i="20"/>
  <c r="AC3" i="20" s="1"/>
  <c r="V3" i="20"/>
  <c r="AB3" i="20" s="1"/>
  <c r="X2" i="20"/>
  <c r="AD2" i="20" s="1"/>
  <c r="W2" i="20"/>
  <c r="AC2" i="20" s="1"/>
  <c r="V2" i="20"/>
  <c r="AB2" i="20" s="1"/>
  <c r="AD51" i="10"/>
  <c r="AB51" i="10"/>
  <c r="AA51" i="10"/>
  <c r="Z51" i="10"/>
  <c r="X51" i="10"/>
  <c r="W51" i="10"/>
  <c r="V51" i="10"/>
  <c r="U51" i="10"/>
  <c r="AD50" i="10"/>
  <c r="AB50" i="10"/>
  <c r="AA50" i="10"/>
  <c r="Z50" i="10"/>
  <c r="X50" i="10"/>
  <c r="W50" i="10"/>
  <c r="V50" i="10"/>
  <c r="U50" i="10"/>
  <c r="AD49" i="10"/>
  <c r="AB49" i="10"/>
  <c r="AA49" i="10"/>
  <c r="Z49" i="10"/>
  <c r="X49" i="10"/>
  <c r="W49" i="10"/>
  <c r="V49" i="10"/>
  <c r="U49" i="10"/>
  <c r="AD48" i="10"/>
  <c r="AB48" i="10"/>
  <c r="AA48" i="10"/>
  <c r="Z48" i="10"/>
  <c r="X48" i="10"/>
  <c r="W48" i="10"/>
  <c r="V48" i="10"/>
  <c r="U48" i="10"/>
  <c r="AD47" i="10"/>
  <c r="AB47" i="10"/>
  <c r="AA47" i="10"/>
  <c r="Z47" i="10"/>
  <c r="X47" i="10"/>
  <c r="AD46" i="10"/>
  <c r="AB46" i="10"/>
  <c r="AA46" i="10"/>
  <c r="Z46" i="10"/>
  <c r="X46" i="10"/>
  <c r="AD45" i="10"/>
  <c r="AB45" i="10"/>
  <c r="AA45" i="10"/>
  <c r="Z45" i="10"/>
  <c r="X45" i="10"/>
  <c r="AD44" i="10"/>
  <c r="AB44" i="10"/>
  <c r="AA44" i="10"/>
  <c r="Z44" i="10"/>
  <c r="X44" i="10"/>
  <c r="W44" i="10"/>
  <c r="V44" i="10"/>
  <c r="U44" i="10"/>
  <c r="AD43" i="10"/>
  <c r="AB43" i="10"/>
  <c r="AA43" i="10"/>
  <c r="Z43" i="10"/>
  <c r="X43" i="10"/>
  <c r="W43" i="10"/>
  <c r="V43" i="10"/>
  <c r="U43" i="10"/>
  <c r="AD42" i="10"/>
  <c r="AB42" i="10"/>
  <c r="AA42" i="10"/>
  <c r="Z42" i="10"/>
  <c r="X42" i="10"/>
  <c r="W42" i="10"/>
  <c r="V42" i="10"/>
  <c r="U42" i="10"/>
  <c r="AD41" i="10"/>
  <c r="AB41" i="10"/>
  <c r="AA41" i="10"/>
  <c r="Z41" i="10"/>
  <c r="X41" i="10"/>
  <c r="W41" i="10"/>
  <c r="V41" i="10"/>
  <c r="U41" i="10"/>
  <c r="AD40" i="10"/>
  <c r="AB40" i="10"/>
  <c r="AA40" i="10"/>
  <c r="Z40" i="10"/>
  <c r="X40" i="10"/>
  <c r="AD39" i="10"/>
  <c r="AB39" i="10"/>
  <c r="AA39" i="10"/>
  <c r="Z39" i="10"/>
  <c r="X39" i="10"/>
  <c r="AD38" i="10"/>
  <c r="AB38" i="10"/>
  <c r="AA38" i="10"/>
  <c r="Z38" i="10"/>
  <c r="X38" i="10"/>
  <c r="AD37" i="10"/>
  <c r="AB37" i="10"/>
  <c r="AA37" i="10"/>
  <c r="Z37" i="10"/>
  <c r="X37" i="10"/>
  <c r="W37" i="10"/>
  <c r="V37" i="10"/>
  <c r="U37" i="10"/>
  <c r="AD36" i="10"/>
  <c r="AB36" i="10"/>
  <c r="AA36" i="10"/>
  <c r="Z36" i="10"/>
  <c r="X36" i="10"/>
  <c r="AD35" i="10"/>
  <c r="AB35" i="10"/>
  <c r="AA35" i="10"/>
  <c r="Z35" i="10"/>
  <c r="X35" i="10"/>
  <c r="AD34" i="10"/>
  <c r="AB34" i="10"/>
  <c r="AA34" i="10"/>
  <c r="Z34" i="10"/>
  <c r="X34" i="10"/>
  <c r="AD33" i="10"/>
  <c r="AB33" i="10"/>
  <c r="AA33" i="10"/>
  <c r="Z33" i="10"/>
  <c r="X33" i="10"/>
  <c r="W33" i="10"/>
  <c r="V33" i="10"/>
  <c r="U33" i="10"/>
  <c r="AD32" i="10"/>
  <c r="AB32" i="10"/>
  <c r="AA32" i="10"/>
  <c r="Z32" i="10"/>
  <c r="X32" i="10"/>
  <c r="AD31" i="10"/>
  <c r="AB31" i="10"/>
  <c r="AA31" i="10"/>
  <c r="Z31" i="10"/>
  <c r="X31" i="10"/>
  <c r="AD30" i="10"/>
  <c r="AB30" i="10"/>
  <c r="AA30" i="10"/>
  <c r="Z30" i="10"/>
  <c r="X30" i="10"/>
  <c r="AD29" i="10"/>
  <c r="AB29" i="10"/>
  <c r="AA29" i="10"/>
  <c r="Z29" i="10"/>
  <c r="X29" i="10"/>
  <c r="W29" i="10"/>
  <c r="V29" i="10"/>
  <c r="U29" i="10"/>
  <c r="AD28" i="10"/>
  <c r="AB28" i="10"/>
  <c r="AA28" i="10"/>
  <c r="Z28" i="10"/>
  <c r="X28" i="10"/>
  <c r="W28" i="10"/>
  <c r="V28" i="10"/>
  <c r="U28" i="10"/>
  <c r="AD27" i="10"/>
  <c r="AB27" i="10"/>
  <c r="AA27" i="10"/>
  <c r="Z27" i="10"/>
  <c r="X27" i="10"/>
  <c r="W27" i="10"/>
  <c r="V27" i="10"/>
  <c r="U27" i="10"/>
  <c r="AD26" i="10"/>
  <c r="AB26" i="10"/>
  <c r="AA26" i="10"/>
  <c r="Z26" i="10"/>
  <c r="X26" i="10"/>
  <c r="W26" i="10"/>
  <c r="V26" i="10"/>
  <c r="U26" i="10"/>
  <c r="AD25" i="10"/>
  <c r="AC25" i="10"/>
  <c r="AB25" i="10"/>
  <c r="AA25" i="10"/>
  <c r="Z25" i="10"/>
  <c r="Y25" i="10"/>
  <c r="X25" i="10"/>
  <c r="W25" i="10"/>
  <c r="V25" i="10"/>
  <c r="U25" i="10"/>
  <c r="AD24" i="10"/>
  <c r="AB24" i="10"/>
  <c r="AA24" i="10"/>
  <c r="Z24" i="10"/>
  <c r="X24" i="10"/>
  <c r="W24" i="10"/>
  <c r="V24" i="10"/>
  <c r="U24" i="10"/>
  <c r="AD23" i="10"/>
  <c r="AB23" i="10"/>
  <c r="AA23" i="10"/>
  <c r="Z23" i="10"/>
  <c r="X23" i="10"/>
  <c r="W23" i="10"/>
  <c r="V23" i="10"/>
  <c r="U23" i="10"/>
  <c r="AD22" i="10"/>
  <c r="AB22" i="10"/>
  <c r="AA22" i="10"/>
  <c r="Z22" i="10"/>
  <c r="X22" i="10"/>
  <c r="W22" i="10"/>
  <c r="V22" i="10"/>
  <c r="U22" i="10"/>
  <c r="AD21" i="10"/>
  <c r="AB21" i="10"/>
  <c r="AA21" i="10"/>
  <c r="Z21" i="10"/>
  <c r="X21" i="10"/>
  <c r="W21" i="10"/>
  <c r="V21" i="10"/>
  <c r="U21" i="10"/>
  <c r="AD20" i="10"/>
  <c r="AC20" i="10"/>
  <c r="AB20" i="10"/>
  <c r="AA20" i="10"/>
  <c r="Z20" i="10"/>
  <c r="Y20" i="10"/>
  <c r="X20" i="10"/>
  <c r="W20" i="10"/>
  <c r="V20" i="10"/>
  <c r="U20" i="10"/>
  <c r="AD19" i="10"/>
  <c r="AC19" i="10"/>
  <c r="AB19" i="10"/>
  <c r="AA19" i="10"/>
  <c r="Z19" i="10"/>
  <c r="Y19" i="10"/>
  <c r="X19" i="10"/>
  <c r="W19" i="10"/>
  <c r="V19" i="10"/>
  <c r="U19" i="10"/>
  <c r="AD18" i="10"/>
  <c r="AC18" i="10"/>
  <c r="AB18" i="10"/>
  <c r="AA18" i="10"/>
  <c r="Z18" i="10"/>
  <c r="Y18" i="10"/>
  <c r="X18" i="10"/>
  <c r="W18" i="10"/>
  <c r="V18" i="10"/>
  <c r="U18" i="10"/>
  <c r="AD17" i="10"/>
  <c r="AC17" i="10"/>
  <c r="AB17" i="10"/>
  <c r="AA17" i="10"/>
  <c r="Z17" i="10"/>
  <c r="Y17" i="10"/>
  <c r="X17" i="10"/>
  <c r="W17" i="10"/>
  <c r="V17" i="10"/>
  <c r="U17" i="10"/>
  <c r="AD16" i="10"/>
  <c r="AC16" i="10"/>
  <c r="AB16" i="10"/>
  <c r="AA16" i="10"/>
  <c r="Z16" i="10"/>
  <c r="Y16" i="10"/>
  <c r="X16" i="10"/>
  <c r="W16" i="10"/>
  <c r="V16" i="10"/>
  <c r="U16" i="10"/>
  <c r="AD15" i="10"/>
  <c r="AC15" i="10"/>
  <c r="AB15" i="10"/>
  <c r="AA15" i="10"/>
  <c r="Z15" i="10"/>
  <c r="Y15" i="10"/>
  <c r="X15" i="10"/>
  <c r="W15" i="10"/>
  <c r="V15" i="10"/>
  <c r="U15" i="10"/>
  <c r="AD14" i="10"/>
  <c r="AC14" i="10"/>
  <c r="AB14" i="10"/>
  <c r="AA14" i="10"/>
  <c r="Z14" i="10"/>
  <c r="Y14" i="10"/>
  <c r="X14" i="10"/>
  <c r="W14" i="10"/>
  <c r="V14" i="10"/>
  <c r="U14" i="10"/>
  <c r="AD13" i="10"/>
  <c r="AC13" i="10"/>
  <c r="AB13" i="10"/>
  <c r="AA13" i="10"/>
  <c r="Z13" i="10"/>
  <c r="Y13" i="10"/>
  <c r="X13" i="10"/>
  <c r="W13" i="10"/>
  <c r="V13" i="10"/>
  <c r="U13" i="10"/>
  <c r="AD12" i="10"/>
  <c r="AC12" i="10"/>
  <c r="AB12" i="10"/>
  <c r="AA12" i="10"/>
  <c r="Z12" i="10"/>
  <c r="Y12" i="10"/>
  <c r="X12" i="10"/>
  <c r="W12" i="10"/>
  <c r="V12" i="10"/>
  <c r="U12" i="10"/>
  <c r="AD11" i="10"/>
  <c r="AC11" i="10"/>
  <c r="AB11" i="10"/>
  <c r="AA11" i="10"/>
  <c r="Z11" i="10"/>
  <c r="Y11" i="10"/>
  <c r="X11" i="10"/>
  <c r="W11" i="10"/>
  <c r="V11" i="10"/>
  <c r="U11" i="10"/>
  <c r="AD10" i="10"/>
  <c r="AC10" i="10"/>
  <c r="AB10" i="10"/>
  <c r="AA10" i="10"/>
  <c r="Z10" i="10"/>
  <c r="Y10" i="10"/>
  <c r="X10" i="10"/>
  <c r="W10" i="10"/>
  <c r="V10" i="10"/>
  <c r="U10" i="10"/>
  <c r="AD9" i="10"/>
  <c r="AC9" i="10"/>
  <c r="AB9" i="10"/>
  <c r="AA9" i="10"/>
  <c r="Z9" i="10"/>
  <c r="Y9" i="10"/>
  <c r="X9" i="10"/>
  <c r="W9" i="10"/>
  <c r="V9" i="10"/>
  <c r="U9" i="10"/>
  <c r="AD8" i="10"/>
  <c r="AC8" i="10"/>
  <c r="AB8" i="10"/>
  <c r="AA8" i="10"/>
  <c r="Z8" i="10"/>
  <c r="Y8" i="10"/>
  <c r="X8" i="10"/>
  <c r="W8" i="10"/>
  <c r="V8" i="10"/>
  <c r="U8" i="10"/>
  <c r="AD7" i="10"/>
  <c r="AC7" i="10"/>
  <c r="AB7" i="10"/>
  <c r="AA7" i="10"/>
  <c r="Z7" i="10"/>
  <c r="Y7" i="10"/>
  <c r="X7" i="10"/>
  <c r="W7" i="10"/>
  <c r="V7" i="10"/>
  <c r="U7" i="10"/>
  <c r="AD6" i="10"/>
  <c r="AC6" i="10"/>
  <c r="AB6" i="10"/>
  <c r="AA6" i="10"/>
  <c r="Z6" i="10"/>
  <c r="Y6" i="10"/>
  <c r="X6" i="10"/>
  <c r="W6" i="10"/>
  <c r="V6" i="10"/>
  <c r="U6" i="10"/>
  <c r="AD5" i="10"/>
  <c r="AC5" i="10"/>
  <c r="AB5" i="10"/>
  <c r="AA5" i="10"/>
  <c r="Z5" i="10"/>
  <c r="Y5" i="10"/>
  <c r="X5" i="10"/>
  <c r="W5" i="10"/>
  <c r="V5" i="10"/>
  <c r="U5" i="10"/>
  <c r="AP51" i="18"/>
  <c r="AC51" i="18"/>
  <c r="AC51" i="10" s="1"/>
  <c r="Y51" i="18"/>
  <c r="Y51" i="10" s="1"/>
  <c r="AP50" i="18"/>
  <c r="AC50" i="18"/>
  <c r="AC50" i="10" s="1"/>
  <c r="Y50" i="18"/>
  <c r="Y50" i="10" s="1"/>
  <c r="AP49" i="18"/>
  <c r="AC49" i="18"/>
  <c r="AC49" i="10" s="1"/>
  <c r="Y49" i="18"/>
  <c r="Y49" i="10" s="1"/>
  <c r="AP48" i="18"/>
  <c r="AC48" i="18"/>
  <c r="AC48" i="10" s="1"/>
  <c r="Y48" i="18"/>
  <c r="Y48" i="10" s="1"/>
  <c r="AP47" i="18"/>
  <c r="AC47" i="18"/>
  <c r="AC47" i="10" s="1"/>
  <c r="Y47" i="18"/>
  <c r="Y47" i="10" s="1"/>
  <c r="W47" i="18"/>
  <c r="W47" i="10" s="1"/>
  <c r="V47" i="18"/>
  <c r="V47" i="10" s="1"/>
  <c r="U47" i="18"/>
  <c r="U47" i="10" s="1"/>
  <c r="AP46" i="18"/>
  <c r="AC46" i="18"/>
  <c r="AC46" i="10" s="1"/>
  <c r="Y46" i="18"/>
  <c r="Y46" i="10" s="1"/>
  <c r="W46" i="18"/>
  <c r="W46" i="10" s="1"/>
  <c r="V46" i="18"/>
  <c r="V46" i="10" s="1"/>
  <c r="U46" i="18"/>
  <c r="U46" i="10" s="1"/>
  <c r="AP45" i="18"/>
  <c r="AC45" i="18"/>
  <c r="AC45" i="10" s="1"/>
  <c r="Y45" i="18"/>
  <c r="Y45" i="10" s="1"/>
  <c r="W45" i="18"/>
  <c r="W45" i="10" s="1"/>
  <c r="V45" i="18"/>
  <c r="V45" i="10" s="1"/>
  <c r="U45" i="18"/>
  <c r="U45" i="10" s="1"/>
  <c r="AP44" i="18"/>
  <c r="AC44" i="18"/>
  <c r="AC44" i="10" s="1"/>
  <c r="Y44" i="18"/>
  <c r="Y44" i="10" s="1"/>
  <c r="AP43" i="18"/>
  <c r="AC43" i="18"/>
  <c r="AC43" i="10" s="1"/>
  <c r="Y43" i="18"/>
  <c r="Y43" i="10" s="1"/>
  <c r="AP42" i="18"/>
  <c r="AC42" i="18"/>
  <c r="AC42" i="10" s="1"/>
  <c r="Y42" i="18"/>
  <c r="Y42" i="10" s="1"/>
  <c r="AP41" i="18"/>
  <c r="AC41" i="18"/>
  <c r="AC41" i="10" s="1"/>
  <c r="Y41" i="18"/>
  <c r="Y41" i="10" s="1"/>
  <c r="AP40" i="18"/>
  <c r="AC40" i="18"/>
  <c r="AC40" i="10" s="1"/>
  <c r="Y40" i="18"/>
  <c r="Y40" i="10" s="1"/>
  <c r="W40" i="18"/>
  <c r="W40" i="10" s="1"/>
  <c r="V40" i="18"/>
  <c r="V40" i="10" s="1"/>
  <c r="U40" i="18"/>
  <c r="U40" i="10" s="1"/>
  <c r="AP39" i="18"/>
  <c r="AC39" i="18"/>
  <c r="AC39" i="10" s="1"/>
  <c r="Y39" i="18"/>
  <c r="Y39" i="10" s="1"/>
  <c r="W39" i="18"/>
  <c r="W39" i="10" s="1"/>
  <c r="V39" i="18"/>
  <c r="V39" i="10" s="1"/>
  <c r="U39" i="18"/>
  <c r="U39" i="10" s="1"/>
  <c r="AP38" i="18"/>
  <c r="AC38" i="18"/>
  <c r="AC38" i="10" s="1"/>
  <c r="Y38" i="18"/>
  <c r="Y38" i="10" s="1"/>
  <c r="W38" i="18"/>
  <c r="W38" i="10" s="1"/>
  <c r="V38" i="18"/>
  <c r="V38" i="10" s="1"/>
  <c r="U38" i="18"/>
  <c r="U38" i="10" s="1"/>
  <c r="AP37" i="18"/>
  <c r="AC37" i="18"/>
  <c r="AC37" i="10" s="1"/>
  <c r="Y37" i="18"/>
  <c r="Y37" i="10" s="1"/>
  <c r="AP36" i="18"/>
  <c r="AC36" i="18"/>
  <c r="AC36" i="10" s="1"/>
  <c r="Y36" i="18"/>
  <c r="Y36" i="10" s="1"/>
  <c r="W36" i="18"/>
  <c r="W36" i="10" s="1"/>
  <c r="V36" i="18"/>
  <c r="V36" i="10" s="1"/>
  <c r="U36" i="18"/>
  <c r="U36" i="10" s="1"/>
  <c r="AP35" i="18"/>
  <c r="AC35" i="18"/>
  <c r="AC35" i="10" s="1"/>
  <c r="Y35" i="18"/>
  <c r="Y35" i="10" s="1"/>
  <c r="W35" i="18"/>
  <c r="W35" i="10" s="1"/>
  <c r="V35" i="18"/>
  <c r="V35" i="10" s="1"/>
  <c r="U35" i="18"/>
  <c r="U35" i="10" s="1"/>
  <c r="AP34" i="18"/>
  <c r="AC34" i="18"/>
  <c r="AC34" i="10" s="1"/>
  <c r="Y34" i="18"/>
  <c r="Y34" i="10" s="1"/>
  <c r="W34" i="18"/>
  <c r="W34" i="10" s="1"/>
  <c r="V34" i="18"/>
  <c r="V34" i="10" s="1"/>
  <c r="U34" i="18"/>
  <c r="U34" i="10" s="1"/>
  <c r="AP33" i="18"/>
  <c r="AC33" i="18"/>
  <c r="AC33" i="10" s="1"/>
  <c r="Y33" i="18"/>
  <c r="Y33" i="10" s="1"/>
  <c r="AP32" i="18"/>
  <c r="AC32" i="18"/>
  <c r="AC32" i="10" s="1"/>
  <c r="Y32" i="18"/>
  <c r="Y32" i="10" s="1"/>
  <c r="W32" i="18"/>
  <c r="W32" i="10" s="1"/>
  <c r="V32" i="18"/>
  <c r="V32" i="10" s="1"/>
  <c r="U32" i="18"/>
  <c r="U32" i="10" s="1"/>
  <c r="AP31" i="18"/>
  <c r="AC31" i="18"/>
  <c r="AC31" i="10" s="1"/>
  <c r="Y31" i="18"/>
  <c r="Y31" i="10" s="1"/>
  <c r="W31" i="18"/>
  <c r="W31" i="10" s="1"/>
  <c r="V31" i="18"/>
  <c r="V31" i="10" s="1"/>
  <c r="U31" i="18"/>
  <c r="U31" i="10" s="1"/>
  <c r="AP30" i="18"/>
  <c r="AC30" i="18"/>
  <c r="AC30" i="10" s="1"/>
  <c r="Y30" i="18"/>
  <c r="Y30" i="10" s="1"/>
  <c r="W30" i="18"/>
  <c r="W30" i="10" s="1"/>
  <c r="V30" i="18"/>
  <c r="V30" i="10" s="1"/>
  <c r="U30" i="18"/>
  <c r="U30" i="10" s="1"/>
  <c r="AP29" i="18"/>
  <c r="AC29" i="18"/>
  <c r="AC29" i="10" s="1"/>
  <c r="Y29" i="18"/>
  <c r="Y29" i="10" s="1"/>
  <c r="AP28" i="18"/>
  <c r="AC28" i="18"/>
  <c r="AC28" i="10" s="1"/>
  <c r="Y28" i="18"/>
  <c r="Y28" i="10" s="1"/>
  <c r="AP27" i="18"/>
  <c r="AC27" i="18"/>
  <c r="AC27" i="10" s="1"/>
  <c r="Y27" i="18"/>
  <c r="Y27" i="10" s="1"/>
  <c r="AP26" i="18"/>
  <c r="AC26" i="18"/>
  <c r="AC26" i="10" s="1"/>
  <c r="Y26" i="18"/>
  <c r="Y26" i="10" s="1"/>
  <c r="AP24" i="18"/>
  <c r="AC24" i="18"/>
  <c r="AC24" i="10" s="1"/>
  <c r="Y24" i="18"/>
  <c r="Y24" i="10" s="1"/>
  <c r="AP23" i="18"/>
  <c r="AC23" i="18"/>
  <c r="AC23" i="10" s="1"/>
  <c r="Y23" i="18"/>
  <c r="Y23" i="10" s="1"/>
  <c r="AP22" i="18"/>
  <c r="AC22" i="18"/>
  <c r="AC22" i="10" s="1"/>
  <c r="Y22" i="18"/>
  <c r="Y22" i="10" s="1"/>
  <c r="AP21" i="18"/>
  <c r="AC21" i="18"/>
  <c r="AC21" i="10" s="1"/>
  <c r="Y21" i="18"/>
  <c r="Y21" i="10" s="1"/>
  <c r="X46" i="17"/>
  <c r="V46" i="17"/>
  <c r="T46" i="17"/>
  <c r="P46" i="17"/>
  <c r="O46" i="17"/>
  <c r="N46" i="17"/>
  <c r="M46" i="17"/>
  <c r="V45" i="17"/>
  <c r="U45" i="17"/>
  <c r="T45" i="17"/>
  <c r="P45" i="17"/>
  <c r="O45" i="17"/>
  <c r="N45" i="17"/>
  <c r="M45" i="17"/>
  <c r="X44" i="17"/>
  <c r="V44" i="17"/>
  <c r="U44" i="17"/>
  <c r="T44" i="17"/>
  <c r="P44" i="17"/>
  <c r="O44" i="17"/>
  <c r="N44" i="17"/>
  <c r="M44" i="17"/>
  <c r="X46" i="16"/>
  <c r="V46" i="16"/>
  <c r="T46" i="16"/>
  <c r="P46" i="16"/>
  <c r="O46" i="16"/>
  <c r="N46" i="16"/>
  <c r="M46" i="16"/>
  <c r="V45" i="16"/>
  <c r="U45" i="16"/>
  <c r="T45" i="16"/>
  <c r="P45" i="16"/>
  <c r="O45" i="16"/>
  <c r="N45" i="16"/>
  <c r="M45" i="16"/>
  <c r="X44" i="16"/>
  <c r="V44" i="16"/>
  <c r="V48" i="16" s="1"/>
  <c r="U44" i="16"/>
  <c r="U48" i="16" s="1"/>
  <c r="T44" i="16"/>
  <c r="T48" i="16" s="1"/>
  <c r="P44" i="16"/>
  <c r="P48" i="16" s="1"/>
  <c r="O44" i="16"/>
  <c r="O48" i="16" s="1"/>
  <c r="N44" i="16"/>
  <c r="N48" i="16" s="1"/>
  <c r="M44" i="16"/>
  <c r="M48" i="16" s="1"/>
  <c r="Y41" i="15"/>
  <c r="Y40" i="15"/>
  <c r="Y39" i="15"/>
  <c r="Y38" i="15"/>
  <c r="Y37" i="15"/>
  <c r="Y36" i="15"/>
  <c r="Y35" i="15"/>
  <c r="Y34" i="15"/>
  <c r="Y33" i="15"/>
  <c r="Y32" i="15"/>
  <c r="Y31" i="15"/>
  <c r="Y30" i="15"/>
  <c r="Y29" i="15"/>
  <c r="Y28" i="15"/>
  <c r="Y27" i="15"/>
  <c r="Y26" i="15"/>
  <c r="Y25" i="15"/>
  <c r="Y24" i="15"/>
  <c r="Y23" i="15"/>
  <c r="Y22" i="15"/>
  <c r="Y21" i="15"/>
  <c r="Y20" i="15"/>
  <c r="Y19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X46" i="15"/>
  <c r="V46" i="15"/>
  <c r="T46" i="15"/>
  <c r="P46" i="15"/>
  <c r="O46" i="15"/>
  <c r="N46" i="15"/>
  <c r="M46" i="15"/>
  <c r="V45" i="15"/>
  <c r="U45" i="15"/>
  <c r="T45" i="15"/>
  <c r="P45" i="15"/>
  <c r="O45" i="15"/>
  <c r="N45" i="15"/>
  <c r="M45" i="15"/>
  <c r="X44" i="15"/>
  <c r="V44" i="15"/>
  <c r="V48" i="15" s="1"/>
  <c r="U44" i="15"/>
  <c r="U48" i="15" s="1"/>
  <c r="T44" i="15"/>
  <c r="T48" i="15" s="1"/>
  <c r="P44" i="15"/>
  <c r="P48" i="15" s="1"/>
  <c r="O44" i="15"/>
  <c r="O48" i="15" s="1"/>
  <c r="N44" i="15"/>
  <c r="N48" i="15" s="1"/>
  <c r="M44" i="15"/>
  <c r="M48" i="15" s="1"/>
  <c r="X46" i="14"/>
  <c r="X44" i="14"/>
  <c r="V46" i="14"/>
  <c r="V45" i="14"/>
  <c r="V44" i="14"/>
  <c r="U45" i="14"/>
  <c r="U44" i="14"/>
  <c r="T46" i="14"/>
  <c r="T45" i="14"/>
  <c r="T44" i="14"/>
  <c r="R47" i="14"/>
  <c r="P46" i="14"/>
  <c r="P45" i="14"/>
  <c r="P44" i="14"/>
  <c r="O46" i="14"/>
  <c r="O45" i="14"/>
  <c r="O44" i="14"/>
  <c r="N46" i="14"/>
  <c r="N45" i="14"/>
  <c r="N44" i="14"/>
  <c r="M46" i="14"/>
  <c r="M45" i="14"/>
  <c r="M44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6" i="14"/>
  <c r="Z25" i="14"/>
  <c r="Z24" i="14"/>
  <c r="Z23" i="14"/>
  <c r="Z22" i="14"/>
  <c r="Z21" i="14"/>
  <c r="Z20" i="14"/>
  <c r="Z19" i="14"/>
  <c r="Z18" i="14"/>
  <c r="Z17" i="14"/>
  <c r="Z16" i="14"/>
  <c r="Z14" i="14"/>
  <c r="Z13" i="14"/>
  <c r="Z12" i="14"/>
  <c r="Z11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4" i="14"/>
  <c r="V13" i="14"/>
  <c r="V12" i="14"/>
  <c r="V11" i="14"/>
  <c r="U41" i="14"/>
  <c r="U40" i="14"/>
  <c r="U39" i="14"/>
  <c r="U38" i="14"/>
  <c r="U37" i="14"/>
  <c r="U36" i="14"/>
  <c r="U35" i="14"/>
  <c r="U34" i="14"/>
  <c r="U33" i="14"/>
  <c r="U32" i="14"/>
  <c r="U31" i="14"/>
  <c r="U30" i="14"/>
  <c r="U29" i="14"/>
  <c r="U28" i="14"/>
  <c r="U27" i="14"/>
  <c r="U26" i="14"/>
  <c r="U25" i="14"/>
  <c r="U24" i="14"/>
  <c r="U23" i="14"/>
  <c r="U22" i="14"/>
  <c r="U21" i="14"/>
  <c r="U20" i="14"/>
  <c r="U19" i="14"/>
  <c r="U18" i="14"/>
  <c r="U17" i="14"/>
  <c r="U16" i="14"/>
  <c r="U14" i="14"/>
  <c r="U13" i="14"/>
  <c r="U12" i="14"/>
  <c r="U11" i="14"/>
  <c r="T41" i="14"/>
  <c r="T40" i="14"/>
  <c r="T39" i="14"/>
  <c r="T38" i="14"/>
  <c r="T37" i="14"/>
  <c r="T36" i="14"/>
  <c r="T35" i="14"/>
  <c r="T34" i="14"/>
  <c r="T33" i="14"/>
  <c r="T32" i="14"/>
  <c r="T31" i="14"/>
  <c r="T30" i="14"/>
  <c r="T29" i="14"/>
  <c r="T28" i="14"/>
  <c r="T27" i="14"/>
  <c r="T26" i="14"/>
  <c r="T25" i="14"/>
  <c r="T24" i="14"/>
  <c r="T23" i="14"/>
  <c r="T22" i="14"/>
  <c r="T21" i="14"/>
  <c r="T20" i="14"/>
  <c r="T19" i="14"/>
  <c r="T18" i="14"/>
  <c r="T17" i="14"/>
  <c r="T16" i="14"/>
  <c r="T14" i="14"/>
  <c r="T13" i="14"/>
  <c r="T12" i="14"/>
  <c r="T11" i="14"/>
  <c r="R41" i="14"/>
  <c r="R40" i="14"/>
  <c r="R39" i="14"/>
  <c r="R38" i="14"/>
  <c r="R37" i="14"/>
  <c r="R36" i="14"/>
  <c r="R35" i="14"/>
  <c r="R34" i="14"/>
  <c r="R33" i="14"/>
  <c r="R32" i="14"/>
  <c r="R31" i="14"/>
  <c r="R30" i="14"/>
  <c r="R29" i="14"/>
  <c r="R28" i="14"/>
  <c r="R27" i="14"/>
  <c r="R26" i="14"/>
  <c r="R25" i="14"/>
  <c r="R24" i="14"/>
  <c r="R23" i="14"/>
  <c r="R22" i="14"/>
  <c r="R21" i="14"/>
  <c r="R20" i="14"/>
  <c r="R19" i="14"/>
  <c r="R18" i="14"/>
  <c r="R17" i="14"/>
  <c r="R16" i="14"/>
  <c r="R14" i="14"/>
  <c r="R13" i="14"/>
  <c r="R12" i="14"/>
  <c r="R11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4" i="14"/>
  <c r="P13" i="14"/>
  <c r="P12" i="14"/>
  <c r="P11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4" i="14"/>
  <c r="O13" i="14"/>
  <c r="O12" i="14"/>
  <c r="O11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4" i="14"/>
  <c r="N13" i="14"/>
  <c r="N12" i="14"/>
  <c r="N11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4" i="14"/>
  <c r="M13" i="14"/>
  <c r="M12" i="14"/>
  <c r="M11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4" i="14"/>
  <c r="L13" i="14"/>
  <c r="L12" i="14"/>
  <c r="L11" i="14"/>
  <c r="AK56" i="13"/>
  <c r="AF56" i="13"/>
  <c r="AP54" i="13" s="1"/>
  <c r="AE56" i="13"/>
  <c r="AO54" i="13" s="1"/>
  <c r="AC56" i="13"/>
  <c r="Y56" i="13"/>
  <c r="X56" i="13"/>
  <c r="W56" i="13"/>
  <c r="S56" i="13"/>
  <c r="R56" i="13"/>
  <c r="Q56" i="13"/>
  <c r="P56" i="13"/>
  <c r="O56" i="13"/>
  <c r="M56" i="13"/>
  <c r="L56" i="13"/>
  <c r="AK55" i="13"/>
  <c r="AF55" i="13"/>
  <c r="AC55" i="13"/>
  <c r="AA55" i="13"/>
  <c r="Z55" i="13"/>
  <c r="Y55" i="13"/>
  <c r="X55" i="13"/>
  <c r="W55" i="13"/>
  <c r="V55" i="13"/>
  <c r="U55" i="13"/>
  <c r="S55" i="13"/>
  <c r="R55" i="13"/>
  <c r="Q55" i="13"/>
  <c r="P55" i="13"/>
  <c r="O55" i="13"/>
  <c r="M55" i="13"/>
  <c r="L55" i="13"/>
  <c r="AL57" i="12"/>
  <c r="AG57" i="12"/>
  <c r="AD57" i="12"/>
  <c r="AB57" i="12"/>
  <c r="T57" i="12"/>
  <c r="AK56" i="12"/>
  <c r="AF56" i="12"/>
  <c r="AE56" i="12"/>
  <c r="AC56" i="12"/>
  <c r="Y56" i="12"/>
  <c r="X56" i="12"/>
  <c r="W56" i="12"/>
  <c r="S56" i="12"/>
  <c r="R56" i="12"/>
  <c r="Q56" i="12"/>
  <c r="P56" i="12"/>
  <c r="O56" i="12"/>
  <c r="M56" i="12"/>
  <c r="L56" i="12"/>
  <c r="AK55" i="12"/>
  <c r="AF55" i="12"/>
  <c r="AP54" i="12" s="1"/>
  <c r="AC55" i="12"/>
  <c r="AA55" i="12"/>
  <c r="Z55" i="12"/>
  <c r="Y55" i="12"/>
  <c r="X55" i="12"/>
  <c r="W55" i="12"/>
  <c r="V55" i="12"/>
  <c r="U55" i="12"/>
  <c r="S55" i="12"/>
  <c r="R55" i="12"/>
  <c r="Q55" i="12"/>
  <c r="P55" i="12"/>
  <c r="O55" i="12"/>
  <c r="M55" i="12"/>
  <c r="L55" i="12"/>
  <c r="AL57" i="11"/>
  <c r="AG57" i="11"/>
  <c r="AD57" i="11"/>
  <c r="AB57" i="11"/>
  <c r="T57" i="11"/>
  <c r="AM57" i="11" s="1"/>
  <c r="AG51" i="11"/>
  <c r="AA51" i="11"/>
  <c r="Z51" i="11"/>
  <c r="AG50" i="11"/>
  <c r="AA50" i="11"/>
  <c r="Z50" i="11"/>
  <c r="AG49" i="11"/>
  <c r="AA49" i="11"/>
  <c r="Z49" i="11"/>
  <c r="AG48" i="11"/>
  <c r="AA48" i="11"/>
  <c r="Z48" i="11"/>
  <c r="AG47" i="11"/>
  <c r="AA47" i="11"/>
  <c r="Z47" i="11"/>
  <c r="AG46" i="11"/>
  <c r="AA46" i="11"/>
  <c r="Z46" i="11"/>
  <c r="AG45" i="11"/>
  <c r="AA45" i="11"/>
  <c r="Z45" i="11"/>
  <c r="AG44" i="11"/>
  <c r="AA44" i="11"/>
  <c r="Z44" i="11"/>
  <c r="AG43" i="11"/>
  <c r="AA43" i="11"/>
  <c r="Z43" i="11"/>
  <c r="AG42" i="11"/>
  <c r="AA42" i="11"/>
  <c r="Z42" i="11"/>
  <c r="AG41" i="11"/>
  <c r="AA41" i="11"/>
  <c r="Z41" i="11"/>
  <c r="AG40" i="11"/>
  <c r="AA40" i="11"/>
  <c r="Z40" i="11"/>
  <c r="AG39" i="11"/>
  <c r="AA39" i="11"/>
  <c r="Z39" i="11"/>
  <c r="AG38" i="11"/>
  <c r="AA38" i="11"/>
  <c r="Z38" i="11"/>
  <c r="AG37" i="11"/>
  <c r="AA37" i="11"/>
  <c r="Z37" i="11"/>
  <c r="AG36" i="11"/>
  <c r="AA36" i="11"/>
  <c r="Z36" i="11"/>
  <c r="AG35" i="11"/>
  <c r="AA35" i="11"/>
  <c r="Z35" i="11"/>
  <c r="AG34" i="11"/>
  <c r="AA34" i="11"/>
  <c r="Z34" i="11"/>
  <c r="AG33" i="11"/>
  <c r="AA33" i="11"/>
  <c r="Z33" i="11"/>
  <c r="AG32" i="11"/>
  <c r="AA32" i="11"/>
  <c r="Z32" i="11"/>
  <c r="AG31" i="11"/>
  <c r="AA31" i="11"/>
  <c r="Z31" i="11"/>
  <c r="AG30" i="11"/>
  <c r="AA30" i="11"/>
  <c r="Z30" i="11"/>
  <c r="AG29" i="11"/>
  <c r="AA29" i="11"/>
  <c r="Z29" i="11"/>
  <c r="AG28" i="11"/>
  <c r="AA28" i="11"/>
  <c r="Z28" i="11"/>
  <c r="AG27" i="11"/>
  <c r="AA27" i="11"/>
  <c r="Z27" i="11"/>
  <c r="AG26" i="11"/>
  <c r="AA26" i="11"/>
  <c r="Z26" i="11"/>
  <c r="AG25" i="11"/>
  <c r="AA25" i="11"/>
  <c r="Z25" i="11"/>
  <c r="AG24" i="11"/>
  <c r="AA24" i="11"/>
  <c r="Z24" i="11"/>
  <c r="AG23" i="11"/>
  <c r="AA23" i="11"/>
  <c r="Z23" i="11"/>
  <c r="AG22" i="11"/>
  <c r="AA22" i="11"/>
  <c r="Z22" i="11"/>
  <c r="AG21" i="11"/>
  <c r="AA21" i="11"/>
  <c r="Z21" i="11"/>
  <c r="AG20" i="11"/>
  <c r="AA20" i="11"/>
  <c r="Z20" i="11"/>
  <c r="AG19" i="11"/>
  <c r="AA19" i="11"/>
  <c r="Z19" i="11"/>
  <c r="AG18" i="11"/>
  <c r="AA18" i="11"/>
  <c r="Z18" i="11"/>
  <c r="AG17" i="11"/>
  <c r="AA17" i="11"/>
  <c r="Z17" i="11"/>
  <c r="AG16" i="11"/>
  <c r="AA16" i="11"/>
  <c r="Z16" i="11"/>
  <c r="AG15" i="11"/>
  <c r="AA15" i="11"/>
  <c r="Z15" i="11"/>
  <c r="AG14" i="11"/>
  <c r="AA14" i="11"/>
  <c r="Z14" i="11"/>
  <c r="AG13" i="11"/>
  <c r="AA13" i="11"/>
  <c r="Z13" i="11"/>
  <c r="AG12" i="11"/>
  <c r="AA12" i="11"/>
  <c r="Z12" i="11"/>
  <c r="AG11" i="11"/>
  <c r="AA11" i="11"/>
  <c r="Z11" i="11"/>
  <c r="AG10" i="11"/>
  <c r="AA10" i="11"/>
  <c r="Z10" i="11"/>
  <c r="AG9" i="11"/>
  <c r="AA9" i="11"/>
  <c r="Z9" i="11"/>
  <c r="AG8" i="11"/>
  <c r="AA8" i="11"/>
  <c r="Z8" i="11"/>
  <c r="AG7" i="11"/>
  <c r="AA7" i="11"/>
  <c r="Z7" i="11"/>
  <c r="AG6" i="11"/>
  <c r="AA6" i="11"/>
  <c r="Z6" i="11"/>
  <c r="AG5" i="11"/>
  <c r="AA5" i="11"/>
  <c r="Z5" i="11"/>
  <c r="AK56" i="11"/>
  <c r="AF56" i="11"/>
  <c r="AE56" i="11"/>
  <c r="AC56" i="11"/>
  <c r="Y56" i="11"/>
  <c r="X56" i="11"/>
  <c r="W56" i="11"/>
  <c r="S56" i="11"/>
  <c r="R56" i="11"/>
  <c r="Q56" i="11"/>
  <c r="P56" i="11"/>
  <c r="O56" i="11"/>
  <c r="M56" i="11"/>
  <c r="L56" i="11"/>
  <c r="AK55" i="11"/>
  <c r="AF55" i="11"/>
  <c r="AC55" i="11"/>
  <c r="AA55" i="11"/>
  <c r="Z55" i="11"/>
  <c r="Y55" i="11"/>
  <c r="X55" i="11"/>
  <c r="W55" i="11"/>
  <c r="V55" i="11"/>
  <c r="U55" i="11"/>
  <c r="S55" i="11"/>
  <c r="R55" i="11"/>
  <c r="Q55" i="11"/>
  <c r="P55" i="11"/>
  <c r="O55" i="11"/>
  <c r="M55" i="11"/>
  <c r="L55" i="11"/>
  <c r="AP51" i="11"/>
  <c r="AP50" i="11"/>
  <c r="AP49" i="11"/>
  <c r="AP48" i="11"/>
  <c r="AP47" i="11"/>
  <c r="AP46" i="11"/>
  <c r="AP45" i="11"/>
  <c r="AP44" i="11"/>
  <c r="AP43" i="11"/>
  <c r="AP42" i="11"/>
  <c r="AP41" i="11"/>
  <c r="AP40" i="11"/>
  <c r="AP39" i="11"/>
  <c r="AP38" i="11"/>
  <c r="AP37" i="11"/>
  <c r="AP36" i="11"/>
  <c r="AP35" i="11"/>
  <c r="AP34" i="11"/>
  <c r="AP33" i="11"/>
  <c r="AP32" i="11"/>
  <c r="AP31" i="11"/>
  <c r="AP30" i="11"/>
  <c r="AP29" i="11"/>
  <c r="AP28" i="11"/>
  <c r="AP27" i="11"/>
  <c r="AP26" i="11"/>
  <c r="AP24" i="11"/>
  <c r="AP23" i="11"/>
  <c r="AP22" i="11"/>
  <c r="AP21" i="11"/>
  <c r="AA56" i="10"/>
  <c r="Z56" i="10"/>
  <c r="AK58" i="10"/>
  <c r="AK57" i="10"/>
  <c r="AK56" i="10"/>
  <c r="AF58" i="10"/>
  <c r="AF57" i="10"/>
  <c r="AF56" i="10"/>
  <c r="AE58" i="10"/>
  <c r="AE56" i="10"/>
  <c r="AC58" i="10"/>
  <c r="AC57" i="10"/>
  <c r="AC56" i="10"/>
  <c r="AA57" i="10"/>
  <c r="Z57" i="10"/>
  <c r="Y58" i="10"/>
  <c r="Y57" i="10"/>
  <c r="X58" i="10"/>
  <c r="X57" i="10"/>
  <c r="X56" i="10"/>
  <c r="W58" i="10"/>
  <c r="W57" i="10"/>
  <c r="V57" i="10"/>
  <c r="U57" i="10"/>
  <c r="U56" i="10"/>
  <c r="S58" i="10"/>
  <c r="S57" i="10"/>
  <c r="S56" i="10"/>
  <c r="R58" i="10"/>
  <c r="R57" i="10"/>
  <c r="R56" i="10"/>
  <c r="Q58" i="10"/>
  <c r="Q57" i="10"/>
  <c r="Q56" i="10"/>
  <c r="P58" i="10"/>
  <c r="P57" i="10"/>
  <c r="P56" i="10"/>
  <c r="O58" i="10"/>
  <c r="O57" i="10"/>
  <c r="O56" i="10"/>
  <c r="M58" i="10"/>
  <c r="M57" i="10"/>
  <c r="M56" i="10"/>
  <c r="L58" i="10"/>
  <c r="L57" i="10"/>
  <c r="L56" i="10"/>
  <c r="AK16" i="10"/>
  <c r="AK15" i="10"/>
  <c r="AK10" i="10"/>
  <c r="AK9" i="10"/>
  <c r="AK6" i="10"/>
  <c r="AK5" i="10"/>
  <c r="AI51" i="10"/>
  <c r="AI50" i="10"/>
  <c r="AI49" i="10"/>
  <c r="AI48" i="10"/>
  <c r="AI47" i="10"/>
  <c r="AI46" i="10"/>
  <c r="AI45" i="10"/>
  <c r="AI44" i="10"/>
  <c r="AI43" i="10"/>
  <c r="AI42" i="10"/>
  <c r="AI41" i="10"/>
  <c r="AI40" i="10"/>
  <c r="AI39" i="10"/>
  <c r="AI38" i="10"/>
  <c r="AI37" i="10"/>
  <c r="AI36" i="10"/>
  <c r="AI35" i="10"/>
  <c r="AI34" i="10"/>
  <c r="AI33" i="10"/>
  <c r="AI32" i="10"/>
  <c r="AI31" i="10"/>
  <c r="AI30" i="10"/>
  <c r="AI29" i="10"/>
  <c r="AI28" i="10"/>
  <c r="AI27" i="10"/>
  <c r="AI26" i="10"/>
  <c r="AI24" i="10"/>
  <c r="AI23" i="10"/>
  <c r="AI22" i="10"/>
  <c r="AI21" i="10"/>
  <c r="AH51" i="10"/>
  <c r="AH50" i="10"/>
  <c r="AH49" i="10"/>
  <c r="AH48" i="10"/>
  <c r="AH47" i="10"/>
  <c r="AH46" i="10"/>
  <c r="AH45" i="10"/>
  <c r="AH44" i="10"/>
  <c r="AH43" i="10"/>
  <c r="AH42" i="10"/>
  <c r="AH41" i="10"/>
  <c r="AH40" i="10"/>
  <c r="AH39" i="10"/>
  <c r="AH38" i="10"/>
  <c r="AH37" i="10"/>
  <c r="AH36" i="10"/>
  <c r="AH35" i="10"/>
  <c r="AH34" i="10"/>
  <c r="AH33" i="10"/>
  <c r="AH32" i="10"/>
  <c r="AH31" i="10"/>
  <c r="AH30" i="10"/>
  <c r="AH29" i="10"/>
  <c r="AH28" i="10"/>
  <c r="AH27" i="10"/>
  <c r="AH26" i="10"/>
  <c r="AH24" i="10"/>
  <c r="AH23" i="10"/>
  <c r="AH22" i="10"/>
  <c r="AH21" i="10"/>
  <c r="S51" i="10"/>
  <c r="S50" i="10"/>
  <c r="S49" i="10"/>
  <c r="S48" i="10"/>
  <c r="S47" i="10"/>
  <c r="S46" i="10"/>
  <c r="S45" i="10"/>
  <c r="S44" i="10"/>
  <c r="S43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4" i="10"/>
  <c r="S23" i="10"/>
  <c r="S22" i="10"/>
  <c r="S21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5" i="10"/>
  <c r="Q20" i="10"/>
  <c r="Q19" i="10"/>
  <c r="Q18" i="10"/>
  <c r="Q17" i="10"/>
  <c r="Q12" i="10"/>
  <c r="Q11" i="10"/>
  <c r="Q7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4" i="10"/>
  <c r="O23" i="10"/>
  <c r="O22" i="10"/>
  <c r="O21" i="10"/>
  <c r="AP51" i="10"/>
  <c r="AP50" i="10"/>
  <c r="AP49" i="10"/>
  <c r="AP48" i="10"/>
  <c r="AP47" i="10"/>
  <c r="AP46" i="10"/>
  <c r="AP45" i="10"/>
  <c r="AP44" i="10"/>
  <c r="AP43" i="10"/>
  <c r="AP42" i="10"/>
  <c r="AP41" i="10"/>
  <c r="AP40" i="10"/>
  <c r="AP39" i="10"/>
  <c r="AP38" i="10"/>
  <c r="AP37" i="10"/>
  <c r="AP36" i="10"/>
  <c r="AP35" i="10"/>
  <c r="AP34" i="10"/>
  <c r="AP33" i="10"/>
  <c r="AP32" i="10"/>
  <c r="AP31" i="10"/>
  <c r="AP30" i="10"/>
  <c r="AP29" i="10"/>
  <c r="AP28" i="10"/>
  <c r="AP27" i="10"/>
  <c r="AP26" i="10"/>
  <c r="AP24" i="10"/>
  <c r="AP23" i="10"/>
  <c r="AP22" i="10"/>
  <c r="AP21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5" i="10"/>
  <c r="L20" i="10"/>
  <c r="L19" i="10"/>
  <c r="L18" i="10"/>
  <c r="L17" i="10"/>
  <c r="L12" i="10"/>
  <c r="L11" i="10"/>
  <c r="L7" i="10"/>
  <c r="AJ56" i="10"/>
  <c r="AI56" i="10"/>
  <c r="AH56" i="10"/>
  <c r="W56" i="10"/>
  <c r="F45" i="9"/>
  <c r="E45" i="9"/>
  <c r="D45" i="9"/>
  <c r="F43" i="9"/>
  <c r="D43" i="9"/>
  <c r="E41" i="9"/>
  <c r="D41" i="9"/>
  <c r="D28" i="9"/>
  <c r="AL56" i="10" s="1"/>
  <c r="F23" i="9"/>
  <c r="D23" i="9"/>
  <c r="AG56" i="10" s="1"/>
  <c r="F20" i="9"/>
  <c r="E20" i="9"/>
  <c r="D20" i="9"/>
  <c r="AD56" i="10" s="1"/>
  <c r="E18" i="9"/>
  <c r="D18" i="9"/>
  <c r="AB56" i="10" s="1"/>
  <c r="T38" i="8"/>
  <c r="S38" i="8"/>
  <c r="R38" i="8"/>
  <c r="Q38" i="8"/>
  <c r="P38" i="8"/>
  <c r="O38" i="8"/>
  <c r="N38" i="8"/>
  <c r="M38" i="8"/>
  <c r="L38" i="8"/>
  <c r="K38" i="8"/>
  <c r="J38" i="8"/>
  <c r="I38" i="8"/>
  <c r="U38" i="8" s="1"/>
  <c r="T37" i="8"/>
  <c r="S37" i="8"/>
  <c r="R37" i="8"/>
  <c r="Q37" i="8"/>
  <c r="P37" i="8"/>
  <c r="O37" i="8"/>
  <c r="N37" i="8"/>
  <c r="M37" i="8"/>
  <c r="L37" i="8"/>
  <c r="K37" i="8"/>
  <c r="J37" i="8"/>
  <c r="I37" i="8"/>
  <c r="U37" i="8" s="1"/>
  <c r="T36" i="8"/>
  <c r="S36" i="8"/>
  <c r="R36" i="8"/>
  <c r="Q36" i="8"/>
  <c r="P36" i="8"/>
  <c r="O36" i="8"/>
  <c r="N36" i="8"/>
  <c r="M36" i="8"/>
  <c r="U36" i="8" s="1"/>
  <c r="L36" i="8"/>
  <c r="K36" i="8"/>
  <c r="J36" i="8"/>
  <c r="I36" i="8"/>
  <c r="T35" i="8"/>
  <c r="S35" i="8"/>
  <c r="R35" i="8"/>
  <c r="Q35" i="8"/>
  <c r="P35" i="8"/>
  <c r="O35" i="8"/>
  <c r="N35" i="8"/>
  <c r="M35" i="8"/>
  <c r="L35" i="8"/>
  <c r="K35" i="8"/>
  <c r="J35" i="8"/>
  <c r="I35" i="8"/>
  <c r="U35" i="8" s="1"/>
  <c r="T34" i="8"/>
  <c r="S34" i="8"/>
  <c r="R34" i="8"/>
  <c r="Q34" i="8"/>
  <c r="P34" i="8"/>
  <c r="O34" i="8"/>
  <c r="N34" i="8"/>
  <c r="M34" i="8"/>
  <c r="L34" i="8"/>
  <c r="K34" i="8"/>
  <c r="J34" i="8"/>
  <c r="I34" i="8"/>
  <c r="U34" i="8" s="1"/>
  <c r="T33" i="8"/>
  <c r="S33" i="8"/>
  <c r="R33" i="8"/>
  <c r="Q33" i="8"/>
  <c r="P33" i="8"/>
  <c r="O33" i="8"/>
  <c r="N33" i="8"/>
  <c r="M33" i="8"/>
  <c r="L33" i="8"/>
  <c r="K33" i="8"/>
  <c r="J33" i="8"/>
  <c r="I33" i="8"/>
  <c r="U33" i="8" s="1"/>
  <c r="T32" i="8"/>
  <c r="S32" i="8"/>
  <c r="R32" i="8"/>
  <c r="Q32" i="8"/>
  <c r="P32" i="8"/>
  <c r="O32" i="8"/>
  <c r="N32" i="8"/>
  <c r="M32" i="8"/>
  <c r="L32" i="8"/>
  <c r="K32" i="8"/>
  <c r="J32" i="8"/>
  <c r="I32" i="8"/>
  <c r="U32" i="8" s="1"/>
  <c r="T31" i="8"/>
  <c r="S31" i="8"/>
  <c r="R31" i="8"/>
  <c r="Q31" i="8"/>
  <c r="P31" i="8"/>
  <c r="O31" i="8"/>
  <c r="N31" i="8"/>
  <c r="M31" i="8"/>
  <c r="L31" i="8"/>
  <c r="K31" i="8"/>
  <c r="J31" i="8"/>
  <c r="I31" i="8"/>
  <c r="U31" i="8" s="1"/>
  <c r="T30" i="8"/>
  <c r="S30" i="8"/>
  <c r="R30" i="8"/>
  <c r="Q30" i="8"/>
  <c r="P30" i="8"/>
  <c r="O30" i="8"/>
  <c r="N30" i="8"/>
  <c r="M30" i="8"/>
  <c r="L30" i="8"/>
  <c r="K30" i="8"/>
  <c r="J30" i="8"/>
  <c r="I30" i="8"/>
  <c r="U30" i="8" s="1"/>
  <c r="T29" i="8"/>
  <c r="S29" i="8"/>
  <c r="R29" i="8"/>
  <c r="Q29" i="8"/>
  <c r="P29" i="8"/>
  <c r="O29" i="8"/>
  <c r="N29" i="8"/>
  <c r="M29" i="8"/>
  <c r="L29" i="8"/>
  <c r="K29" i="8"/>
  <c r="J29" i="8"/>
  <c r="I29" i="8"/>
  <c r="U29" i="8" s="1"/>
  <c r="T28" i="8"/>
  <c r="S28" i="8"/>
  <c r="R28" i="8"/>
  <c r="Q28" i="8"/>
  <c r="P28" i="8"/>
  <c r="O28" i="8"/>
  <c r="N28" i="8"/>
  <c r="M28" i="8"/>
  <c r="U28" i="8" s="1"/>
  <c r="L28" i="8"/>
  <c r="K28" i="8"/>
  <c r="J28" i="8"/>
  <c r="I28" i="8"/>
  <c r="T27" i="8"/>
  <c r="S27" i="8"/>
  <c r="R27" i="8"/>
  <c r="Q27" i="8"/>
  <c r="P27" i="8"/>
  <c r="O27" i="8"/>
  <c r="N27" i="8"/>
  <c r="M27" i="8"/>
  <c r="L27" i="8"/>
  <c r="K27" i="8"/>
  <c r="J27" i="8"/>
  <c r="I27" i="8"/>
  <c r="U27" i="8" s="1"/>
  <c r="T26" i="8"/>
  <c r="S26" i="8"/>
  <c r="R26" i="8"/>
  <c r="Q26" i="8"/>
  <c r="P26" i="8"/>
  <c r="O26" i="8"/>
  <c r="N26" i="8"/>
  <c r="M26" i="8"/>
  <c r="L26" i="8"/>
  <c r="K26" i="8"/>
  <c r="J26" i="8"/>
  <c r="I26" i="8"/>
  <c r="U26" i="8" s="1"/>
  <c r="T25" i="8"/>
  <c r="S25" i="8"/>
  <c r="R25" i="8"/>
  <c r="Q25" i="8"/>
  <c r="P25" i="8"/>
  <c r="O25" i="8"/>
  <c r="N25" i="8"/>
  <c r="M25" i="8"/>
  <c r="L25" i="8"/>
  <c r="K25" i="8"/>
  <c r="J25" i="8"/>
  <c r="I25" i="8"/>
  <c r="U25" i="8" s="1"/>
  <c r="T24" i="8"/>
  <c r="S24" i="8"/>
  <c r="R24" i="8"/>
  <c r="Q24" i="8"/>
  <c r="P24" i="8"/>
  <c r="O24" i="8"/>
  <c r="N24" i="8"/>
  <c r="M24" i="8"/>
  <c r="L24" i="8"/>
  <c r="K24" i="8"/>
  <c r="J24" i="8"/>
  <c r="I24" i="8"/>
  <c r="U24" i="8" s="1"/>
  <c r="T23" i="8"/>
  <c r="S23" i="8"/>
  <c r="R23" i="8"/>
  <c r="Q23" i="8"/>
  <c r="P23" i="8"/>
  <c r="O23" i="8"/>
  <c r="N23" i="8"/>
  <c r="M23" i="8"/>
  <c r="L23" i="8"/>
  <c r="K23" i="8"/>
  <c r="J23" i="8"/>
  <c r="I23" i="8"/>
  <c r="U23" i="8" s="1"/>
  <c r="T22" i="8"/>
  <c r="S22" i="8"/>
  <c r="R22" i="8"/>
  <c r="Q22" i="8"/>
  <c r="P22" i="8"/>
  <c r="O22" i="8"/>
  <c r="N22" i="8"/>
  <c r="M22" i="8"/>
  <c r="L22" i="8"/>
  <c r="K22" i="8"/>
  <c r="J22" i="8"/>
  <c r="I22" i="8"/>
  <c r="U22" i="8" s="1"/>
  <c r="T21" i="8"/>
  <c r="S21" i="8"/>
  <c r="R21" i="8"/>
  <c r="Q21" i="8"/>
  <c r="P21" i="8"/>
  <c r="O21" i="8"/>
  <c r="N21" i="8"/>
  <c r="M21" i="8"/>
  <c r="L21" i="8"/>
  <c r="K21" i="8"/>
  <c r="J21" i="8"/>
  <c r="I21" i="8"/>
  <c r="U21" i="8" s="1"/>
  <c r="T20" i="8"/>
  <c r="S20" i="8"/>
  <c r="R20" i="8"/>
  <c r="Q20" i="8"/>
  <c r="P20" i="8"/>
  <c r="O20" i="8"/>
  <c r="N20" i="8"/>
  <c r="M20" i="8"/>
  <c r="U20" i="8" s="1"/>
  <c r="L20" i="8"/>
  <c r="K20" i="8"/>
  <c r="J20" i="8"/>
  <c r="I20" i="8"/>
  <c r="T19" i="8"/>
  <c r="S19" i="8"/>
  <c r="R19" i="8"/>
  <c r="Q19" i="8"/>
  <c r="P19" i="8"/>
  <c r="O19" i="8"/>
  <c r="N19" i="8"/>
  <c r="M19" i="8"/>
  <c r="L19" i="8"/>
  <c r="K19" i="8"/>
  <c r="J19" i="8"/>
  <c r="I19" i="8"/>
  <c r="U19" i="8" s="1"/>
  <c r="T18" i="8"/>
  <c r="S18" i="8"/>
  <c r="R18" i="8"/>
  <c r="Q18" i="8"/>
  <c r="P18" i="8"/>
  <c r="O18" i="8"/>
  <c r="N18" i="8"/>
  <c r="M18" i="8"/>
  <c r="L18" i="8"/>
  <c r="K18" i="8"/>
  <c r="J18" i="8"/>
  <c r="I18" i="8"/>
  <c r="U18" i="8" s="1"/>
  <c r="T17" i="8"/>
  <c r="S17" i="8"/>
  <c r="R17" i="8"/>
  <c r="Q17" i="8"/>
  <c r="P17" i="8"/>
  <c r="O17" i="8"/>
  <c r="N17" i="8"/>
  <c r="M17" i="8"/>
  <c r="L17" i="8"/>
  <c r="K17" i="8"/>
  <c r="J17" i="8"/>
  <c r="I17" i="8"/>
  <c r="U17" i="8" s="1"/>
  <c r="T16" i="8"/>
  <c r="S16" i="8"/>
  <c r="R16" i="8"/>
  <c r="Q16" i="8"/>
  <c r="P16" i="8"/>
  <c r="O16" i="8"/>
  <c r="N16" i="8"/>
  <c r="M16" i="8"/>
  <c r="L16" i="8"/>
  <c r="K16" i="8"/>
  <c r="J16" i="8"/>
  <c r="I16" i="8"/>
  <c r="U16" i="8" s="1"/>
  <c r="T15" i="8"/>
  <c r="S15" i="8"/>
  <c r="R15" i="8"/>
  <c r="Q15" i="8"/>
  <c r="P15" i="8"/>
  <c r="O15" i="8"/>
  <c r="N15" i="8"/>
  <c r="M15" i="8"/>
  <c r="L15" i="8"/>
  <c r="K15" i="8"/>
  <c r="J15" i="8"/>
  <c r="I15" i="8"/>
  <c r="U15" i="8" s="1"/>
  <c r="T14" i="8"/>
  <c r="S14" i="8"/>
  <c r="R14" i="8"/>
  <c r="Q14" i="8"/>
  <c r="P14" i="8"/>
  <c r="O14" i="8"/>
  <c r="N14" i="8"/>
  <c r="M14" i="8"/>
  <c r="L14" i="8"/>
  <c r="K14" i="8"/>
  <c r="J14" i="8"/>
  <c r="I14" i="8"/>
  <c r="U14" i="8" s="1"/>
  <c r="T13" i="8"/>
  <c r="S13" i="8"/>
  <c r="R13" i="8"/>
  <c r="Q13" i="8"/>
  <c r="P13" i="8"/>
  <c r="O13" i="8"/>
  <c r="N13" i="8"/>
  <c r="M13" i="8"/>
  <c r="L13" i="8"/>
  <c r="K13" i="8"/>
  <c r="J13" i="8"/>
  <c r="I13" i="8"/>
  <c r="U13" i="8" s="1"/>
  <c r="T12" i="8"/>
  <c r="S12" i="8"/>
  <c r="R12" i="8"/>
  <c r="Q12" i="8"/>
  <c r="P12" i="8"/>
  <c r="O12" i="8"/>
  <c r="N12" i="8"/>
  <c r="M12" i="8"/>
  <c r="U12" i="8" s="1"/>
  <c r="L12" i="8"/>
  <c r="K12" i="8"/>
  <c r="J12" i="8"/>
  <c r="I12" i="8"/>
  <c r="T11" i="8"/>
  <c r="S11" i="8"/>
  <c r="R11" i="8"/>
  <c r="Q11" i="8"/>
  <c r="P11" i="8"/>
  <c r="O11" i="8"/>
  <c r="N11" i="8"/>
  <c r="M11" i="8"/>
  <c r="L11" i="8"/>
  <c r="K11" i="8"/>
  <c r="J11" i="8"/>
  <c r="I11" i="8"/>
  <c r="U11" i="8" s="1"/>
  <c r="T10" i="8"/>
  <c r="S10" i="8"/>
  <c r="R10" i="8"/>
  <c r="Q10" i="8"/>
  <c r="P10" i="8"/>
  <c r="O10" i="8"/>
  <c r="N10" i="8"/>
  <c r="M10" i="8"/>
  <c r="L10" i="8"/>
  <c r="K10" i="8"/>
  <c r="J10" i="8"/>
  <c r="I10" i="8"/>
  <c r="U10" i="8" s="1"/>
  <c r="T9" i="8"/>
  <c r="S9" i="8"/>
  <c r="R9" i="8"/>
  <c r="Q9" i="8"/>
  <c r="P9" i="8"/>
  <c r="O9" i="8"/>
  <c r="N9" i="8"/>
  <c r="M9" i="8"/>
  <c r="L9" i="8"/>
  <c r="K9" i="8"/>
  <c r="J9" i="8"/>
  <c r="I9" i="8"/>
  <c r="U9" i="8" s="1"/>
  <c r="T8" i="8"/>
  <c r="S8" i="8"/>
  <c r="R8" i="8"/>
  <c r="Q8" i="8"/>
  <c r="P8" i="8"/>
  <c r="O8" i="8"/>
  <c r="N8" i="8"/>
  <c r="M8" i="8"/>
  <c r="L8" i="8"/>
  <c r="K8" i="8"/>
  <c r="J8" i="8"/>
  <c r="I8" i="8"/>
  <c r="U8" i="8" s="1"/>
  <c r="T7" i="8"/>
  <c r="S7" i="8"/>
  <c r="R7" i="8"/>
  <c r="Q7" i="8"/>
  <c r="P7" i="8"/>
  <c r="O7" i="8"/>
  <c r="N7" i="8"/>
  <c r="M7" i="8"/>
  <c r="L7" i="8"/>
  <c r="K7" i="8"/>
  <c r="J7" i="8"/>
  <c r="I7" i="8"/>
  <c r="U7" i="8" s="1"/>
  <c r="T6" i="8"/>
  <c r="S6" i="8"/>
  <c r="R6" i="8"/>
  <c r="Q6" i="8"/>
  <c r="P6" i="8"/>
  <c r="O6" i="8"/>
  <c r="N6" i="8"/>
  <c r="M6" i="8"/>
  <c r="L6" i="8"/>
  <c r="K6" i="8"/>
  <c r="J6" i="8"/>
  <c r="I6" i="8"/>
  <c r="U6" i="8" s="1"/>
  <c r="T5" i="8"/>
  <c r="S5" i="8"/>
  <c r="R5" i="8"/>
  <c r="Q5" i="8"/>
  <c r="P5" i="8"/>
  <c r="O5" i="8"/>
  <c r="N5" i="8"/>
  <c r="M5" i="8"/>
  <c r="L5" i="8"/>
  <c r="K5" i="8"/>
  <c r="J5" i="8"/>
  <c r="I5" i="8"/>
  <c r="U5" i="8" s="1"/>
  <c r="T4" i="8"/>
  <c r="S4" i="8"/>
  <c r="R4" i="8"/>
  <c r="Q4" i="8"/>
  <c r="P4" i="8"/>
  <c r="O4" i="8"/>
  <c r="N4" i="8"/>
  <c r="M4" i="8"/>
  <c r="U4" i="8" s="1"/>
  <c r="L4" i="8"/>
  <c r="K4" i="8"/>
  <c r="J4" i="8"/>
  <c r="I4" i="8"/>
  <c r="T3" i="8"/>
  <c r="S3" i="8"/>
  <c r="R3" i="8"/>
  <c r="Q3" i="8"/>
  <c r="P3" i="8"/>
  <c r="O3" i="8"/>
  <c r="N3" i="8"/>
  <c r="M3" i="8"/>
  <c r="L3" i="8"/>
  <c r="K3" i="8"/>
  <c r="J3" i="8"/>
  <c r="I3" i="8"/>
  <c r="U3" i="8" s="1"/>
  <c r="T2" i="8"/>
  <c r="S2" i="8"/>
  <c r="R2" i="8"/>
  <c r="Q2" i="8"/>
  <c r="P2" i="8"/>
  <c r="O2" i="8"/>
  <c r="N2" i="8"/>
  <c r="M2" i="8"/>
  <c r="L2" i="8"/>
  <c r="K2" i="8"/>
  <c r="J2" i="8"/>
  <c r="I2" i="8"/>
  <c r="U2" i="8" s="1"/>
  <c r="T48" i="7"/>
  <c r="S48" i="7"/>
  <c r="R48" i="7"/>
  <c r="Q48" i="7"/>
  <c r="P48" i="7"/>
  <c r="O48" i="7"/>
  <c r="N48" i="7"/>
  <c r="M48" i="7"/>
  <c r="L48" i="7"/>
  <c r="K48" i="7"/>
  <c r="J48" i="7"/>
  <c r="I48" i="7"/>
  <c r="U48" i="7" s="1"/>
  <c r="T47" i="7"/>
  <c r="S47" i="7"/>
  <c r="R47" i="7"/>
  <c r="Q47" i="7"/>
  <c r="P47" i="7"/>
  <c r="O47" i="7"/>
  <c r="N47" i="7"/>
  <c r="M47" i="7"/>
  <c r="L47" i="7"/>
  <c r="K47" i="7"/>
  <c r="J47" i="7"/>
  <c r="I47" i="7"/>
  <c r="U47" i="7" s="1"/>
  <c r="T46" i="7"/>
  <c r="S46" i="7"/>
  <c r="R46" i="7"/>
  <c r="Q46" i="7"/>
  <c r="P46" i="7"/>
  <c r="O46" i="7"/>
  <c r="N46" i="7"/>
  <c r="M46" i="7"/>
  <c r="L46" i="7"/>
  <c r="K46" i="7"/>
  <c r="J46" i="7"/>
  <c r="I46" i="7"/>
  <c r="U46" i="7" s="1"/>
  <c r="T45" i="7"/>
  <c r="S45" i="7"/>
  <c r="R45" i="7"/>
  <c r="Q45" i="7"/>
  <c r="P45" i="7"/>
  <c r="O45" i="7"/>
  <c r="N45" i="7"/>
  <c r="M45" i="7"/>
  <c r="L45" i="7"/>
  <c r="K45" i="7"/>
  <c r="J45" i="7"/>
  <c r="I45" i="7"/>
  <c r="U45" i="7" s="1"/>
  <c r="T44" i="7"/>
  <c r="S44" i="7"/>
  <c r="R44" i="7"/>
  <c r="Q44" i="7"/>
  <c r="P44" i="7"/>
  <c r="O44" i="7"/>
  <c r="N44" i="7"/>
  <c r="M44" i="7"/>
  <c r="L44" i="7"/>
  <c r="K44" i="7"/>
  <c r="J44" i="7"/>
  <c r="I44" i="7"/>
  <c r="U44" i="7" s="1"/>
  <c r="T43" i="7"/>
  <c r="S43" i="7"/>
  <c r="R43" i="7"/>
  <c r="Q43" i="7"/>
  <c r="P43" i="7"/>
  <c r="O43" i="7"/>
  <c r="N43" i="7"/>
  <c r="M43" i="7"/>
  <c r="L43" i="7"/>
  <c r="K43" i="7"/>
  <c r="U43" i="7" s="1"/>
  <c r="J43" i="7"/>
  <c r="I43" i="7"/>
  <c r="T42" i="7"/>
  <c r="S42" i="7"/>
  <c r="R42" i="7"/>
  <c r="Q42" i="7"/>
  <c r="P42" i="7"/>
  <c r="O42" i="7"/>
  <c r="N42" i="7"/>
  <c r="M42" i="7"/>
  <c r="L42" i="7"/>
  <c r="K42" i="7"/>
  <c r="J42" i="7"/>
  <c r="I42" i="7"/>
  <c r="U42" i="7" s="1"/>
  <c r="T41" i="7"/>
  <c r="S41" i="7"/>
  <c r="R41" i="7"/>
  <c r="Q41" i="7"/>
  <c r="P41" i="7"/>
  <c r="O41" i="7"/>
  <c r="N41" i="7"/>
  <c r="M41" i="7"/>
  <c r="U41" i="7" s="1"/>
  <c r="L41" i="7"/>
  <c r="K41" i="7"/>
  <c r="J41" i="7"/>
  <c r="I41" i="7"/>
  <c r="T40" i="7"/>
  <c r="S40" i="7"/>
  <c r="R40" i="7"/>
  <c r="Q40" i="7"/>
  <c r="P40" i="7"/>
  <c r="O40" i="7"/>
  <c r="N40" i="7"/>
  <c r="M40" i="7"/>
  <c r="L40" i="7"/>
  <c r="K40" i="7"/>
  <c r="J40" i="7"/>
  <c r="I40" i="7"/>
  <c r="U40" i="7" s="1"/>
  <c r="T39" i="7"/>
  <c r="S39" i="7"/>
  <c r="R39" i="7"/>
  <c r="Q39" i="7"/>
  <c r="P39" i="7"/>
  <c r="O39" i="7"/>
  <c r="N39" i="7"/>
  <c r="M39" i="7"/>
  <c r="L39" i="7"/>
  <c r="K39" i="7"/>
  <c r="J39" i="7"/>
  <c r="I39" i="7"/>
  <c r="U39" i="7" s="1"/>
  <c r="T38" i="7"/>
  <c r="S38" i="7"/>
  <c r="R38" i="7"/>
  <c r="Q38" i="7"/>
  <c r="P38" i="7"/>
  <c r="O38" i="7"/>
  <c r="N38" i="7"/>
  <c r="M38" i="7"/>
  <c r="L38" i="7"/>
  <c r="K38" i="7"/>
  <c r="J38" i="7"/>
  <c r="I38" i="7"/>
  <c r="U38" i="7" s="1"/>
  <c r="T37" i="7"/>
  <c r="S37" i="7"/>
  <c r="R37" i="7"/>
  <c r="Q37" i="7"/>
  <c r="P37" i="7"/>
  <c r="O37" i="7"/>
  <c r="N37" i="7"/>
  <c r="M37" i="7"/>
  <c r="L37" i="7"/>
  <c r="K37" i="7"/>
  <c r="J37" i="7"/>
  <c r="I37" i="7"/>
  <c r="U37" i="7" s="1"/>
  <c r="T36" i="7"/>
  <c r="S36" i="7"/>
  <c r="R36" i="7"/>
  <c r="Q36" i="7"/>
  <c r="P36" i="7"/>
  <c r="O36" i="7"/>
  <c r="N36" i="7"/>
  <c r="M36" i="7"/>
  <c r="L36" i="7"/>
  <c r="K36" i="7"/>
  <c r="U36" i="7" s="1"/>
  <c r="J36" i="7"/>
  <c r="I36" i="7"/>
  <c r="T35" i="7"/>
  <c r="S35" i="7"/>
  <c r="R35" i="7"/>
  <c r="Q35" i="7"/>
  <c r="P35" i="7"/>
  <c r="O35" i="7"/>
  <c r="N35" i="7"/>
  <c r="M35" i="7"/>
  <c r="L35" i="7"/>
  <c r="K35" i="7"/>
  <c r="U35" i="7" s="1"/>
  <c r="J35" i="7"/>
  <c r="I35" i="7"/>
  <c r="T34" i="7"/>
  <c r="S34" i="7"/>
  <c r="R34" i="7"/>
  <c r="Q34" i="7"/>
  <c r="P34" i="7"/>
  <c r="O34" i="7"/>
  <c r="N34" i="7"/>
  <c r="M34" i="7"/>
  <c r="L34" i="7"/>
  <c r="K34" i="7"/>
  <c r="J34" i="7"/>
  <c r="I34" i="7"/>
  <c r="U34" i="7" s="1"/>
  <c r="T33" i="7"/>
  <c r="S33" i="7"/>
  <c r="R33" i="7"/>
  <c r="Q33" i="7"/>
  <c r="P33" i="7"/>
  <c r="O33" i="7"/>
  <c r="N33" i="7"/>
  <c r="M33" i="7"/>
  <c r="U33" i="7" s="1"/>
  <c r="L33" i="7"/>
  <c r="K33" i="7"/>
  <c r="J33" i="7"/>
  <c r="I33" i="7"/>
  <c r="T32" i="7"/>
  <c r="S32" i="7"/>
  <c r="R32" i="7"/>
  <c r="Q32" i="7"/>
  <c r="P32" i="7"/>
  <c r="O32" i="7"/>
  <c r="N32" i="7"/>
  <c r="M32" i="7"/>
  <c r="L32" i="7"/>
  <c r="K32" i="7"/>
  <c r="J32" i="7"/>
  <c r="I32" i="7"/>
  <c r="U32" i="7" s="1"/>
  <c r="T31" i="7"/>
  <c r="S31" i="7"/>
  <c r="R31" i="7"/>
  <c r="Q31" i="7"/>
  <c r="P31" i="7"/>
  <c r="O31" i="7"/>
  <c r="N31" i="7"/>
  <c r="M31" i="7"/>
  <c r="L31" i="7"/>
  <c r="K31" i="7"/>
  <c r="J31" i="7"/>
  <c r="I31" i="7"/>
  <c r="U31" i="7" s="1"/>
  <c r="T30" i="7"/>
  <c r="S30" i="7"/>
  <c r="R30" i="7"/>
  <c r="Q30" i="7"/>
  <c r="P30" i="7"/>
  <c r="O30" i="7"/>
  <c r="N30" i="7"/>
  <c r="M30" i="7"/>
  <c r="L30" i="7"/>
  <c r="K30" i="7"/>
  <c r="J30" i="7"/>
  <c r="I30" i="7"/>
  <c r="U30" i="7" s="1"/>
  <c r="T29" i="7"/>
  <c r="S29" i="7"/>
  <c r="R29" i="7"/>
  <c r="Q29" i="7"/>
  <c r="P29" i="7"/>
  <c r="O29" i="7"/>
  <c r="N29" i="7"/>
  <c r="M29" i="7"/>
  <c r="L29" i="7"/>
  <c r="K29" i="7"/>
  <c r="J29" i="7"/>
  <c r="I29" i="7"/>
  <c r="U29" i="7" s="1"/>
  <c r="T28" i="7"/>
  <c r="S28" i="7"/>
  <c r="R28" i="7"/>
  <c r="Q28" i="7"/>
  <c r="P28" i="7"/>
  <c r="O28" i="7"/>
  <c r="N28" i="7"/>
  <c r="M28" i="7"/>
  <c r="L28" i="7"/>
  <c r="K28" i="7"/>
  <c r="U28" i="7" s="1"/>
  <c r="J28" i="7"/>
  <c r="I28" i="7"/>
  <c r="T27" i="7"/>
  <c r="S27" i="7"/>
  <c r="R27" i="7"/>
  <c r="Q27" i="7"/>
  <c r="P27" i="7"/>
  <c r="O27" i="7"/>
  <c r="N27" i="7"/>
  <c r="M27" i="7"/>
  <c r="L27" i="7"/>
  <c r="K27" i="7"/>
  <c r="U27" i="7" s="1"/>
  <c r="J27" i="7"/>
  <c r="I27" i="7"/>
  <c r="T26" i="7"/>
  <c r="S26" i="7"/>
  <c r="R26" i="7"/>
  <c r="Q26" i="7"/>
  <c r="P26" i="7"/>
  <c r="O26" i="7"/>
  <c r="N26" i="7"/>
  <c r="M26" i="7"/>
  <c r="L26" i="7"/>
  <c r="K26" i="7"/>
  <c r="J26" i="7"/>
  <c r="I26" i="7"/>
  <c r="U26" i="7" s="1"/>
  <c r="T25" i="7"/>
  <c r="S25" i="7"/>
  <c r="R25" i="7"/>
  <c r="Q25" i="7"/>
  <c r="P25" i="7"/>
  <c r="O25" i="7"/>
  <c r="N25" i="7"/>
  <c r="M25" i="7"/>
  <c r="U25" i="7" s="1"/>
  <c r="L25" i="7"/>
  <c r="K25" i="7"/>
  <c r="J25" i="7"/>
  <c r="I25" i="7"/>
  <c r="T24" i="7"/>
  <c r="S24" i="7"/>
  <c r="R24" i="7"/>
  <c r="Q24" i="7"/>
  <c r="P24" i="7"/>
  <c r="O24" i="7"/>
  <c r="N24" i="7"/>
  <c r="M24" i="7"/>
  <c r="L24" i="7"/>
  <c r="K24" i="7"/>
  <c r="J24" i="7"/>
  <c r="I24" i="7"/>
  <c r="U24" i="7" s="1"/>
  <c r="T23" i="7"/>
  <c r="S23" i="7"/>
  <c r="R23" i="7"/>
  <c r="Q23" i="7"/>
  <c r="P23" i="7"/>
  <c r="O23" i="7"/>
  <c r="N23" i="7"/>
  <c r="M23" i="7"/>
  <c r="L23" i="7"/>
  <c r="K23" i="7"/>
  <c r="J23" i="7"/>
  <c r="I23" i="7"/>
  <c r="U23" i="7" s="1"/>
  <c r="T22" i="7"/>
  <c r="S22" i="7"/>
  <c r="R22" i="7"/>
  <c r="Q22" i="7"/>
  <c r="P22" i="7"/>
  <c r="O22" i="7"/>
  <c r="N22" i="7"/>
  <c r="M22" i="7"/>
  <c r="L22" i="7"/>
  <c r="K22" i="7"/>
  <c r="J22" i="7"/>
  <c r="I22" i="7"/>
  <c r="U22" i="7" s="1"/>
  <c r="T21" i="7"/>
  <c r="S21" i="7"/>
  <c r="R21" i="7"/>
  <c r="Q21" i="7"/>
  <c r="P21" i="7"/>
  <c r="O21" i="7"/>
  <c r="N21" i="7"/>
  <c r="M21" i="7"/>
  <c r="L21" i="7"/>
  <c r="K21" i="7"/>
  <c r="J21" i="7"/>
  <c r="I21" i="7"/>
  <c r="U21" i="7" s="1"/>
  <c r="T20" i="7"/>
  <c r="S20" i="7"/>
  <c r="R20" i="7"/>
  <c r="Q20" i="7"/>
  <c r="P20" i="7"/>
  <c r="O20" i="7"/>
  <c r="N20" i="7"/>
  <c r="M20" i="7"/>
  <c r="L20" i="7"/>
  <c r="K20" i="7"/>
  <c r="J20" i="7"/>
  <c r="I20" i="7"/>
  <c r="U20" i="7" s="1"/>
  <c r="T19" i="7"/>
  <c r="S19" i="7"/>
  <c r="R19" i="7"/>
  <c r="Q19" i="7"/>
  <c r="P19" i="7"/>
  <c r="O19" i="7"/>
  <c r="N19" i="7"/>
  <c r="M19" i="7"/>
  <c r="L19" i="7"/>
  <c r="K19" i="7"/>
  <c r="U19" i="7" s="1"/>
  <c r="J19" i="7"/>
  <c r="I19" i="7"/>
  <c r="T18" i="7"/>
  <c r="S18" i="7"/>
  <c r="R18" i="7"/>
  <c r="Q18" i="7"/>
  <c r="P18" i="7"/>
  <c r="O18" i="7"/>
  <c r="N18" i="7"/>
  <c r="M18" i="7"/>
  <c r="L18" i="7"/>
  <c r="K18" i="7"/>
  <c r="J18" i="7"/>
  <c r="I18" i="7"/>
  <c r="U18" i="7" s="1"/>
  <c r="T17" i="7"/>
  <c r="S17" i="7"/>
  <c r="R17" i="7"/>
  <c r="Q17" i="7"/>
  <c r="P17" i="7"/>
  <c r="O17" i="7"/>
  <c r="N17" i="7"/>
  <c r="M17" i="7"/>
  <c r="U17" i="7" s="1"/>
  <c r="L17" i="7"/>
  <c r="K17" i="7"/>
  <c r="J17" i="7"/>
  <c r="I17" i="7"/>
  <c r="T16" i="7"/>
  <c r="S16" i="7"/>
  <c r="R16" i="7"/>
  <c r="Q16" i="7"/>
  <c r="P16" i="7"/>
  <c r="O16" i="7"/>
  <c r="N16" i="7"/>
  <c r="M16" i="7"/>
  <c r="L16" i="7"/>
  <c r="K16" i="7"/>
  <c r="J16" i="7"/>
  <c r="I16" i="7"/>
  <c r="U16" i="7" s="1"/>
  <c r="T15" i="7"/>
  <c r="S15" i="7"/>
  <c r="R15" i="7"/>
  <c r="Q15" i="7"/>
  <c r="P15" i="7"/>
  <c r="O15" i="7"/>
  <c r="N15" i="7"/>
  <c r="M15" i="7"/>
  <c r="L15" i="7"/>
  <c r="K15" i="7"/>
  <c r="J15" i="7"/>
  <c r="I15" i="7"/>
  <c r="U15" i="7" s="1"/>
  <c r="T14" i="7"/>
  <c r="S14" i="7"/>
  <c r="R14" i="7"/>
  <c r="Q14" i="7"/>
  <c r="P14" i="7"/>
  <c r="O14" i="7"/>
  <c r="N14" i="7"/>
  <c r="M14" i="7"/>
  <c r="L14" i="7"/>
  <c r="K14" i="7"/>
  <c r="J14" i="7"/>
  <c r="I14" i="7"/>
  <c r="U14" i="7" s="1"/>
  <c r="T13" i="7"/>
  <c r="S13" i="7"/>
  <c r="R13" i="7"/>
  <c r="Q13" i="7"/>
  <c r="P13" i="7"/>
  <c r="O13" i="7"/>
  <c r="N13" i="7"/>
  <c r="M13" i="7"/>
  <c r="L13" i="7"/>
  <c r="K13" i="7"/>
  <c r="J13" i="7"/>
  <c r="I13" i="7"/>
  <c r="U13" i="7" s="1"/>
  <c r="T12" i="7"/>
  <c r="S12" i="7"/>
  <c r="R12" i="7"/>
  <c r="Q12" i="7"/>
  <c r="P12" i="7"/>
  <c r="O12" i="7"/>
  <c r="N12" i="7"/>
  <c r="M12" i="7"/>
  <c r="L12" i="7"/>
  <c r="K12" i="7"/>
  <c r="J12" i="7"/>
  <c r="U12" i="7" s="1"/>
  <c r="I12" i="7"/>
  <c r="T11" i="7"/>
  <c r="S11" i="7"/>
  <c r="R11" i="7"/>
  <c r="Q11" i="7"/>
  <c r="P11" i="7"/>
  <c r="O11" i="7"/>
  <c r="N11" i="7"/>
  <c r="M11" i="7"/>
  <c r="L11" i="7"/>
  <c r="K11" i="7"/>
  <c r="U11" i="7" s="1"/>
  <c r="J11" i="7"/>
  <c r="I11" i="7"/>
  <c r="T10" i="7"/>
  <c r="S10" i="7"/>
  <c r="R10" i="7"/>
  <c r="Q10" i="7"/>
  <c r="P10" i="7"/>
  <c r="O10" i="7"/>
  <c r="N10" i="7"/>
  <c r="M10" i="7"/>
  <c r="L10" i="7"/>
  <c r="K10" i="7"/>
  <c r="J10" i="7"/>
  <c r="U10" i="7" s="1"/>
  <c r="I10" i="7"/>
  <c r="T9" i="7"/>
  <c r="S9" i="7"/>
  <c r="R9" i="7"/>
  <c r="Q9" i="7"/>
  <c r="P9" i="7"/>
  <c r="O9" i="7"/>
  <c r="N9" i="7"/>
  <c r="M9" i="7"/>
  <c r="U9" i="7" s="1"/>
  <c r="L9" i="7"/>
  <c r="K9" i="7"/>
  <c r="J9" i="7"/>
  <c r="I9" i="7"/>
  <c r="T8" i="7"/>
  <c r="S8" i="7"/>
  <c r="R8" i="7"/>
  <c r="Q8" i="7"/>
  <c r="P8" i="7"/>
  <c r="O8" i="7"/>
  <c r="N8" i="7"/>
  <c r="M8" i="7"/>
  <c r="L8" i="7"/>
  <c r="K8" i="7"/>
  <c r="J8" i="7"/>
  <c r="I8" i="7"/>
  <c r="U8" i="7" s="1"/>
  <c r="T7" i="7"/>
  <c r="S7" i="7"/>
  <c r="R7" i="7"/>
  <c r="Q7" i="7"/>
  <c r="P7" i="7"/>
  <c r="O7" i="7"/>
  <c r="N7" i="7"/>
  <c r="M7" i="7"/>
  <c r="L7" i="7"/>
  <c r="K7" i="7"/>
  <c r="J7" i="7"/>
  <c r="I7" i="7"/>
  <c r="U7" i="7" s="1"/>
  <c r="T6" i="7"/>
  <c r="S6" i="7"/>
  <c r="R6" i="7"/>
  <c r="Q6" i="7"/>
  <c r="P6" i="7"/>
  <c r="O6" i="7"/>
  <c r="N6" i="7"/>
  <c r="M6" i="7"/>
  <c r="L6" i="7"/>
  <c r="K6" i="7"/>
  <c r="J6" i="7"/>
  <c r="I6" i="7"/>
  <c r="U6" i="7" s="1"/>
  <c r="T5" i="7"/>
  <c r="S5" i="7"/>
  <c r="R5" i="7"/>
  <c r="Q5" i="7"/>
  <c r="P5" i="7"/>
  <c r="O5" i="7"/>
  <c r="N5" i="7"/>
  <c r="M5" i="7"/>
  <c r="L5" i="7"/>
  <c r="K5" i="7"/>
  <c r="J5" i="7"/>
  <c r="I5" i="7"/>
  <c r="U5" i="7" s="1"/>
  <c r="T4" i="7"/>
  <c r="S4" i="7"/>
  <c r="R4" i="7"/>
  <c r="Q4" i="7"/>
  <c r="P4" i="7"/>
  <c r="O4" i="7"/>
  <c r="N4" i="7"/>
  <c r="M4" i="7"/>
  <c r="L4" i="7"/>
  <c r="K4" i="7"/>
  <c r="J4" i="7"/>
  <c r="I4" i="7"/>
  <c r="U4" i="7" s="1"/>
  <c r="T3" i="7"/>
  <c r="S3" i="7"/>
  <c r="R3" i="7"/>
  <c r="Q3" i="7"/>
  <c r="P3" i="7"/>
  <c r="O3" i="7"/>
  <c r="N3" i="7"/>
  <c r="M3" i="7"/>
  <c r="L3" i="7"/>
  <c r="K3" i="7"/>
  <c r="U3" i="7" s="1"/>
  <c r="J3" i="7"/>
  <c r="I3" i="7"/>
  <c r="T2" i="7"/>
  <c r="S2" i="7"/>
  <c r="R2" i="7"/>
  <c r="Q2" i="7"/>
  <c r="P2" i="7"/>
  <c r="O2" i="7"/>
  <c r="N2" i="7"/>
  <c r="M2" i="7"/>
  <c r="L2" i="7"/>
  <c r="K2" i="7"/>
  <c r="J2" i="7"/>
  <c r="I2" i="7"/>
  <c r="U2" i="7" s="1"/>
  <c r="H1" i="6"/>
  <c r="P12" i="9" l="1"/>
  <c r="P15" i="9" s="1"/>
  <c r="I5" i="27"/>
  <c r="AK57" i="27" s="1"/>
  <c r="I5" i="13"/>
  <c r="I5" i="11"/>
  <c r="I5" i="10"/>
  <c r="I5" i="12"/>
  <c r="I5" i="18"/>
  <c r="I11" i="27"/>
  <c r="AO63" i="27" s="1"/>
  <c r="I11" i="13"/>
  <c r="I11" i="11"/>
  <c r="I11" i="10"/>
  <c r="I11" i="12"/>
  <c r="I11" i="18"/>
  <c r="I17" i="27"/>
  <c r="AI69" i="27" s="1"/>
  <c r="I17" i="18"/>
  <c r="I17" i="10"/>
  <c r="I17" i="13"/>
  <c r="I17" i="11"/>
  <c r="I17" i="12"/>
  <c r="I21" i="27"/>
  <c r="I21" i="13"/>
  <c r="I21" i="11"/>
  <c r="I21" i="12"/>
  <c r="I21" i="18"/>
  <c r="I21" i="10"/>
  <c r="I27" i="27"/>
  <c r="AK79" i="27" s="1"/>
  <c r="I27" i="13"/>
  <c r="I27" i="12"/>
  <c r="I27" i="11"/>
  <c r="I27" i="10"/>
  <c r="I27" i="18"/>
  <c r="I33" i="27"/>
  <c r="I33" i="10"/>
  <c r="I33" i="11"/>
  <c r="I33" i="13"/>
  <c r="I33" i="18"/>
  <c r="I33" i="12"/>
  <c r="I35" i="27"/>
  <c r="I35" i="13"/>
  <c r="I35" i="18"/>
  <c r="I35" i="12"/>
  <c r="I35" i="11"/>
  <c r="I35" i="10"/>
  <c r="I41" i="27"/>
  <c r="I41" i="10"/>
  <c r="I41" i="11"/>
  <c r="I41" i="18"/>
  <c r="I41" i="13"/>
  <c r="I41" i="12"/>
  <c r="I44" i="27"/>
  <c r="I44" i="18"/>
  <c r="I44" i="13"/>
  <c r="I44" i="12"/>
  <c r="I44" i="11"/>
  <c r="I44" i="10"/>
  <c r="I47" i="27"/>
  <c r="I47" i="12"/>
  <c r="I47" i="10"/>
  <c r="I47" i="18"/>
  <c r="I47" i="13"/>
  <c r="I47" i="11"/>
  <c r="I8" i="28"/>
  <c r="I8" i="17"/>
  <c r="I8" i="16"/>
  <c r="I8" i="15"/>
  <c r="I8" i="14"/>
  <c r="I14" i="28"/>
  <c r="I14" i="16"/>
  <c r="I14" i="15"/>
  <c r="I14" i="14"/>
  <c r="I14" i="17"/>
  <c r="I18" i="28"/>
  <c r="I18" i="17"/>
  <c r="I18" i="16"/>
  <c r="I18" i="15"/>
  <c r="I18" i="14"/>
  <c r="I31" i="27"/>
  <c r="I31" i="12"/>
  <c r="I31" i="10"/>
  <c r="I31" i="18"/>
  <c r="I31" i="13"/>
  <c r="I31" i="11"/>
  <c r="I39" i="27"/>
  <c r="I39" i="12"/>
  <c r="I39" i="18"/>
  <c r="I39" i="10"/>
  <c r="I39" i="13"/>
  <c r="I39" i="11"/>
  <c r="I10" i="27"/>
  <c r="AK62" i="27" s="1"/>
  <c r="I10" i="13"/>
  <c r="I10" i="11"/>
  <c r="I10" i="10"/>
  <c r="I10" i="12"/>
  <c r="I10" i="18"/>
  <c r="I18" i="27"/>
  <c r="AL70" i="27" s="1"/>
  <c r="I18" i="13"/>
  <c r="I18" i="11"/>
  <c r="I18" i="12"/>
  <c r="I18" i="18"/>
  <c r="I18" i="10"/>
  <c r="I24" i="27"/>
  <c r="AO76" i="27" s="1"/>
  <c r="I24" i="18"/>
  <c r="I24" i="12"/>
  <c r="I24" i="10"/>
  <c r="I24" i="11"/>
  <c r="I24" i="13"/>
  <c r="I40" i="27"/>
  <c r="I40" i="12"/>
  <c r="I40" i="10"/>
  <c r="I40" i="18"/>
  <c r="I40" i="11"/>
  <c r="M67" i="10" s="1"/>
  <c r="I40" i="13"/>
  <c r="I50" i="27"/>
  <c r="I50" i="11"/>
  <c r="I50" i="13"/>
  <c r="I50" i="12"/>
  <c r="I50" i="18"/>
  <c r="I50" i="10"/>
  <c r="P14" i="9"/>
  <c r="P17" i="9" s="1"/>
  <c r="I5" i="28"/>
  <c r="I5" i="16"/>
  <c r="I5" i="15"/>
  <c r="I5" i="14"/>
  <c r="I5" i="17"/>
  <c r="I11" i="28"/>
  <c r="I11" i="17"/>
  <c r="I11" i="16"/>
  <c r="I11" i="15"/>
  <c r="I11" i="14"/>
  <c r="I13" i="28"/>
  <c r="I13" i="16"/>
  <c r="I13" i="15"/>
  <c r="I13" i="14"/>
  <c r="I13" i="17"/>
  <c r="I17" i="28"/>
  <c r="AB59" i="28" s="1"/>
  <c r="I17" i="17"/>
  <c r="I17" i="16"/>
  <c r="I17" i="15"/>
  <c r="I17" i="14"/>
  <c r="I19" i="28"/>
  <c r="X61" i="28" s="1"/>
  <c r="I19" i="17"/>
  <c r="I19" i="16"/>
  <c r="I19" i="15"/>
  <c r="X43" i="15" s="1"/>
  <c r="I19" i="14"/>
  <c r="I21" i="28"/>
  <c r="AB63" i="28" s="1"/>
  <c r="I21" i="16"/>
  <c r="I21" i="15"/>
  <c r="I21" i="14"/>
  <c r="I21" i="17"/>
  <c r="I25" i="28"/>
  <c r="AF67" i="28" s="1"/>
  <c r="I25" i="17"/>
  <c r="I25" i="16"/>
  <c r="I25" i="15"/>
  <c r="I25" i="14"/>
  <c r="I27" i="28"/>
  <c r="I27" i="17"/>
  <c r="I27" i="16"/>
  <c r="I27" i="15"/>
  <c r="I27" i="14"/>
  <c r="I29" i="28"/>
  <c r="Z71" i="28" s="1"/>
  <c r="I29" i="16"/>
  <c r="I29" i="15"/>
  <c r="I29" i="14"/>
  <c r="I29" i="17"/>
  <c r="I33" i="28"/>
  <c r="AH75" i="28" s="1"/>
  <c r="I33" i="17"/>
  <c r="I33" i="16"/>
  <c r="I33" i="15"/>
  <c r="I33" i="14"/>
  <c r="I35" i="28"/>
  <c r="AF77" i="28" s="1"/>
  <c r="I35" i="17"/>
  <c r="I35" i="16"/>
  <c r="I35" i="15"/>
  <c r="I35" i="14"/>
  <c r="I37" i="28"/>
  <c r="Z79" i="28" s="1"/>
  <c r="I37" i="16"/>
  <c r="I37" i="15"/>
  <c r="I37" i="14"/>
  <c r="I37" i="17"/>
  <c r="I41" i="28"/>
  <c r="AA83" i="28" s="1"/>
  <c r="I41" i="17"/>
  <c r="I41" i="16"/>
  <c r="I41" i="15"/>
  <c r="I41" i="14"/>
  <c r="I32" i="27"/>
  <c r="I32" i="12"/>
  <c r="I32" i="10"/>
  <c r="I32" i="11"/>
  <c r="I32" i="18"/>
  <c r="I32" i="13"/>
  <c r="I48" i="27"/>
  <c r="AX100" i="27" s="1"/>
  <c r="I48" i="12"/>
  <c r="I48" i="10"/>
  <c r="I48" i="11"/>
  <c r="I48" i="13"/>
  <c r="I48" i="18"/>
  <c r="I9" i="28"/>
  <c r="AF51" i="28" s="1"/>
  <c r="I9" i="17"/>
  <c r="I9" i="16"/>
  <c r="I9" i="15"/>
  <c r="I9" i="14"/>
  <c r="I34" i="27"/>
  <c r="I34" i="11"/>
  <c r="I34" i="18"/>
  <c r="I34" i="13"/>
  <c r="I34" i="12"/>
  <c r="I34" i="10"/>
  <c r="I42" i="27"/>
  <c r="I42" i="18"/>
  <c r="I42" i="11"/>
  <c r="I42" i="13"/>
  <c r="I42" i="12"/>
  <c r="I42" i="10"/>
  <c r="I14" i="27"/>
  <c r="BA66" i="27" s="1"/>
  <c r="I14" i="11"/>
  <c r="M63" i="10" s="1"/>
  <c r="I14" i="10"/>
  <c r="I14" i="12"/>
  <c r="I14" i="18"/>
  <c r="I14" i="13"/>
  <c r="I22" i="27"/>
  <c r="I22" i="18"/>
  <c r="I22" i="12"/>
  <c r="I22" i="10"/>
  <c r="I22" i="13"/>
  <c r="I22" i="11"/>
  <c r="I30" i="27"/>
  <c r="I30" i="11"/>
  <c r="I30" i="12"/>
  <c r="I30" i="18"/>
  <c r="I30" i="10"/>
  <c r="I30" i="13"/>
  <c r="I38" i="27"/>
  <c r="I38" i="11"/>
  <c r="I38" i="18"/>
  <c r="I38" i="12"/>
  <c r="I38" i="10"/>
  <c r="I38" i="13"/>
  <c r="I46" i="27"/>
  <c r="I46" i="11"/>
  <c r="M68" i="10" s="1"/>
  <c r="I46" i="12"/>
  <c r="I46" i="10"/>
  <c r="I46" i="18"/>
  <c r="I46" i="13"/>
  <c r="I8" i="27"/>
  <c r="AS60" i="27" s="1"/>
  <c r="I8" i="12"/>
  <c r="I8" i="18"/>
  <c r="I8" i="13"/>
  <c r="I8" i="11"/>
  <c r="I8" i="10"/>
  <c r="I16" i="27"/>
  <c r="AS68" i="27" s="1"/>
  <c r="I16" i="12"/>
  <c r="I16" i="18"/>
  <c r="I16" i="13"/>
  <c r="I16" i="11"/>
  <c r="I16" i="10"/>
  <c r="I26" i="27"/>
  <c r="P78" i="27" s="1"/>
  <c r="I26" i="11"/>
  <c r="I26" i="18"/>
  <c r="I26" i="13"/>
  <c r="I26" i="12"/>
  <c r="I26" i="10"/>
  <c r="I6" i="27"/>
  <c r="I6" i="11"/>
  <c r="AG53" i="11" s="1"/>
  <c r="I6" i="10"/>
  <c r="I6" i="12"/>
  <c r="I6" i="18"/>
  <c r="I6" i="13"/>
  <c r="I9" i="27"/>
  <c r="AW61" i="27" s="1"/>
  <c r="I9" i="18"/>
  <c r="I9" i="13"/>
  <c r="I9" i="11"/>
  <c r="I9" i="10"/>
  <c r="I9" i="12"/>
  <c r="I20" i="27"/>
  <c r="I20" i="13"/>
  <c r="I20" i="11"/>
  <c r="I20" i="12"/>
  <c r="I20" i="18"/>
  <c r="I20" i="10"/>
  <c r="I25" i="27"/>
  <c r="I25" i="10"/>
  <c r="I25" i="11"/>
  <c r="I25" i="18"/>
  <c r="I25" i="13"/>
  <c r="I25" i="12"/>
  <c r="I28" i="27"/>
  <c r="I28" i="13"/>
  <c r="I28" i="18"/>
  <c r="I28" i="12"/>
  <c r="I28" i="11"/>
  <c r="I28" i="10"/>
  <c r="I36" i="27"/>
  <c r="I36" i="13"/>
  <c r="I36" i="18"/>
  <c r="I36" i="12"/>
  <c r="I36" i="11"/>
  <c r="I36" i="10"/>
  <c r="I49" i="27"/>
  <c r="I49" i="10"/>
  <c r="I49" i="11"/>
  <c r="I49" i="18"/>
  <c r="I49" i="13"/>
  <c r="I49" i="12"/>
  <c r="I6" i="28"/>
  <c r="I6" i="16"/>
  <c r="I6" i="15"/>
  <c r="I6" i="14"/>
  <c r="I6" i="17"/>
  <c r="I12" i="28"/>
  <c r="AH54" i="28" s="1"/>
  <c r="I12" i="17"/>
  <c r="I12" i="16"/>
  <c r="I12" i="15"/>
  <c r="I12" i="14"/>
  <c r="I16" i="28"/>
  <c r="I16" i="17"/>
  <c r="I16" i="16"/>
  <c r="I16" i="15"/>
  <c r="I16" i="14"/>
  <c r="I20" i="28"/>
  <c r="AH62" i="28" s="1"/>
  <c r="I20" i="17"/>
  <c r="I20" i="16"/>
  <c r="I20" i="15"/>
  <c r="I20" i="14"/>
  <c r="I22" i="28"/>
  <c r="I22" i="16"/>
  <c r="I22" i="15"/>
  <c r="I22" i="14"/>
  <c r="I22" i="17"/>
  <c r="I23" i="28"/>
  <c r="I23" i="16"/>
  <c r="I23" i="15"/>
  <c r="I23" i="14"/>
  <c r="I23" i="17"/>
  <c r="I24" i="28"/>
  <c r="I24" i="17"/>
  <c r="I24" i="16"/>
  <c r="I24" i="15"/>
  <c r="I24" i="14"/>
  <c r="I26" i="28"/>
  <c r="Z68" i="28" s="1"/>
  <c r="I26" i="17"/>
  <c r="I26" i="16"/>
  <c r="I26" i="15"/>
  <c r="I26" i="14"/>
  <c r="I28" i="28"/>
  <c r="AF70" i="28" s="1"/>
  <c r="I28" i="17"/>
  <c r="I28" i="16"/>
  <c r="I28" i="15"/>
  <c r="I28" i="14"/>
  <c r="I30" i="28"/>
  <c r="I30" i="16"/>
  <c r="I30" i="15"/>
  <c r="I30" i="14"/>
  <c r="I30" i="17"/>
  <c r="I31" i="28"/>
  <c r="X73" i="28" s="1"/>
  <c r="I31" i="16"/>
  <c r="I31" i="15"/>
  <c r="I31" i="14"/>
  <c r="I31" i="17"/>
  <c r="I32" i="28"/>
  <c r="AG74" i="28" s="1"/>
  <c r="I32" i="17"/>
  <c r="I32" i="16"/>
  <c r="I32" i="15"/>
  <c r="I32" i="14"/>
  <c r="I34" i="28"/>
  <c r="I34" i="17"/>
  <c r="I34" i="16"/>
  <c r="I34" i="15"/>
  <c r="I34" i="14"/>
  <c r="I36" i="28"/>
  <c r="AF78" i="28" s="1"/>
  <c r="I36" i="17"/>
  <c r="I36" i="16"/>
  <c r="I36" i="15"/>
  <c r="I36" i="14"/>
  <c r="I38" i="28"/>
  <c r="I38" i="16"/>
  <c r="I38" i="15"/>
  <c r="I38" i="14"/>
  <c r="I38" i="17"/>
  <c r="I39" i="28"/>
  <c r="AF81" i="28" s="1"/>
  <c r="I39" i="16"/>
  <c r="I39" i="15"/>
  <c r="I39" i="14"/>
  <c r="I39" i="17"/>
  <c r="I40" i="28"/>
  <c r="X82" i="28" s="1"/>
  <c r="I40" i="17"/>
  <c r="I40" i="16"/>
  <c r="I40" i="15"/>
  <c r="I40" i="14"/>
  <c r="P13" i="9"/>
  <c r="P16" i="9" s="1"/>
  <c r="I7" i="27"/>
  <c r="I7" i="10"/>
  <c r="V55" i="10" s="1"/>
  <c r="I7" i="12"/>
  <c r="I7" i="18"/>
  <c r="I7" i="13"/>
  <c r="I7" i="11"/>
  <c r="I12" i="27"/>
  <c r="I12" i="13"/>
  <c r="I12" i="11"/>
  <c r="I12" i="10"/>
  <c r="I12" i="12"/>
  <c r="I12" i="18"/>
  <c r="I19" i="27"/>
  <c r="I19" i="13"/>
  <c r="I19" i="11"/>
  <c r="I19" i="12"/>
  <c r="I19" i="18"/>
  <c r="I19" i="10"/>
  <c r="M19" i="10" s="1"/>
  <c r="I23" i="27"/>
  <c r="I23" i="12"/>
  <c r="I23" i="10"/>
  <c r="I23" i="18"/>
  <c r="I23" i="11"/>
  <c r="I23" i="13"/>
  <c r="I29" i="27"/>
  <c r="I29" i="13"/>
  <c r="I29" i="11"/>
  <c r="I29" i="12"/>
  <c r="I29" i="10"/>
  <c r="I29" i="18"/>
  <c r="I37" i="27"/>
  <c r="I37" i="13"/>
  <c r="I37" i="11"/>
  <c r="I37" i="12"/>
  <c r="I37" i="10"/>
  <c r="I37" i="18"/>
  <c r="I43" i="27"/>
  <c r="I43" i="13"/>
  <c r="I43" i="18"/>
  <c r="I43" i="12"/>
  <c r="I43" i="11"/>
  <c r="I43" i="10"/>
  <c r="I45" i="27"/>
  <c r="I45" i="13"/>
  <c r="I45" i="11"/>
  <c r="I45" i="12"/>
  <c r="I45" i="18"/>
  <c r="I45" i="10"/>
  <c r="I51" i="27"/>
  <c r="I51" i="13"/>
  <c r="I51" i="18"/>
  <c r="I51" i="12"/>
  <c r="I51" i="11"/>
  <c r="I51" i="10"/>
  <c r="I7" i="28"/>
  <c r="I7" i="16"/>
  <c r="I7" i="15"/>
  <c r="I7" i="14"/>
  <c r="P43" i="14" s="1"/>
  <c r="I7" i="17"/>
  <c r="I10" i="28"/>
  <c r="Z52" i="28" s="1"/>
  <c r="I10" i="17"/>
  <c r="I10" i="16"/>
  <c r="I10" i="15"/>
  <c r="I10" i="14"/>
  <c r="I15" i="28"/>
  <c r="I15" i="16"/>
  <c r="I15" i="15"/>
  <c r="I15" i="14"/>
  <c r="I15" i="17"/>
  <c r="I13" i="27"/>
  <c r="I13" i="13"/>
  <c r="I13" i="11"/>
  <c r="I13" i="10"/>
  <c r="I13" i="12"/>
  <c r="I13" i="18"/>
  <c r="I15" i="27"/>
  <c r="I15" i="12"/>
  <c r="I15" i="18"/>
  <c r="I15" i="13"/>
  <c r="I15" i="11"/>
  <c r="I15" i="10"/>
  <c r="AJ6" i="20"/>
  <c r="AT6" i="20"/>
  <c r="AT2" i="20"/>
  <c r="AT3" i="20"/>
  <c r="AJ3" i="20"/>
  <c r="AT5" i="20"/>
  <c r="AJ2" i="20"/>
  <c r="AJ7" i="20" s="1"/>
  <c r="AT4" i="20"/>
  <c r="AJ4" i="20"/>
  <c r="AA9" i="25"/>
  <c r="AO2" i="20"/>
  <c r="AA10" i="25"/>
  <c r="AO5" i="20"/>
  <c r="AA11" i="25"/>
  <c r="AC9" i="21"/>
  <c r="AC87" i="21"/>
  <c r="AC91" i="21"/>
  <c r="AC95" i="21"/>
  <c r="AC123" i="21"/>
  <c r="AC127" i="21"/>
  <c r="AC131" i="21"/>
  <c r="AA12" i="25"/>
  <c r="AC100" i="21"/>
  <c r="AC102" i="21"/>
  <c r="AC113" i="21"/>
  <c r="AC229" i="21"/>
  <c r="M576" i="25"/>
  <c r="AI4" i="25"/>
  <c r="AI6" i="25"/>
  <c r="AC75" i="21"/>
  <c r="AC77" i="21"/>
  <c r="AI6" i="21" s="1"/>
  <c r="AC79" i="21"/>
  <c r="AC81" i="21"/>
  <c r="AC83" i="21"/>
  <c r="AC85" i="21"/>
  <c r="AC108" i="21"/>
  <c r="AC110" i="21"/>
  <c r="AC134" i="21"/>
  <c r="AC220" i="21"/>
  <c r="AC228" i="21"/>
  <c r="AC101" i="21"/>
  <c r="AC103" i="21"/>
  <c r="AI8" i="25"/>
  <c r="AC17" i="21"/>
  <c r="AC25" i="21"/>
  <c r="AC33" i="21"/>
  <c r="AC41" i="21"/>
  <c r="AC49" i="21"/>
  <c r="AC57" i="21"/>
  <c r="AC65" i="21"/>
  <c r="AC73" i="21"/>
  <c r="AC116" i="21"/>
  <c r="AC118" i="21"/>
  <c r="AC140" i="21"/>
  <c r="AC142" i="21"/>
  <c r="AC223" i="21"/>
  <c r="AC230" i="21"/>
  <c r="D4" i="9"/>
  <c r="AZ64" i="27"/>
  <c r="AR64" i="27"/>
  <c r="AJ64" i="27"/>
  <c r="AY64" i="27"/>
  <c r="AQ64" i="27"/>
  <c r="AI64" i="27"/>
  <c r="AX64" i="27"/>
  <c r="AP64" i="27"/>
  <c r="AW64" i="27"/>
  <c r="AO64" i="27"/>
  <c r="BD64" i="27"/>
  <c r="AV64" i="27"/>
  <c r="AN64" i="27"/>
  <c r="BC64" i="27"/>
  <c r="AU64" i="27"/>
  <c r="AM64" i="27"/>
  <c r="BB64" i="27"/>
  <c r="AT64" i="27"/>
  <c r="AL64" i="27"/>
  <c r="BC72" i="27"/>
  <c r="AU72" i="27"/>
  <c r="AM72" i="27"/>
  <c r="BB72" i="27"/>
  <c r="AT72" i="27"/>
  <c r="AL72" i="27"/>
  <c r="BA72" i="27"/>
  <c r="AS72" i="27"/>
  <c r="AK72" i="27"/>
  <c r="AZ72" i="27"/>
  <c r="AR72" i="27"/>
  <c r="AJ72" i="27"/>
  <c r="AY72" i="27"/>
  <c r="AQ72" i="27"/>
  <c r="AI72" i="27"/>
  <c r="AX72" i="27"/>
  <c r="AP72" i="27"/>
  <c r="BD72" i="27"/>
  <c r="AV72" i="27"/>
  <c r="AN72" i="27"/>
  <c r="AW72" i="27"/>
  <c r="AO72" i="27"/>
  <c r="AZ80" i="27"/>
  <c r="AR80" i="27"/>
  <c r="AJ80" i="27"/>
  <c r="AY80" i="27"/>
  <c r="AQ80" i="27"/>
  <c r="AI80" i="27"/>
  <c r="R80" i="27"/>
  <c r="AX80" i="27"/>
  <c r="AP80" i="27"/>
  <c r="BD80" i="27"/>
  <c r="AV80" i="27"/>
  <c r="AN80" i="27"/>
  <c r="BC80" i="27"/>
  <c r="AM80" i="27"/>
  <c r="BB80" i="27"/>
  <c r="AL80" i="27"/>
  <c r="BA80" i="27"/>
  <c r="AK80" i="27"/>
  <c r="AW80" i="27"/>
  <c r="P80" i="27"/>
  <c r="AU80" i="27"/>
  <c r="AT80" i="27"/>
  <c r="AO80" i="27"/>
  <c r="AS80" i="27"/>
  <c r="BA88" i="27"/>
  <c r="AS88" i="27"/>
  <c r="AK88" i="27"/>
  <c r="AZ88" i="27"/>
  <c r="AR88" i="27"/>
  <c r="AJ88" i="27"/>
  <c r="AY88" i="27"/>
  <c r="AQ88" i="27"/>
  <c r="AI88" i="27"/>
  <c r="AX88" i="27"/>
  <c r="AP88" i="27"/>
  <c r="AW88" i="27"/>
  <c r="AO88" i="27"/>
  <c r="BD88" i="27"/>
  <c r="AV88" i="27"/>
  <c r="AN88" i="27"/>
  <c r="BC88" i="27"/>
  <c r="BB88" i="27"/>
  <c r="AU88" i="27"/>
  <c r="AT88" i="27"/>
  <c r="AM88" i="27"/>
  <c r="AZ96" i="27"/>
  <c r="AR96" i="27"/>
  <c r="AJ96" i="27"/>
  <c r="AY96" i="27"/>
  <c r="AQ96" i="27"/>
  <c r="AI96" i="27"/>
  <c r="AX96" i="27"/>
  <c r="AP96" i="27"/>
  <c r="AW96" i="27"/>
  <c r="AO96" i="27"/>
  <c r="BD96" i="27"/>
  <c r="AV96" i="27"/>
  <c r="AN96" i="27"/>
  <c r="BC96" i="27"/>
  <c r="AU96" i="27"/>
  <c r="AM96" i="27"/>
  <c r="BA96" i="27"/>
  <c r="AS96" i="27"/>
  <c r="AK96" i="27"/>
  <c r="AT96" i="27"/>
  <c r="AL96" i="27"/>
  <c r="BB96" i="27"/>
  <c r="BD57" i="27"/>
  <c r="AV57" i="27"/>
  <c r="AN57" i="27"/>
  <c r="BC57" i="27"/>
  <c r="AU57" i="27"/>
  <c r="AM57" i="27"/>
  <c r="BB57" i="27"/>
  <c r="AT57" i="27"/>
  <c r="AL57" i="27"/>
  <c r="AZ57" i="27"/>
  <c r="AR57" i="27"/>
  <c r="AJ57" i="27"/>
  <c r="AY57" i="27"/>
  <c r="AQ57" i="27"/>
  <c r="AI57" i="27"/>
  <c r="AX57" i="27"/>
  <c r="Q8" i="29" s="1"/>
  <c r="AP57" i="27"/>
  <c r="BD65" i="27"/>
  <c r="AV65" i="27"/>
  <c r="AN65" i="27"/>
  <c r="BC65" i="27"/>
  <c r="AU65" i="27"/>
  <c r="AM65" i="27"/>
  <c r="BB65" i="27"/>
  <c r="AT65" i="27"/>
  <c r="AL65" i="27"/>
  <c r="BA65" i="27"/>
  <c r="AS65" i="27"/>
  <c r="AK65" i="27"/>
  <c r="AZ65" i="27"/>
  <c r="AR65" i="27"/>
  <c r="AJ65" i="27"/>
  <c r="AY65" i="27"/>
  <c r="AQ65" i="27"/>
  <c r="AI65" i="27"/>
  <c r="AX65" i="27"/>
  <c r="AP65" i="27"/>
  <c r="AY73" i="27"/>
  <c r="AQ73" i="27"/>
  <c r="AI73" i="27"/>
  <c r="R73" i="27"/>
  <c r="AX73" i="27"/>
  <c r="AP73" i="27"/>
  <c r="AW73" i="27"/>
  <c r="AO73" i="27"/>
  <c r="P73" i="27"/>
  <c r="BD73" i="27"/>
  <c r="AV73" i="27"/>
  <c r="AN73" i="27"/>
  <c r="BC73" i="27"/>
  <c r="AU73" i="27"/>
  <c r="AM73" i="27"/>
  <c r="BB73" i="27"/>
  <c r="AT73" i="27"/>
  <c r="AL73" i="27"/>
  <c r="AZ73" i="27"/>
  <c r="AR73" i="27"/>
  <c r="AJ73" i="27"/>
  <c r="AK73" i="27"/>
  <c r="BA73" i="27"/>
  <c r="AW81" i="27"/>
  <c r="AO81" i="27"/>
  <c r="BD81" i="27"/>
  <c r="AV81" i="27"/>
  <c r="AN81" i="27"/>
  <c r="BC81" i="27"/>
  <c r="AU81" i="27"/>
  <c r="AM81" i="27"/>
  <c r="BB81" i="27"/>
  <c r="AT81" i="27"/>
  <c r="AL81" i="27"/>
  <c r="BA81" i="27"/>
  <c r="AS81" i="27"/>
  <c r="AZ81" i="27"/>
  <c r="AR81" i="27"/>
  <c r="AJ81" i="27"/>
  <c r="AX81" i="27"/>
  <c r="AQ81" i="27"/>
  <c r="AP81" i="27"/>
  <c r="AK81" i="27"/>
  <c r="AI81" i="27"/>
  <c r="R81" i="27"/>
  <c r="AY81" i="27"/>
  <c r="P81" i="27"/>
  <c r="AW89" i="27"/>
  <c r="AO89" i="27"/>
  <c r="BD89" i="27"/>
  <c r="AV89" i="27"/>
  <c r="AN89" i="27"/>
  <c r="BC89" i="27"/>
  <c r="AU89" i="27"/>
  <c r="AM89" i="27"/>
  <c r="BB89" i="27"/>
  <c r="AT89" i="27"/>
  <c r="AL89" i="27"/>
  <c r="BA89" i="27"/>
  <c r="AS89" i="27"/>
  <c r="AK89" i="27"/>
  <c r="AZ89" i="27"/>
  <c r="AR89" i="27"/>
  <c r="AJ89" i="27"/>
  <c r="AX89" i="27"/>
  <c r="AQ89" i="27"/>
  <c r="AP89" i="27"/>
  <c r="AI89" i="27"/>
  <c r="AY89" i="27"/>
  <c r="BD97" i="27"/>
  <c r="AV97" i="27"/>
  <c r="AN97" i="27"/>
  <c r="BC97" i="27"/>
  <c r="AU97" i="27"/>
  <c r="AM97" i="27"/>
  <c r="BB97" i="27"/>
  <c r="AT97" i="27"/>
  <c r="AL97" i="27"/>
  <c r="BA97" i="27"/>
  <c r="AS97" i="27"/>
  <c r="AK97" i="27"/>
  <c r="AZ97" i="27"/>
  <c r="AR97" i="27"/>
  <c r="AJ97" i="27"/>
  <c r="AY97" i="27"/>
  <c r="AQ97" i="27"/>
  <c r="AI97" i="27"/>
  <c r="AW97" i="27"/>
  <c r="AO97" i="27"/>
  <c r="AX97" i="27"/>
  <c r="AP97" i="27"/>
  <c r="AO57" i="27"/>
  <c r="AW59" i="27"/>
  <c r="AK60" i="27"/>
  <c r="AS62" i="27"/>
  <c r="AO65" i="27"/>
  <c r="AK68" i="27"/>
  <c r="AS73" i="27"/>
  <c r="AZ58" i="27"/>
  <c r="AR58" i="27"/>
  <c r="AJ58" i="27"/>
  <c r="AY58" i="27"/>
  <c r="AQ58" i="27"/>
  <c r="AI58" i="27"/>
  <c r="AX58" i="27"/>
  <c r="AP58" i="27"/>
  <c r="BD58" i="27"/>
  <c r="W8" i="29" s="1"/>
  <c r="AV58" i="27"/>
  <c r="AN58" i="27"/>
  <c r="BC58" i="27"/>
  <c r="AU58" i="27"/>
  <c r="AM58" i="27"/>
  <c r="BB58" i="27"/>
  <c r="AT58" i="27"/>
  <c r="AL58" i="27"/>
  <c r="AZ66" i="27"/>
  <c r="AR66" i="27"/>
  <c r="AJ66" i="27"/>
  <c r="AY66" i="27"/>
  <c r="AQ66" i="27"/>
  <c r="AI66" i="27"/>
  <c r="AX66" i="27"/>
  <c r="AP66" i="27"/>
  <c r="AW66" i="27"/>
  <c r="AO66" i="27"/>
  <c r="BD66" i="27"/>
  <c r="AV66" i="27"/>
  <c r="AN66" i="27"/>
  <c r="BC66" i="27"/>
  <c r="AU66" i="27"/>
  <c r="AM66" i="27"/>
  <c r="BB66" i="27"/>
  <c r="AT66" i="27"/>
  <c r="AL66" i="27"/>
  <c r="BC74" i="27"/>
  <c r="AU74" i="27"/>
  <c r="AM74" i="27"/>
  <c r="BB74" i="27"/>
  <c r="AT74" i="27"/>
  <c r="AL74" i="27"/>
  <c r="BA74" i="27"/>
  <c r="AS74" i="27"/>
  <c r="AK74" i="27"/>
  <c r="AZ74" i="27"/>
  <c r="AR74" i="27"/>
  <c r="AJ74" i="27"/>
  <c r="AY74" i="27"/>
  <c r="AQ74" i="27"/>
  <c r="AI74" i="27"/>
  <c r="R74" i="27"/>
  <c r="AX74" i="27"/>
  <c r="AP74" i="27"/>
  <c r="BD74" i="27"/>
  <c r="AV74" i="27"/>
  <c r="AN74" i="27"/>
  <c r="AW74" i="27"/>
  <c r="AO74" i="27"/>
  <c r="P74" i="27"/>
  <c r="BA82" i="27"/>
  <c r="AS82" i="27"/>
  <c r="AK82" i="27"/>
  <c r="AZ82" i="27"/>
  <c r="AR82" i="27"/>
  <c r="AJ82" i="27"/>
  <c r="AY82" i="27"/>
  <c r="AQ82" i="27"/>
  <c r="AI82" i="27"/>
  <c r="AX82" i="27"/>
  <c r="AP82" i="27"/>
  <c r="AW82" i="27"/>
  <c r="AO82" i="27"/>
  <c r="BD82" i="27"/>
  <c r="AV82" i="27"/>
  <c r="AN82" i="27"/>
  <c r="AL82" i="27"/>
  <c r="BC82" i="27"/>
  <c r="BB82" i="27"/>
  <c r="AU82" i="27"/>
  <c r="AM82" i="27"/>
  <c r="BA90" i="27"/>
  <c r="AS90" i="27"/>
  <c r="AK90" i="27"/>
  <c r="AZ90" i="27"/>
  <c r="AR90" i="27"/>
  <c r="AJ90" i="27"/>
  <c r="AY90" i="27"/>
  <c r="AQ90" i="27"/>
  <c r="AI90" i="27"/>
  <c r="AX90" i="27"/>
  <c r="AP90" i="27"/>
  <c r="AW90" i="27"/>
  <c r="AO90" i="27"/>
  <c r="BD90" i="27"/>
  <c r="AV90" i="27"/>
  <c r="AN90" i="27"/>
  <c r="AL90" i="27"/>
  <c r="BC90" i="27"/>
  <c r="BB90" i="27"/>
  <c r="AU90" i="27"/>
  <c r="AM90" i="27"/>
  <c r="AT90" i="27"/>
  <c r="AZ98" i="27"/>
  <c r="AR98" i="27"/>
  <c r="AJ98" i="27"/>
  <c r="AY98" i="27"/>
  <c r="AQ98" i="27"/>
  <c r="AI98" i="27"/>
  <c r="AX98" i="27"/>
  <c r="AP98" i="27"/>
  <c r="AW98" i="27"/>
  <c r="AO98" i="27"/>
  <c r="BD98" i="27"/>
  <c r="AV98" i="27"/>
  <c r="AN98" i="27"/>
  <c r="BC98" i="27"/>
  <c r="AU98" i="27"/>
  <c r="AM98" i="27"/>
  <c r="BA98" i="27"/>
  <c r="AS98" i="27"/>
  <c r="AK98" i="27"/>
  <c r="BB98" i="27"/>
  <c r="AT98" i="27"/>
  <c r="AL98" i="27"/>
  <c r="AS57" i="27"/>
  <c r="AO60" i="27"/>
  <c r="BA62" i="27"/>
  <c r="AW65" i="27"/>
  <c r="BD59" i="27"/>
  <c r="AV59" i="27"/>
  <c r="AN59" i="27"/>
  <c r="BC59" i="27"/>
  <c r="AU59" i="27"/>
  <c r="AM59" i="27"/>
  <c r="BB59" i="27"/>
  <c r="AT59" i="27"/>
  <c r="AL59" i="27"/>
  <c r="AZ59" i="27"/>
  <c r="AR59" i="27"/>
  <c r="AJ59" i="27"/>
  <c r="AY59" i="27"/>
  <c r="AQ59" i="27"/>
  <c r="AI59" i="27"/>
  <c r="AX59" i="27"/>
  <c r="AP59" i="27"/>
  <c r="BD67" i="27"/>
  <c r="AV67" i="27"/>
  <c r="AN67" i="27"/>
  <c r="BC67" i="27"/>
  <c r="AU67" i="27"/>
  <c r="AM67" i="27"/>
  <c r="BB67" i="27"/>
  <c r="AT67" i="27"/>
  <c r="AL67" i="27"/>
  <c r="BA67" i="27"/>
  <c r="AS67" i="27"/>
  <c r="AK67" i="27"/>
  <c r="AZ67" i="27"/>
  <c r="AR67" i="27"/>
  <c r="AJ67" i="27"/>
  <c r="AY67" i="27"/>
  <c r="AQ67" i="27"/>
  <c r="AI67" i="27"/>
  <c r="AX67" i="27"/>
  <c r="AP67" i="27"/>
  <c r="AY75" i="27"/>
  <c r="AQ75" i="27"/>
  <c r="AI75" i="27"/>
  <c r="R75" i="27"/>
  <c r="AX75" i="27"/>
  <c r="AP75" i="27"/>
  <c r="AW75" i="27"/>
  <c r="AO75" i="27"/>
  <c r="P75" i="27"/>
  <c r="BD75" i="27"/>
  <c r="AV75" i="27"/>
  <c r="AN75" i="27"/>
  <c r="BC75" i="27"/>
  <c r="AU75" i="27"/>
  <c r="AM75" i="27"/>
  <c r="BB75" i="27"/>
  <c r="AT75" i="27"/>
  <c r="AL75" i="27"/>
  <c r="AZ75" i="27"/>
  <c r="AR75" i="27"/>
  <c r="AJ75" i="27"/>
  <c r="BA75" i="27"/>
  <c r="AS75" i="27"/>
  <c r="AK75" i="27"/>
  <c r="AW83" i="27"/>
  <c r="AO83" i="27"/>
  <c r="BD83" i="27"/>
  <c r="AV83" i="27"/>
  <c r="AN83" i="27"/>
  <c r="BC83" i="27"/>
  <c r="AU83" i="27"/>
  <c r="AM83" i="27"/>
  <c r="BB83" i="27"/>
  <c r="AT83" i="27"/>
  <c r="AL83" i="27"/>
  <c r="BA83" i="27"/>
  <c r="AS83" i="27"/>
  <c r="AK83" i="27"/>
  <c r="AZ83" i="27"/>
  <c r="AR83" i="27"/>
  <c r="AJ83" i="27"/>
  <c r="AY83" i="27"/>
  <c r="AX83" i="27"/>
  <c r="AQ83" i="27"/>
  <c r="AP83" i="27"/>
  <c r="AI83" i="27"/>
  <c r="AW91" i="27"/>
  <c r="AO91" i="27"/>
  <c r="BD91" i="27"/>
  <c r="AV91" i="27"/>
  <c r="AN91" i="27"/>
  <c r="BC91" i="27"/>
  <c r="AU91" i="27"/>
  <c r="AM91" i="27"/>
  <c r="BB91" i="27"/>
  <c r="AT91" i="27"/>
  <c r="AL91" i="27"/>
  <c r="BA91" i="27"/>
  <c r="AS91" i="27"/>
  <c r="AK91" i="27"/>
  <c r="AZ91" i="27"/>
  <c r="AR91" i="27"/>
  <c r="AJ91" i="27"/>
  <c r="AY91" i="27"/>
  <c r="AX91" i="27"/>
  <c r="AQ91" i="27"/>
  <c r="AP91" i="27"/>
  <c r="AI91" i="27"/>
  <c r="BD99" i="27"/>
  <c r="AV99" i="27"/>
  <c r="AN99" i="27"/>
  <c r="BC99" i="27"/>
  <c r="AU99" i="27"/>
  <c r="AM99" i="27"/>
  <c r="BB99" i="27"/>
  <c r="AT99" i="27"/>
  <c r="AL99" i="27"/>
  <c r="BA99" i="27"/>
  <c r="AS99" i="27"/>
  <c r="AK99" i="27"/>
  <c r="AZ99" i="27"/>
  <c r="AR99" i="27"/>
  <c r="AJ99" i="27"/>
  <c r="AY99" i="27"/>
  <c r="AQ99" i="27"/>
  <c r="AI99" i="27"/>
  <c r="AW99" i="27"/>
  <c r="AO99" i="27"/>
  <c r="AP99" i="27"/>
  <c r="AX99" i="27"/>
  <c r="AW57" i="27"/>
  <c r="AK58" i="27"/>
  <c r="AO61" i="27"/>
  <c r="AK64" i="27"/>
  <c r="AZ60" i="27"/>
  <c r="AR60" i="27"/>
  <c r="AJ60" i="27"/>
  <c r="AY60" i="27"/>
  <c r="AQ60" i="27"/>
  <c r="J8" i="29" s="1"/>
  <c r="AI60" i="27"/>
  <c r="AX60" i="27"/>
  <c r="AP60" i="27"/>
  <c r="BD60" i="27"/>
  <c r="AV60" i="27"/>
  <c r="AN60" i="27"/>
  <c r="BC60" i="27"/>
  <c r="AU60" i="27"/>
  <c r="AM60" i="27"/>
  <c r="BB60" i="27"/>
  <c r="AT60" i="27"/>
  <c r="AL60" i="27"/>
  <c r="BB68" i="27"/>
  <c r="BA68" i="27"/>
  <c r="AZ68" i="27"/>
  <c r="BD68" i="27"/>
  <c r="BC68" i="27"/>
  <c r="AR68" i="27"/>
  <c r="AJ68" i="27"/>
  <c r="AY68" i="27"/>
  <c r="AQ68" i="27"/>
  <c r="AI68" i="27"/>
  <c r="AX68" i="27"/>
  <c r="AP68" i="27"/>
  <c r="AW68" i="27"/>
  <c r="AO68" i="27"/>
  <c r="AV68" i="27"/>
  <c r="AN68" i="27"/>
  <c r="AU68" i="27"/>
  <c r="AM68" i="27"/>
  <c r="AT68" i="27"/>
  <c r="AL68" i="27"/>
  <c r="BC76" i="27"/>
  <c r="AU76" i="27"/>
  <c r="AM76" i="27"/>
  <c r="BB76" i="27"/>
  <c r="AT76" i="27"/>
  <c r="AL76" i="27"/>
  <c r="BA76" i="27"/>
  <c r="AS76" i="27"/>
  <c r="AK76" i="27"/>
  <c r="AZ76" i="27"/>
  <c r="AR76" i="27"/>
  <c r="AJ76" i="27"/>
  <c r="AY76" i="27"/>
  <c r="AQ76" i="27"/>
  <c r="AI76" i="27"/>
  <c r="R76" i="27"/>
  <c r="AX76" i="27"/>
  <c r="AP76" i="27"/>
  <c r="BD76" i="27"/>
  <c r="AV76" i="27"/>
  <c r="AN76" i="27"/>
  <c r="P76" i="27"/>
  <c r="AW76" i="27"/>
  <c r="BA84" i="27"/>
  <c r="AS84" i="27"/>
  <c r="AK84" i="27"/>
  <c r="AZ84" i="27"/>
  <c r="AR84" i="27"/>
  <c r="AJ84" i="27"/>
  <c r="AY84" i="27"/>
  <c r="AQ84" i="27"/>
  <c r="AI84" i="27"/>
  <c r="AX84" i="27"/>
  <c r="AP84" i="27"/>
  <c r="AW84" i="27"/>
  <c r="AO84" i="27"/>
  <c r="BD84" i="27"/>
  <c r="AV84" i="27"/>
  <c r="AN84" i="27"/>
  <c r="AT84" i="27"/>
  <c r="AM84" i="27"/>
  <c r="AL84" i="27"/>
  <c r="BC84" i="27"/>
  <c r="AU84" i="27"/>
  <c r="BB84" i="27"/>
  <c r="BA92" i="27"/>
  <c r="AS92" i="27"/>
  <c r="AK92" i="27"/>
  <c r="AZ92" i="27"/>
  <c r="AR92" i="27"/>
  <c r="AJ92" i="27"/>
  <c r="AY92" i="27"/>
  <c r="AQ92" i="27"/>
  <c r="AI92" i="27"/>
  <c r="AX92" i="27"/>
  <c r="AP92" i="27"/>
  <c r="AW92" i="27"/>
  <c r="AO92" i="27"/>
  <c r="BD92" i="27"/>
  <c r="AV92" i="27"/>
  <c r="AN92" i="27"/>
  <c r="AT92" i="27"/>
  <c r="AM92" i="27"/>
  <c r="AL92" i="27"/>
  <c r="BC92" i="27"/>
  <c r="AU92" i="27"/>
  <c r="BB92" i="27"/>
  <c r="AQ100" i="27"/>
  <c r="AN100" i="27"/>
  <c r="AT100" i="27"/>
  <c r="BA57" i="27"/>
  <c r="AO58" i="27"/>
  <c r="AW60" i="27"/>
  <c r="AS64" i="27"/>
  <c r="AO67" i="27"/>
  <c r="BD61" i="27"/>
  <c r="AV61" i="27"/>
  <c r="AN61" i="27"/>
  <c r="BC61" i="27"/>
  <c r="AU61" i="27"/>
  <c r="AM61" i="27"/>
  <c r="BB61" i="27"/>
  <c r="AT61" i="27"/>
  <c r="AL61" i="27"/>
  <c r="BA61" i="27"/>
  <c r="AS61" i="27"/>
  <c r="AK61" i="27"/>
  <c r="AZ61" i="27"/>
  <c r="AR61" i="27"/>
  <c r="AJ61" i="27"/>
  <c r="AY61" i="27"/>
  <c r="AQ61" i="27"/>
  <c r="AI61" i="27"/>
  <c r="AX61" i="27"/>
  <c r="AP61" i="27"/>
  <c r="AX69" i="27"/>
  <c r="AP69" i="27"/>
  <c r="AW69" i="27"/>
  <c r="AO69" i="27"/>
  <c r="BD69" i="27"/>
  <c r="AV69" i="27"/>
  <c r="AN69" i="27"/>
  <c r="BB69" i="27"/>
  <c r="AT69" i="27"/>
  <c r="AL69" i="27"/>
  <c r="AZ69" i="27"/>
  <c r="AR69" i="27"/>
  <c r="AJ69" i="27"/>
  <c r="BA69" i="27"/>
  <c r="AY69" i="27"/>
  <c r="AU69" i="27"/>
  <c r="AS69" i="27"/>
  <c r="AQ69" i="27"/>
  <c r="AM69" i="27"/>
  <c r="AK69" i="27"/>
  <c r="AY77" i="27"/>
  <c r="AQ77" i="27"/>
  <c r="AI77" i="27"/>
  <c r="AX77" i="27"/>
  <c r="AP77" i="27"/>
  <c r="AW77" i="27"/>
  <c r="AO77" i="27"/>
  <c r="BD77" i="27"/>
  <c r="AV77" i="27"/>
  <c r="AN77" i="27"/>
  <c r="BC77" i="27"/>
  <c r="AU77" i="27"/>
  <c r="AM77" i="27"/>
  <c r="BB77" i="27"/>
  <c r="AT77" i="27"/>
  <c r="AL77" i="27"/>
  <c r="AZ77" i="27"/>
  <c r="AR77" i="27"/>
  <c r="AJ77" i="27"/>
  <c r="BA77" i="27"/>
  <c r="AS77" i="27"/>
  <c r="AK77" i="27"/>
  <c r="AW85" i="27"/>
  <c r="AO85" i="27"/>
  <c r="BD85" i="27"/>
  <c r="AV85" i="27"/>
  <c r="AN85" i="27"/>
  <c r="BC85" i="27"/>
  <c r="AU85" i="27"/>
  <c r="AM85" i="27"/>
  <c r="BB85" i="27"/>
  <c r="AT85" i="27"/>
  <c r="AL85" i="27"/>
  <c r="BA85" i="27"/>
  <c r="AS85" i="27"/>
  <c r="AK85" i="27"/>
  <c r="AZ85" i="27"/>
  <c r="AR85" i="27"/>
  <c r="AJ85" i="27"/>
  <c r="AY85" i="27"/>
  <c r="AX85" i="27"/>
  <c r="AQ85" i="27"/>
  <c r="AI85" i="27"/>
  <c r="AP85" i="27"/>
  <c r="BD93" i="27"/>
  <c r="AV93" i="27"/>
  <c r="BC93" i="27"/>
  <c r="BB93" i="27"/>
  <c r="BA93" i="27"/>
  <c r="AZ93" i="27"/>
  <c r="AW93" i="27"/>
  <c r="AY93" i="27"/>
  <c r="AO93" i="27"/>
  <c r="AX93" i="27"/>
  <c r="AN93" i="27"/>
  <c r="AU93" i="27"/>
  <c r="AM93" i="27"/>
  <c r="AT93" i="27"/>
  <c r="AL93" i="27"/>
  <c r="AS93" i="27"/>
  <c r="AK93" i="27"/>
  <c r="AR93" i="27"/>
  <c r="AJ93" i="27"/>
  <c r="AQ93" i="27"/>
  <c r="AI93" i="27"/>
  <c r="AP93" i="27"/>
  <c r="BD101" i="27"/>
  <c r="AV101" i="27"/>
  <c r="AN101" i="27"/>
  <c r="BC101" i="27"/>
  <c r="AU101" i="27"/>
  <c r="AM101" i="27"/>
  <c r="BB101" i="27"/>
  <c r="AT101" i="27"/>
  <c r="AL101" i="27"/>
  <c r="BA101" i="27"/>
  <c r="AS101" i="27"/>
  <c r="AK101" i="27"/>
  <c r="AZ101" i="27"/>
  <c r="AR101" i="27"/>
  <c r="AJ101" i="27"/>
  <c r="AY101" i="27"/>
  <c r="AQ101" i="27"/>
  <c r="AI101" i="27"/>
  <c r="AW101" i="27"/>
  <c r="AO101" i="27"/>
  <c r="AX101" i="27"/>
  <c r="AP101" i="27"/>
  <c r="AS58" i="27"/>
  <c r="BA60" i="27"/>
  <c r="BA64" i="27"/>
  <c r="AW67" i="27"/>
  <c r="BC69" i="27"/>
  <c r="AZ62" i="27"/>
  <c r="AR62" i="27"/>
  <c r="K8" i="29" s="1"/>
  <c r="AJ62" i="27"/>
  <c r="AY62" i="27"/>
  <c r="AQ62" i="27"/>
  <c r="AI62" i="27"/>
  <c r="AX62" i="27"/>
  <c r="AP62" i="27"/>
  <c r="AW62" i="27"/>
  <c r="AO62" i="27"/>
  <c r="BD62" i="27"/>
  <c r="AV62" i="27"/>
  <c r="AN62" i="27"/>
  <c r="G8" i="29" s="1"/>
  <c r="BC62" i="27"/>
  <c r="AU62" i="27"/>
  <c r="AM62" i="27"/>
  <c r="BB62" i="27"/>
  <c r="AT62" i="27"/>
  <c r="AL62" i="27"/>
  <c r="BB70" i="27"/>
  <c r="AJ70" i="27"/>
  <c r="AU70" i="27"/>
  <c r="BC78" i="27"/>
  <c r="AU78" i="27"/>
  <c r="AM78" i="27"/>
  <c r="BB78" i="27"/>
  <c r="AT78" i="27"/>
  <c r="AL78" i="27"/>
  <c r="BA78" i="27"/>
  <c r="AS78" i="27"/>
  <c r="AK78" i="27"/>
  <c r="AZ78" i="27"/>
  <c r="AR78" i="27"/>
  <c r="AJ78" i="27"/>
  <c r="AY78" i="27"/>
  <c r="AQ78" i="27"/>
  <c r="AI78" i="27"/>
  <c r="R78" i="27"/>
  <c r="AX78" i="27"/>
  <c r="AP78" i="27"/>
  <c r="BD78" i="27"/>
  <c r="AV78" i="27"/>
  <c r="AN78" i="27"/>
  <c r="AW78" i="27"/>
  <c r="AO78" i="27"/>
  <c r="BA86" i="27"/>
  <c r="AS86" i="27"/>
  <c r="AK86" i="27"/>
  <c r="AZ86" i="27"/>
  <c r="AR86" i="27"/>
  <c r="AJ86" i="27"/>
  <c r="AY86" i="27"/>
  <c r="AQ86" i="27"/>
  <c r="AI86" i="27"/>
  <c r="AX86" i="27"/>
  <c r="AP86" i="27"/>
  <c r="AW86" i="27"/>
  <c r="AO86" i="27"/>
  <c r="BD86" i="27"/>
  <c r="AV86" i="27"/>
  <c r="AN86" i="27"/>
  <c r="BB86" i="27"/>
  <c r="AU86" i="27"/>
  <c r="AT86" i="27"/>
  <c r="AM86" i="27"/>
  <c r="AL86" i="27"/>
  <c r="BC86" i="27"/>
  <c r="AZ94" i="27"/>
  <c r="AR94" i="27"/>
  <c r="AJ94" i="27"/>
  <c r="AY94" i="27"/>
  <c r="AQ94" i="27"/>
  <c r="AI94" i="27"/>
  <c r="AX94" i="27"/>
  <c r="AP94" i="27"/>
  <c r="AW94" i="27"/>
  <c r="AO94" i="27"/>
  <c r="BD94" i="27"/>
  <c r="AV94" i="27"/>
  <c r="AN94" i="27"/>
  <c r="BC94" i="27"/>
  <c r="AU94" i="27"/>
  <c r="AM94" i="27"/>
  <c r="BA94" i="27"/>
  <c r="AS94" i="27"/>
  <c r="AK94" i="27"/>
  <c r="BB94" i="27"/>
  <c r="AT94" i="27"/>
  <c r="AL94" i="27"/>
  <c r="AZ102" i="27"/>
  <c r="AR102" i="27"/>
  <c r="AJ102" i="27"/>
  <c r="AY102" i="27"/>
  <c r="AQ102" i="27"/>
  <c r="AI102" i="27"/>
  <c r="AX102" i="27"/>
  <c r="AP102" i="27"/>
  <c r="AW102" i="27"/>
  <c r="AO102" i="27"/>
  <c r="BD102" i="27"/>
  <c r="AV102" i="27"/>
  <c r="AN102" i="27"/>
  <c r="BC102" i="27"/>
  <c r="AU102" i="27"/>
  <c r="AM102" i="27"/>
  <c r="BA102" i="27"/>
  <c r="AS102" i="27"/>
  <c r="AK102" i="27"/>
  <c r="AL102" i="27"/>
  <c r="AT102" i="27"/>
  <c r="BB102" i="27"/>
  <c r="AW58" i="27"/>
  <c r="AK59" i="27"/>
  <c r="AK66" i="27"/>
  <c r="AT82" i="27"/>
  <c r="BD63" i="27"/>
  <c r="AV63" i="27"/>
  <c r="AN63" i="27"/>
  <c r="BC63" i="27"/>
  <c r="AU63" i="27"/>
  <c r="AM63" i="27"/>
  <c r="BB63" i="27"/>
  <c r="U8" i="29" s="1"/>
  <c r="AT63" i="27"/>
  <c r="AL63" i="27"/>
  <c r="BA63" i="27"/>
  <c r="AS63" i="27"/>
  <c r="AK63" i="27"/>
  <c r="AZ63" i="27"/>
  <c r="AR63" i="27"/>
  <c r="AJ63" i="27"/>
  <c r="AY63" i="27"/>
  <c r="AQ63" i="27"/>
  <c r="AI63" i="27"/>
  <c r="AX63" i="27"/>
  <c r="AP63" i="27"/>
  <c r="AY71" i="27"/>
  <c r="AQ71" i="27"/>
  <c r="AI71" i="27"/>
  <c r="AX71" i="27"/>
  <c r="AP71" i="27"/>
  <c r="AW71" i="27"/>
  <c r="AO71" i="27"/>
  <c r="BD71" i="27"/>
  <c r="AV71" i="27"/>
  <c r="AN71" i="27"/>
  <c r="BC71" i="27"/>
  <c r="AU71" i="27"/>
  <c r="AM71" i="27"/>
  <c r="BB71" i="27"/>
  <c r="AT71" i="27"/>
  <c r="AL71" i="27"/>
  <c r="AZ71" i="27"/>
  <c r="AR71" i="27"/>
  <c r="AJ71" i="27"/>
  <c r="BA71" i="27"/>
  <c r="AS71" i="27"/>
  <c r="AK71" i="27"/>
  <c r="BD79" i="27"/>
  <c r="BC79" i="27"/>
  <c r="BB79" i="27"/>
  <c r="AZ79" i="27"/>
  <c r="AY79" i="27"/>
  <c r="AQ79" i="27"/>
  <c r="AI79" i="27"/>
  <c r="R79" i="27"/>
  <c r="AX79" i="27"/>
  <c r="AP79" i="27"/>
  <c r="AW79" i="27"/>
  <c r="AO79" i="27"/>
  <c r="P79" i="27"/>
  <c r="AV79" i="27"/>
  <c r="AN79" i="27"/>
  <c r="AU79" i="27"/>
  <c r="AM79" i="27"/>
  <c r="AT79" i="27"/>
  <c r="AL79" i="27"/>
  <c r="BA79" i="27"/>
  <c r="AR79" i="27"/>
  <c r="AJ79" i="27"/>
  <c r="AS79" i="27"/>
  <c r="AW87" i="27"/>
  <c r="AO87" i="27"/>
  <c r="BD87" i="27"/>
  <c r="AV87" i="27"/>
  <c r="AN87" i="27"/>
  <c r="BC87" i="27"/>
  <c r="AU87" i="27"/>
  <c r="AM87" i="27"/>
  <c r="BB87" i="27"/>
  <c r="AT87" i="27"/>
  <c r="AL87" i="27"/>
  <c r="BA87" i="27"/>
  <c r="AS87" i="27"/>
  <c r="AK87" i="27"/>
  <c r="AZ87" i="27"/>
  <c r="AR87" i="27"/>
  <c r="AJ87" i="27"/>
  <c r="AP87" i="27"/>
  <c r="AI87" i="27"/>
  <c r="AY87" i="27"/>
  <c r="AQ87" i="27"/>
  <c r="AX87" i="27"/>
  <c r="BD95" i="27"/>
  <c r="AV95" i="27"/>
  <c r="AN95" i="27"/>
  <c r="BC95" i="27"/>
  <c r="AU95" i="27"/>
  <c r="AM95" i="27"/>
  <c r="BB95" i="27"/>
  <c r="AT95" i="27"/>
  <c r="AL95" i="27"/>
  <c r="BA95" i="27"/>
  <c r="AS95" i="27"/>
  <c r="AK95" i="27"/>
  <c r="AZ95" i="27"/>
  <c r="AR95" i="27"/>
  <c r="AJ95" i="27"/>
  <c r="AY95" i="27"/>
  <c r="AQ95" i="27"/>
  <c r="AI95" i="27"/>
  <c r="AW95" i="27"/>
  <c r="AO95" i="27"/>
  <c r="AX95" i="27"/>
  <c r="AP95" i="27"/>
  <c r="BD103" i="27"/>
  <c r="AV103" i="27"/>
  <c r="AN103" i="27"/>
  <c r="BC103" i="27"/>
  <c r="AU103" i="27"/>
  <c r="AM103" i="27"/>
  <c r="BB103" i="27"/>
  <c r="AT103" i="27"/>
  <c r="AL103" i="27"/>
  <c r="BA103" i="27"/>
  <c r="AS103" i="27"/>
  <c r="AK103" i="27"/>
  <c r="AZ103" i="27"/>
  <c r="AR103" i="27"/>
  <c r="AJ103" i="27"/>
  <c r="AY103" i="27"/>
  <c r="AQ103" i="27"/>
  <c r="AI103" i="27"/>
  <c r="AW103" i="27"/>
  <c r="AO103" i="27"/>
  <c r="AX103" i="27"/>
  <c r="AP103" i="27"/>
  <c r="BA58" i="27"/>
  <c r="AO59" i="27"/>
  <c r="H8" i="29" s="1"/>
  <c r="AW63" i="27"/>
  <c r="AS66" i="27"/>
  <c r="AL88" i="27"/>
  <c r="AH48" i="28"/>
  <c r="Z48" i="28"/>
  <c r="AG48" i="28"/>
  <c r="Y48" i="28"/>
  <c r="AF48" i="28"/>
  <c r="X48" i="28"/>
  <c r="AE48" i="28"/>
  <c r="AD48" i="28"/>
  <c r="AC48" i="28"/>
  <c r="AA48" i="28"/>
  <c r="AB48" i="28"/>
  <c r="AC56" i="28"/>
  <c r="AB56" i="28"/>
  <c r="AA56" i="28"/>
  <c r="AG56" i="28"/>
  <c r="Y56" i="28"/>
  <c r="AF56" i="28"/>
  <c r="X56" i="28"/>
  <c r="AE56" i="28"/>
  <c r="AH56" i="28"/>
  <c r="AD56" i="28"/>
  <c r="Z56" i="28"/>
  <c r="AC64" i="28"/>
  <c r="AB64" i="28"/>
  <c r="AA64" i="28"/>
  <c r="AG64" i="28"/>
  <c r="Y64" i="28"/>
  <c r="AF64" i="28"/>
  <c r="X64" i="28"/>
  <c r="AE64" i="28"/>
  <c r="AD64" i="28"/>
  <c r="Z64" i="28"/>
  <c r="AH64" i="28"/>
  <c r="AE72" i="28"/>
  <c r="AA72" i="28"/>
  <c r="AH72" i="28"/>
  <c r="X72" i="28"/>
  <c r="AG72" i="28"/>
  <c r="AF72" i="28"/>
  <c r="AC72" i="28"/>
  <c r="AB72" i="28"/>
  <c r="Z72" i="28"/>
  <c r="AD72" i="28"/>
  <c r="Y72" i="28"/>
  <c r="AE80" i="28"/>
  <c r="AA80" i="28"/>
  <c r="AC80" i="28"/>
  <c r="AB80" i="28"/>
  <c r="Z80" i="28"/>
  <c r="Y80" i="28"/>
  <c r="AH80" i="28"/>
  <c r="X80" i="28"/>
  <c r="AG80" i="28"/>
  <c r="AF80" i="28"/>
  <c r="AD80" i="28"/>
  <c r="AA55" i="28"/>
  <c r="AH55" i="28"/>
  <c r="Z55" i="28"/>
  <c r="AG55" i="28"/>
  <c r="Y55" i="28"/>
  <c r="AE55" i="28"/>
  <c r="AD55" i="28"/>
  <c r="AC55" i="28"/>
  <c r="AA63" i="28"/>
  <c r="AH63" i="28"/>
  <c r="Z63" i="28"/>
  <c r="AG63" i="28"/>
  <c r="Y63" i="28"/>
  <c r="AE63" i="28"/>
  <c r="AD63" i="28"/>
  <c r="AC63" i="28"/>
  <c r="AC71" i="28"/>
  <c r="AG71" i="28"/>
  <c r="Y71" i="28"/>
  <c r="X71" i="28"/>
  <c r="AH71" i="28"/>
  <c r="AF71" i="28"/>
  <c r="AD71" i="28"/>
  <c r="AB71" i="28"/>
  <c r="AA71" i="28"/>
  <c r="AB79" i="28"/>
  <c r="Y47" i="28"/>
  <c r="AG47" i="28"/>
  <c r="Z50" i="28"/>
  <c r="AD54" i="28"/>
  <c r="Z60" i="28"/>
  <c r="X63" i="28"/>
  <c r="AE49" i="28"/>
  <c r="AC49" i="28"/>
  <c r="AA49" i="28"/>
  <c r="AG49" i="28"/>
  <c r="AE57" i="28"/>
  <c r="AD57" i="28"/>
  <c r="AC57" i="28"/>
  <c r="AA57" i="28"/>
  <c r="AH57" i="28"/>
  <c r="Z57" i="28"/>
  <c r="AG57" i="28"/>
  <c r="Y57" i="28"/>
  <c r="AE65" i="28"/>
  <c r="AD65" i="28"/>
  <c r="AC65" i="28"/>
  <c r="AA65" i="28"/>
  <c r="AH65" i="28"/>
  <c r="Z65" i="28"/>
  <c r="AG65" i="28"/>
  <c r="Y65" i="28"/>
  <c r="AG73" i="28"/>
  <c r="Y73" i="28"/>
  <c r="AC73" i="28"/>
  <c r="AH73" i="28"/>
  <c r="AF73" i="28"/>
  <c r="AE73" i="28"/>
  <c r="AB73" i="28"/>
  <c r="AA73" i="28"/>
  <c r="Z73" i="28"/>
  <c r="AA81" i="28"/>
  <c r="AG81" i="28"/>
  <c r="Y81" i="28"/>
  <c r="AC81" i="28"/>
  <c r="AE81" i="28"/>
  <c r="AD81" i="28"/>
  <c r="AB81" i="28"/>
  <c r="Z81" i="28"/>
  <c r="X81" i="28"/>
  <c r="AH81" i="28"/>
  <c r="AA47" i="28"/>
  <c r="AB53" i="28"/>
  <c r="AF63" i="28"/>
  <c r="AE71" i="28"/>
  <c r="AD73" i="28"/>
  <c r="AB75" i="28"/>
  <c r="AG50" i="28"/>
  <c r="Y50" i="28"/>
  <c r="AF50" i="28"/>
  <c r="AE50" i="28"/>
  <c r="AC50" i="28"/>
  <c r="AA50" i="28"/>
  <c r="AG58" i="28"/>
  <c r="Y58" i="28"/>
  <c r="AF58" i="28"/>
  <c r="X58" i="28"/>
  <c r="AE58" i="28"/>
  <c r="AC58" i="28"/>
  <c r="AB58" i="28"/>
  <c r="AA58" i="28"/>
  <c r="AG66" i="28"/>
  <c r="Y66" i="28"/>
  <c r="AF66" i="28"/>
  <c r="X66" i="28"/>
  <c r="AE66" i="28"/>
  <c r="AC66" i="28"/>
  <c r="AB66" i="28"/>
  <c r="AA66" i="28"/>
  <c r="AA74" i="28"/>
  <c r="AC82" i="28"/>
  <c r="AA82" i="28"/>
  <c r="AE82" i="28"/>
  <c r="AH82" i="28"/>
  <c r="AG82" i="28"/>
  <c r="AF82" i="28"/>
  <c r="AD82" i="28"/>
  <c r="AB82" i="28"/>
  <c r="Z82" i="28"/>
  <c r="Y82" i="28"/>
  <c r="AB47" i="28"/>
  <c r="F8" i="30" s="1"/>
  <c r="X49" i="28"/>
  <c r="AH50" i="28"/>
  <c r="X65" i="28"/>
  <c r="AH66" i="28"/>
  <c r="AA51" i="28"/>
  <c r="AH51" i="28"/>
  <c r="Z51" i="28"/>
  <c r="AG51" i="28"/>
  <c r="Y51" i="28"/>
  <c r="AE51" i="28"/>
  <c r="AD51" i="28"/>
  <c r="AC51" i="28"/>
  <c r="AA59" i="28"/>
  <c r="AA67" i="28"/>
  <c r="AH67" i="28"/>
  <c r="Z67" i="28"/>
  <c r="AG67" i="28"/>
  <c r="Y67" i="28"/>
  <c r="AE67" i="28"/>
  <c r="AD67" i="28"/>
  <c r="AC67" i="28"/>
  <c r="AC75" i="28"/>
  <c r="AG75" i="28"/>
  <c r="Y75" i="28"/>
  <c r="AF75" i="28"/>
  <c r="AE75" i="28"/>
  <c r="AD75" i="28"/>
  <c r="AA75" i="28"/>
  <c r="Z75" i="28"/>
  <c r="X75" i="28"/>
  <c r="AE83" i="28"/>
  <c r="AC83" i="28"/>
  <c r="AG83" i="28"/>
  <c r="Y83" i="28"/>
  <c r="Z83" i="28"/>
  <c r="X83" i="28"/>
  <c r="AH83" i="28"/>
  <c r="AF83" i="28"/>
  <c r="AD83" i="28"/>
  <c r="AB83" i="28"/>
  <c r="AC47" i="28"/>
  <c r="Y49" i="28"/>
  <c r="X55" i="28"/>
  <c r="AB65" i="28"/>
  <c r="AC52" i="28"/>
  <c r="AB52" i="28"/>
  <c r="AA52" i="28"/>
  <c r="AG52" i="28"/>
  <c r="Y52" i="28"/>
  <c r="AF52" i="28"/>
  <c r="X52" i="28"/>
  <c r="AE52" i="28"/>
  <c r="AC60" i="28"/>
  <c r="AB60" i="28"/>
  <c r="AA60" i="28"/>
  <c r="AG60" i="28"/>
  <c r="Y60" i="28"/>
  <c r="AF60" i="28"/>
  <c r="X60" i="28"/>
  <c r="AE60" i="28"/>
  <c r="AC68" i="28"/>
  <c r="AB68" i="28"/>
  <c r="AA68" i="28"/>
  <c r="AG68" i="28"/>
  <c r="Y68" i="28"/>
  <c r="AF68" i="28"/>
  <c r="X68" i="28"/>
  <c r="AE68" i="28"/>
  <c r="AE76" i="28"/>
  <c r="AA76" i="28"/>
  <c r="AF76" i="28"/>
  <c r="AD76" i="28"/>
  <c r="AC76" i="28"/>
  <c r="AB76" i="28"/>
  <c r="Z76" i="28"/>
  <c r="Y76" i="28"/>
  <c r="AH76" i="28"/>
  <c r="X76" i="28"/>
  <c r="AD47" i="28"/>
  <c r="Z49" i="28"/>
  <c r="AD52" i="28"/>
  <c r="AB55" i="28"/>
  <c r="Z58" i="28"/>
  <c r="AF65" i="28"/>
  <c r="AD68" i="28"/>
  <c r="Z70" i="28"/>
  <c r="AE53" i="28"/>
  <c r="AD53" i="28"/>
  <c r="AC53" i="28"/>
  <c r="AA53" i="28"/>
  <c r="AH53" i="28"/>
  <c r="Z53" i="28"/>
  <c r="AG53" i="28"/>
  <c r="Y53" i="28"/>
  <c r="AE61" i="28"/>
  <c r="AD61" i="28"/>
  <c r="AC61" i="28"/>
  <c r="AA61" i="28"/>
  <c r="AH61" i="28"/>
  <c r="Z61" i="28"/>
  <c r="AG61" i="28"/>
  <c r="Y61" i="28"/>
  <c r="AG69" i="28"/>
  <c r="Y69" i="28"/>
  <c r="AC69" i="28"/>
  <c r="Z69" i="28"/>
  <c r="X69" i="28"/>
  <c r="AH69" i="28"/>
  <c r="AE69" i="28"/>
  <c r="AD69" i="28"/>
  <c r="AB69" i="28"/>
  <c r="AG77" i="28"/>
  <c r="Y77" i="28"/>
  <c r="AC77" i="28"/>
  <c r="AE77" i="28"/>
  <c r="AD77" i="28"/>
  <c r="AB77" i="28"/>
  <c r="AA77" i="28"/>
  <c r="Z77" i="28"/>
  <c r="X77" i="28"/>
  <c r="AH77" i="28"/>
  <c r="AE47" i="28"/>
  <c r="I8" i="30" s="1"/>
  <c r="AB49" i="28"/>
  <c r="X51" i="28"/>
  <c r="AH52" i="28"/>
  <c r="AF55" i="28"/>
  <c r="AD58" i="28"/>
  <c r="AB61" i="28"/>
  <c r="X67" i="28"/>
  <c r="AH68" i="28"/>
  <c r="AG76" i="28"/>
  <c r="AG54" i="28"/>
  <c r="Y54" i="28"/>
  <c r="AF54" i="28"/>
  <c r="X54" i="28"/>
  <c r="AE54" i="28"/>
  <c r="AC54" i="28"/>
  <c r="AB54" i="28"/>
  <c r="AA54" i="28"/>
  <c r="AC62" i="28"/>
  <c r="AA70" i="28"/>
  <c r="AE70" i="28"/>
  <c r="Y70" i="28"/>
  <c r="AH70" i="28"/>
  <c r="X70" i="28"/>
  <c r="AG70" i="28"/>
  <c r="AD70" i="28"/>
  <c r="AC70" i="28"/>
  <c r="AB70" i="28"/>
  <c r="AA78" i="28"/>
  <c r="AE78" i="28"/>
  <c r="AD78" i="28"/>
  <c r="AC78" i="28"/>
  <c r="AB78" i="28"/>
  <c r="Z78" i="28"/>
  <c r="Y78" i="28"/>
  <c r="AH78" i="28"/>
  <c r="X78" i="28"/>
  <c r="AG78" i="28"/>
  <c r="X47" i="28"/>
  <c r="AD49" i="28"/>
  <c r="X50" i="28"/>
  <c r="AB51" i="28"/>
  <c r="Z54" i="28"/>
  <c r="X57" i="28"/>
  <c r="AH58" i="28"/>
  <c r="AF61" i="28"/>
  <c r="AB67" i="28"/>
  <c r="N8" i="29"/>
  <c r="E8" i="30"/>
  <c r="C8" i="30"/>
  <c r="Z4" i="25"/>
  <c r="AH4" i="25" s="1"/>
  <c r="Z13" i="25"/>
  <c r="AH13" i="25" s="1"/>
  <c r="AJ6" i="25"/>
  <c r="AJ4" i="25"/>
  <c r="AJ13" i="25"/>
  <c r="Z5" i="25"/>
  <c r="AH5" i="25" s="1"/>
  <c r="Z8" i="25"/>
  <c r="AH8" i="25" s="1"/>
  <c r="AJ8" i="25"/>
  <c r="Z6" i="25"/>
  <c r="AH6" i="25" s="1"/>
  <c r="U9" i="25"/>
  <c r="AI9" i="25" s="1"/>
  <c r="M2" i="25"/>
  <c r="R9" i="25"/>
  <c r="R10" i="25"/>
  <c r="U11" i="25"/>
  <c r="AI11" i="25" s="1"/>
  <c r="M370" i="25"/>
  <c r="U10" i="25" s="1"/>
  <c r="AI10" i="25" s="1"/>
  <c r="R11" i="25"/>
  <c r="AJ3" i="25"/>
  <c r="U12" i="25"/>
  <c r="AI12" i="25" s="1"/>
  <c r="AI5" i="25"/>
  <c r="AJ5" i="25"/>
  <c r="Y5" i="25"/>
  <c r="AG5" i="25" s="1"/>
  <c r="X3" i="25"/>
  <c r="AF3" i="25" s="1"/>
  <c r="Z3" i="25"/>
  <c r="AH3" i="25" s="1"/>
  <c r="X5" i="25"/>
  <c r="AF5" i="25" s="1"/>
  <c r="X8" i="25"/>
  <c r="AF8" i="25" s="1"/>
  <c r="AJ5" i="20"/>
  <c r="AO8" i="20"/>
  <c r="AC167" i="21"/>
  <c r="AC175" i="21"/>
  <c r="AC196" i="21"/>
  <c r="AC204" i="21"/>
  <c r="AC212" i="21"/>
  <c r="AC2" i="21"/>
  <c r="AI2" i="21" s="1"/>
  <c r="AC4" i="21"/>
  <c r="AC6" i="21"/>
  <c r="AC8" i="21"/>
  <c r="AC10" i="21"/>
  <c r="AC12" i="21"/>
  <c r="AC14" i="21"/>
  <c r="AC16" i="21"/>
  <c r="AC18" i="21"/>
  <c r="AC20" i="21"/>
  <c r="AC22" i="21"/>
  <c r="AC24" i="21"/>
  <c r="AC26" i="21"/>
  <c r="AC28" i="21"/>
  <c r="AC30" i="21"/>
  <c r="AC32" i="21"/>
  <c r="AC34" i="21"/>
  <c r="AC36" i="21"/>
  <c r="AC38" i="21"/>
  <c r="AC40" i="21"/>
  <c r="AC42" i="21"/>
  <c r="AC44" i="21"/>
  <c r="AC46" i="21"/>
  <c r="AC48" i="21"/>
  <c r="AC50" i="21"/>
  <c r="AC52" i="21"/>
  <c r="AC54" i="21"/>
  <c r="AC56" i="21"/>
  <c r="AC58" i="21"/>
  <c r="AC60" i="21"/>
  <c r="AC62" i="21"/>
  <c r="AC64" i="21"/>
  <c r="AC66" i="21"/>
  <c r="AC68" i="21"/>
  <c r="AC172" i="21"/>
  <c r="AC152" i="21"/>
  <c r="AC160" i="21"/>
  <c r="AC168" i="21"/>
  <c r="AC176" i="21"/>
  <c r="AC184" i="21"/>
  <c r="AC192" i="21"/>
  <c r="AC200" i="21"/>
  <c r="AC208" i="21"/>
  <c r="AC216" i="21"/>
  <c r="AO7" i="20"/>
  <c r="AC149" i="21"/>
  <c r="AC157" i="21"/>
  <c r="AC165" i="21"/>
  <c r="AC173" i="21"/>
  <c r="AC181" i="21"/>
  <c r="AC189" i="21"/>
  <c r="AC197" i="21"/>
  <c r="AC205" i="21"/>
  <c r="AC213" i="21"/>
  <c r="AT7" i="20"/>
  <c r="AC70" i="21"/>
  <c r="AC72" i="21"/>
  <c r="AC146" i="21"/>
  <c r="AC154" i="21"/>
  <c r="AC162" i="21"/>
  <c r="AC170" i="21"/>
  <c r="AC178" i="21"/>
  <c r="AC186" i="21"/>
  <c r="AC194" i="21"/>
  <c r="AC202" i="21"/>
  <c r="AC210" i="21"/>
  <c r="AC218" i="21"/>
  <c r="AT8" i="20"/>
  <c r="AC191" i="21"/>
  <c r="AC199" i="21"/>
  <c r="AC207" i="21"/>
  <c r="AC215" i="21"/>
  <c r="AC153" i="21"/>
  <c r="AC161" i="21"/>
  <c r="AC169" i="21"/>
  <c r="AC177" i="21"/>
  <c r="AC185" i="21"/>
  <c r="AC193" i="21"/>
  <c r="AC201" i="21"/>
  <c r="AC209" i="21"/>
  <c r="AC217" i="21"/>
  <c r="AC150" i="21"/>
  <c r="AC158" i="21"/>
  <c r="AC166" i="21"/>
  <c r="AC174" i="21"/>
  <c r="AC182" i="21"/>
  <c r="AC190" i="21"/>
  <c r="AC198" i="21"/>
  <c r="AC206" i="21"/>
  <c r="AC214" i="21"/>
  <c r="AC147" i="21"/>
  <c r="AI8" i="21" s="1"/>
  <c r="AC155" i="21"/>
  <c r="AC163" i="21"/>
  <c r="AC171" i="21"/>
  <c r="AC179" i="21"/>
  <c r="AC187" i="21"/>
  <c r="AC195" i="21"/>
  <c r="AC203" i="21"/>
  <c r="AC211" i="21"/>
  <c r="AG56" i="13"/>
  <c r="AG56" i="12"/>
  <c r="AG58" i="10"/>
  <c r="AG56" i="11"/>
  <c r="Y46" i="17"/>
  <c r="Y46" i="16"/>
  <c r="Y46" i="14"/>
  <c r="Y46" i="15"/>
  <c r="Z56" i="13"/>
  <c r="Z56" i="12"/>
  <c r="Z58" i="10"/>
  <c r="Z56" i="11"/>
  <c r="AI55" i="13"/>
  <c r="AI55" i="12"/>
  <c r="AI55" i="11"/>
  <c r="AI57" i="10"/>
  <c r="AA56" i="13"/>
  <c r="AA56" i="12"/>
  <c r="AA58" i="10"/>
  <c r="AA56" i="11"/>
  <c r="AB55" i="13"/>
  <c r="AB55" i="12"/>
  <c r="AB55" i="11"/>
  <c r="AB57" i="10"/>
  <c r="E28" i="9"/>
  <c r="AA45" i="17"/>
  <c r="AA45" i="16"/>
  <c r="AA45" i="15"/>
  <c r="AA45" i="14"/>
  <c r="U46" i="16"/>
  <c r="U46" i="17"/>
  <c r="U46" i="14"/>
  <c r="U46" i="15"/>
  <c r="AJ54" i="12"/>
  <c r="AJ58" i="12" s="1"/>
  <c r="AJ54" i="13"/>
  <c r="AJ54" i="11"/>
  <c r="AI56" i="13"/>
  <c r="AI56" i="12"/>
  <c r="AI58" i="10"/>
  <c r="AI56" i="11"/>
  <c r="F28" i="9"/>
  <c r="AL54" i="12"/>
  <c r="AL54" i="13"/>
  <c r="AL54" i="11"/>
  <c r="W54" i="12"/>
  <c r="W58" i="12" s="1"/>
  <c r="W54" i="13"/>
  <c r="W54" i="11"/>
  <c r="W44" i="16"/>
  <c r="W44" i="17"/>
  <c r="W44" i="14"/>
  <c r="W44" i="15"/>
  <c r="R44" i="17"/>
  <c r="R44" i="16"/>
  <c r="R44" i="14"/>
  <c r="R44" i="15"/>
  <c r="AH54" i="12"/>
  <c r="AH54" i="13"/>
  <c r="AH54" i="11"/>
  <c r="AJ56" i="13"/>
  <c r="AJ56" i="12"/>
  <c r="AJ56" i="11"/>
  <c r="AJ58" i="10"/>
  <c r="AA46" i="16"/>
  <c r="AA46" i="17"/>
  <c r="AA46" i="15"/>
  <c r="AA46" i="14"/>
  <c r="AJ55" i="13"/>
  <c r="AJ55" i="12"/>
  <c r="AJ55" i="11"/>
  <c r="AJ57" i="10"/>
  <c r="W45" i="17"/>
  <c r="W45" i="16"/>
  <c r="W45" i="14"/>
  <c r="W45" i="15"/>
  <c r="AH55" i="13"/>
  <c r="AH55" i="12"/>
  <c r="AH55" i="11"/>
  <c r="AH57" i="10"/>
  <c r="AD56" i="13"/>
  <c r="AD56" i="12"/>
  <c r="AD56" i="11"/>
  <c r="AD58" i="10"/>
  <c r="F41" i="9"/>
  <c r="U56" i="13"/>
  <c r="U56" i="12"/>
  <c r="U56" i="11"/>
  <c r="U58" i="10"/>
  <c r="AH56" i="13"/>
  <c r="AH56" i="12"/>
  <c r="AH58" i="10"/>
  <c r="AH56" i="11"/>
  <c r="Z45" i="17"/>
  <c r="Z45" i="16"/>
  <c r="Z45" i="15"/>
  <c r="Z45" i="14"/>
  <c r="AB54" i="12"/>
  <c r="AB54" i="13"/>
  <c r="AB54" i="11"/>
  <c r="AA44" i="17"/>
  <c r="AA44" i="16"/>
  <c r="AA44" i="15"/>
  <c r="AA44" i="14"/>
  <c r="F18" i="9"/>
  <c r="AD54" i="12"/>
  <c r="AD54" i="13"/>
  <c r="AD54" i="11"/>
  <c r="AD55" i="13"/>
  <c r="AD55" i="12"/>
  <c r="AD57" i="10"/>
  <c r="AD55" i="11"/>
  <c r="Z44" i="17"/>
  <c r="Z44" i="16"/>
  <c r="Z48" i="16" s="1"/>
  <c r="Z44" i="14"/>
  <c r="Z44" i="15"/>
  <c r="Z48" i="15" s="1"/>
  <c r="AG54" i="13"/>
  <c r="AG54" i="12"/>
  <c r="AG54" i="11"/>
  <c r="Y44" i="17"/>
  <c r="Y44" i="16"/>
  <c r="Y44" i="14"/>
  <c r="Y44" i="15"/>
  <c r="V56" i="13"/>
  <c r="V56" i="12"/>
  <c r="V56" i="11"/>
  <c r="V58" i="10"/>
  <c r="AI54" i="12"/>
  <c r="AI58" i="12" s="1"/>
  <c r="AI54" i="13"/>
  <c r="AI54" i="11"/>
  <c r="Z46" i="17"/>
  <c r="Z46" i="16"/>
  <c r="Z46" i="15"/>
  <c r="Z46" i="14"/>
  <c r="O54" i="12"/>
  <c r="O58" i="12" s="1"/>
  <c r="O54" i="13"/>
  <c r="O54" i="11"/>
  <c r="AA54" i="12"/>
  <c r="AA58" i="12" s="1"/>
  <c r="AA44" i="13" s="1"/>
  <c r="AA54" i="13"/>
  <c r="L54" i="12"/>
  <c r="L58" i="12" s="1"/>
  <c r="L54" i="13"/>
  <c r="L54" i="11"/>
  <c r="R54" i="12"/>
  <c r="R58" i="12" s="1"/>
  <c r="R54" i="13"/>
  <c r="R54" i="11"/>
  <c r="AE54" i="12"/>
  <c r="AE54" i="13"/>
  <c r="AE54" i="11"/>
  <c r="AK54" i="13"/>
  <c r="AK54" i="12"/>
  <c r="AK58" i="12" s="1"/>
  <c r="AK54" i="11"/>
  <c r="P54" i="12"/>
  <c r="P58" i="12" s="1"/>
  <c r="P54" i="13"/>
  <c r="P54" i="11"/>
  <c r="AC54" i="13"/>
  <c r="AC54" i="12"/>
  <c r="AC58" i="12" s="1"/>
  <c r="AC54" i="11"/>
  <c r="AF54" i="12"/>
  <c r="AF54" i="13"/>
  <c r="AF54" i="11"/>
  <c r="M54" i="13"/>
  <c r="M54" i="12"/>
  <c r="M58" i="12" s="1"/>
  <c r="M54" i="11"/>
  <c r="S54" i="12"/>
  <c r="S54" i="13"/>
  <c r="S54" i="11"/>
  <c r="AA54" i="11"/>
  <c r="Q54" i="13"/>
  <c r="Q54" i="12"/>
  <c r="Q58" i="12" s="1"/>
  <c r="Q54" i="11"/>
  <c r="U54" i="13"/>
  <c r="U54" i="12"/>
  <c r="U58" i="12" s="1"/>
  <c r="U54" i="11"/>
  <c r="X54" i="12"/>
  <c r="X58" i="12" s="1"/>
  <c r="X54" i="13"/>
  <c r="X54" i="11"/>
  <c r="Z54" i="12"/>
  <c r="Z58" i="12" s="1"/>
  <c r="Z48" i="13" s="1"/>
  <c r="Z54" i="13"/>
  <c r="Z54" i="11"/>
  <c r="Y43" i="15"/>
  <c r="O43" i="14"/>
  <c r="N43" i="14"/>
  <c r="W43" i="14"/>
  <c r="Z51" i="13"/>
  <c r="Z45" i="13"/>
  <c r="Z41" i="13"/>
  <c r="Z46" i="13"/>
  <c r="Z42" i="13"/>
  <c r="Z29" i="13"/>
  <c r="Z11" i="13"/>
  <c r="Z7" i="13"/>
  <c r="Z8" i="13"/>
  <c r="AA48" i="13"/>
  <c r="AA33" i="13"/>
  <c r="AA28" i="13"/>
  <c r="AA12" i="13"/>
  <c r="AA53" i="11"/>
  <c r="AA58" i="11" s="1"/>
  <c r="M66" i="10"/>
  <c r="M28" i="10"/>
  <c r="M24" i="10"/>
  <c r="M49" i="10"/>
  <c r="Q55" i="10"/>
  <c r="Q60" i="10" s="1"/>
  <c r="M46" i="10"/>
  <c r="M27" i="10"/>
  <c r="W55" i="10"/>
  <c r="W60" i="10" s="1"/>
  <c r="D37" i="9"/>
  <c r="M17" i="10" l="1"/>
  <c r="M31" i="10"/>
  <c r="M50" i="10"/>
  <c r="X55" i="10"/>
  <c r="X60" i="10" s="1"/>
  <c r="L55" i="10"/>
  <c r="L60" i="10" s="1"/>
  <c r="M12" i="10"/>
  <c r="M32" i="10"/>
  <c r="Z53" i="11"/>
  <c r="Z58" i="11" s="1"/>
  <c r="T43" i="14"/>
  <c r="R43" i="14"/>
  <c r="L43" i="14"/>
  <c r="O55" i="10"/>
  <c r="O60" i="10" s="1"/>
  <c r="O32" i="11" s="1"/>
  <c r="AB62" i="28"/>
  <c r="AC74" i="28"/>
  <c r="AE79" i="28"/>
  <c r="AH59" i="28"/>
  <c r="AE74" i="28"/>
  <c r="AA79" i="28"/>
  <c r="AQ70" i="27"/>
  <c r="AX70" i="27"/>
  <c r="AT70" i="27"/>
  <c r="AL100" i="27"/>
  <c r="BC100" i="27"/>
  <c r="AI100" i="27"/>
  <c r="D8" i="29"/>
  <c r="AF47" i="28"/>
  <c r="AH47" i="28"/>
  <c r="Z47" i="28"/>
  <c r="AH60" i="28"/>
  <c r="AD60" i="28"/>
  <c r="P55" i="10"/>
  <c r="P60" i="10" s="1"/>
  <c r="AE55" i="10"/>
  <c r="AE60" i="10" s="1"/>
  <c r="M42" i="10"/>
  <c r="M25" i="10"/>
  <c r="M45" i="10"/>
  <c r="Y55" i="10"/>
  <c r="M18" i="10"/>
  <c r="AE53" i="11"/>
  <c r="AA47" i="13"/>
  <c r="Q43" i="14"/>
  <c r="X47" i="14"/>
  <c r="V47" i="14"/>
  <c r="M11" i="10"/>
  <c r="AH74" i="28"/>
  <c r="AE62" i="28"/>
  <c r="AD62" i="28"/>
  <c r="AC59" i="28"/>
  <c r="Y74" i="28"/>
  <c r="AD79" i="28"/>
  <c r="B8" i="30"/>
  <c r="AW70" i="27"/>
  <c r="AR70" i="27"/>
  <c r="BC70" i="27"/>
  <c r="R8" i="29"/>
  <c r="BB100" i="27"/>
  <c r="AV100" i="27"/>
  <c r="AY100" i="27"/>
  <c r="AB57" i="28"/>
  <c r="AF57" i="28"/>
  <c r="BA59" i="27"/>
  <c r="AS59" i="27"/>
  <c r="L8" i="29" s="1"/>
  <c r="AD66" i="28"/>
  <c r="Z66" i="28"/>
  <c r="AD50" i="28"/>
  <c r="AB50" i="28"/>
  <c r="M51" i="10"/>
  <c r="AC55" i="10"/>
  <c r="AC60" i="10" s="1"/>
  <c r="M38" i="10"/>
  <c r="M21" i="10"/>
  <c r="M41" i="10"/>
  <c r="R55" i="10"/>
  <c r="R60" i="10" s="1"/>
  <c r="M8" i="10"/>
  <c r="AF53" i="11"/>
  <c r="M43" i="14"/>
  <c r="U47" i="14"/>
  <c r="P47" i="14"/>
  <c r="X62" i="28"/>
  <c r="AF59" i="28"/>
  <c r="AD59" i="28"/>
  <c r="Z74" i="28"/>
  <c r="Y79" i="28"/>
  <c r="J10" i="30"/>
  <c r="AY70" i="27"/>
  <c r="AZ70" i="27"/>
  <c r="AK100" i="27"/>
  <c r="BD100" i="27"/>
  <c r="AJ100" i="27"/>
  <c r="AI5" i="21"/>
  <c r="AF53" i="28"/>
  <c r="X53" i="28"/>
  <c r="AI55" i="10"/>
  <c r="AI60" i="10" s="1"/>
  <c r="U55" i="10"/>
  <c r="U60" i="10" s="1"/>
  <c r="M34" i="10"/>
  <c r="M13" i="10"/>
  <c r="M37" i="10"/>
  <c r="M48" i="10"/>
  <c r="Z47" i="14"/>
  <c r="O47" i="14"/>
  <c r="Y43" i="14"/>
  <c r="AJ8" i="20"/>
  <c r="AF62" i="28"/>
  <c r="AE59" i="28"/>
  <c r="Z62" i="28"/>
  <c r="AB74" i="28"/>
  <c r="X59" i="28"/>
  <c r="AF79" i="28"/>
  <c r="AG79" i="28"/>
  <c r="D10" i="29"/>
  <c r="AN70" i="27"/>
  <c r="AK70" i="27"/>
  <c r="AS100" i="27"/>
  <c r="AO100" i="27"/>
  <c r="AR100" i="27"/>
  <c r="D6" i="29"/>
  <c r="F8" i="29"/>
  <c r="AF49" i="28"/>
  <c r="AH49" i="28"/>
  <c r="L6" i="30" s="1"/>
  <c r="S55" i="10"/>
  <c r="S60" i="10" s="1"/>
  <c r="M30" i="10"/>
  <c r="M33" i="10"/>
  <c r="M44" i="10"/>
  <c r="T47" i="14"/>
  <c r="AA43" i="14"/>
  <c r="V43" i="14"/>
  <c r="M23" i="10"/>
  <c r="Y62" i="28"/>
  <c r="X74" i="28"/>
  <c r="Y59" i="28"/>
  <c r="AD74" i="28"/>
  <c r="AH79" i="28"/>
  <c r="AC79" i="28"/>
  <c r="K8" i="30"/>
  <c r="AI70" i="27"/>
  <c r="AV70" i="27"/>
  <c r="AS70" i="27"/>
  <c r="BA100" i="27"/>
  <c r="AW100" i="27"/>
  <c r="AZ100" i="27"/>
  <c r="C8" i="29"/>
  <c r="AF69" i="28"/>
  <c r="AA69" i="28"/>
  <c r="AB43" i="14"/>
  <c r="M47" i="10"/>
  <c r="M43" i="10"/>
  <c r="AH55" i="10"/>
  <c r="AH60" i="10" s="1"/>
  <c r="M39" i="10"/>
  <c r="M22" i="10"/>
  <c r="M26" i="10"/>
  <c r="AF55" i="10"/>
  <c r="AF60" i="10" s="1"/>
  <c r="M29" i="10"/>
  <c r="M40" i="10"/>
  <c r="AA17" i="13"/>
  <c r="Z22" i="13"/>
  <c r="N47" i="14"/>
  <c r="X43" i="14"/>
  <c r="X48" i="14" s="1"/>
  <c r="S43" i="14"/>
  <c r="M7" i="10"/>
  <c r="AG62" i="28"/>
  <c r="AG59" i="28"/>
  <c r="AF74" i="28"/>
  <c r="X79" i="28"/>
  <c r="D6" i="30"/>
  <c r="AM70" i="27"/>
  <c r="BD70" i="27"/>
  <c r="BA70" i="27"/>
  <c r="S8" i="29"/>
  <c r="AM100" i="27"/>
  <c r="AP100" i="27"/>
  <c r="E8" i="29"/>
  <c r="M69" i="10"/>
  <c r="M47" i="14"/>
  <c r="T8" i="29"/>
  <c r="AA55" i="10"/>
  <c r="M35" i="10"/>
  <c r="Z55" i="10"/>
  <c r="M14" i="10"/>
  <c r="M20" i="10"/>
  <c r="M36" i="10"/>
  <c r="Z43" i="14"/>
  <c r="U43" i="14"/>
  <c r="X11" i="25"/>
  <c r="AF11" i="25" s="1"/>
  <c r="AA62" i="28"/>
  <c r="E6" i="30" s="1"/>
  <c r="Z59" i="28"/>
  <c r="G8" i="30"/>
  <c r="AO70" i="27"/>
  <c r="AP70" i="27"/>
  <c r="V8" i="29"/>
  <c r="AU100" i="27"/>
  <c r="P8" i="29"/>
  <c r="O8" i="29"/>
  <c r="Z16" i="13"/>
  <c r="F4" i="9"/>
  <c r="E4" i="9"/>
  <c r="Z26" i="13"/>
  <c r="Z36" i="13"/>
  <c r="R48" i="14"/>
  <c r="E30" i="9"/>
  <c r="AA31" i="13"/>
  <c r="Z25" i="13"/>
  <c r="Z47" i="13"/>
  <c r="F30" i="9"/>
  <c r="AA10" i="13"/>
  <c r="AA46" i="13"/>
  <c r="Z27" i="13"/>
  <c r="Z30" i="13"/>
  <c r="Z35" i="13"/>
  <c r="AA5" i="13"/>
  <c r="AA45" i="13"/>
  <c r="Z14" i="13"/>
  <c r="Z34" i="13"/>
  <c r="Z39" i="13"/>
  <c r="Z47" i="16"/>
  <c r="AA26" i="13"/>
  <c r="Z10" i="13"/>
  <c r="Z12" i="13"/>
  <c r="Z32" i="13"/>
  <c r="AA15" i="13"/>
  <c r="AA19" i="13"/>
  <c r="AA36" i="13"/>
  <c r="AA21" i="13"/>
  <c r="AA50" i="13"/>
  <c r="AA35" i="13"/>
  <c r="AA18" i="13"/>
  <c r="AA14" i="13"/>
  <c r="AA23" i="13"/>
  <c r="AA25" i="13"/>
  <c r="AA37" i="13"/>
  <c r="AA39" i="13"/>
  <c r="Z6" i="13"/>
  <c r="Z18" i="13"/>
  <c r="Z31" i="13"/>
  <c r="Z38" i="13"/>
  <c r="Z49" i="13"/>
  <c r="Z43" i="13"/>
  <c r="AA11" i="13"/>
  <c r="AA7" i="13"/>
  <c r="AA27" i="13"/>
  <c r="AA29" i="13"/>
  <c r="AA41" i="13"/>
  <c r="AA43" i="13"/>
  <c r="O32" i="13"/>
  <c r="AA9" i="13"/>
  <c r="AA16" i="13"/>
  <c r="AA30" i="13"/>
  <c r="AA34" i="13"/>
  <c r="AA49" i="13"/>
  <c r="AA51" i="13"/>
  <c r="Z15" i="13"/>
  <c r="Z13" i="13"/>
  <c r="Z20" i="13"/>
  <c r="Z50" i="13"/>
  <c r="Z40" i="13"/>
  <c r="AA13" i="13"/>
  <c r="AA20" i="13"/>
  <c r="AA32" i="13"/>
  <c r="AA38" i="13"/>
  <c r="AA40" i="13"/>
  <c r="Z5" i="13"/>
  <c r="Z19" i="13"/>
  <c r="Z17" i="13"/>
  <c r="Z24" i="13"/>
  <c r="Z33" i="13"/>
  <c r="Z44" i="13"/>
  <c r="AA6" i="13"/>
  <c r="AA8" i="13"/>
  <c r="AA24" i="13"/>
  <c r="AA22" i="13"/>
  <c r="AA42" i="13"/>
  <c r="Z9" i="13"/>
  <c r="Z23" i="13"/>
  <c r="Z21" i="13"/>
  <c r="Z28" i="13"/>
  <c r="Z37" i="13"/>
  <c r="C6" i="30"/>
  <c r="C10" i="30"/>
  <c r="K6" i="30"/>
  <c r="K10" i="30"/>
  <c r="E10" i="29"/>
  <c r="E6" i="29"/>
  <c r="V6" i="29"/>
  <c r="V10" i="29"/>
  <c r="H6" i="30"/>
  <c r="H10" i="30"/>
  <c r="Q10" i="29"/>
  <c r="Q6" i="29"/>
  <c r="C6" i="29"/>
  <c r="C10" i="29"/>
  <c r="U10" i="29"/>
  <c r="U6" i="29"/>
  <c r="J6" i="30"/>
  <c r="K6" i="29"/>
  <c r="K10" i="29"/>
  <c r="M10" i="29"/>
  <c r="M6" i="29"/>
  <c r="F10" i="30"/>
  <c r="F6" i="30"/>
  <c r="J8" i="30"/>
  <c r="T10" i="29"/>
  <c r="T6" i="29"/>
  <c r="S6" i="29"/>
  <c r="S10" i="29"/>
  <c r="G6" i="29"/>
  <c r="G10" i="29"/>
  <c r="B6" i="29"/>
  <c r="B10" i="29"/>
  <c r="O6" i="29"/>
  <c r="O10" i="29"/>
  <c r="I10" i="29"/>
  <c r="I6" i="29"/>
  <c r="E10" i="30"/>
  <c r="H8" i="30"/>
  <c r="I8" i="29"/>
  <c r="P10" i="29"/>
  <c r="P6" i="29"/>
  <c r="L10" i="29"/>
  <c r="L6" i="29"/>
  <c r="J6" i="29"/>
  <c r="J10" i="29"/>
  <c r="F6" i="29"/>
  <c r="F10" i="29"/>
  <c r="W6" i="29"/>
  <c r="W10" i="29"/>
  <c r="M8" i="29"/>
  <c r="B8" i="29"/>
  <c r="B10" i="30"/>
  <c r="B6" i="30"/>
  <c r="I10" i="30"/>
  <c r="I6" i="30"/>
  <c r="G6" i="30"/>
  <c r="G10" i="30"/>
  <c r="H10" i="29"/>
  <c r="H6" i="29"/>
  <c r="R6" i="29"/>
  <c r="R10" i="29"/>
  <c r="N6" i="29"/>
  <c r="N10" i="29"/>
  <c r="X12" i="25"/>
  <c r="AF12" i="25" s="1"/>
  <c r="X10" i="25"/>
  <c r="AF10" i="25" s="1"/>
  <c r="X9" i="25"/>
  <c r="AF9" i="25" s="1"/>
  <c r="AO9" i="20"/>
  <c r="AT9" i="20"/>
  <c r="AJ9" i="20"/>
  <c r="X48" i="11"/>
  <c r="X44" i="11"/>
  <c r="X40" i="11"/>
  <c r="X36" i="11"/>
  <c r="X32" i="11"/>
  <c r="X51" i="11"/>
  <c r="X47" i="11"/>
  <c r="X43" i="11"/>
  <c r="X39" i="11"/>
  <c r="X35" i="11"/>
  <c r="X50" i="11"/>
  <c r="X46" i="11"/>
  <c r="X42" i="11"/>
  <c r="X38" i="11"/>
  <c r="X34" i="11"/>
  <c r="X8" i="11"/>
  <c r="X27" i="11"/>
  <c r="X23" i="11"/>
  <c r="X19" i="11"/>
  <c r="X15" i="11"/>
  <c r="X11" i="11"/>
  <c r="X7" i="11"/>
  <c r="X45" i="11"/>
  <c r="X37" i="11"/>
  <c r="X31" i="11"/>
  <c r="X30" i="11"/>
  <c r="X26" i="11"/>
  <c r="X22" i="11"/>
  <c r="X18" i="11"/>
  <c r="X14" i="11"/>
  <c r="X10" i="11"/>
  <c r="X6" i="11"/>
  <c r="X29" i="11"/>
  <c r="X25" i="11"/>
  <c r="X21" i="11"/>
  <c r="X17" i="11"/>
  <c r="X13" i="11"/>
  <c r="X9" i="11"/>
  <c r="X5" i="11"/>
  <c r="X49" i="11"/>
  <c r="X41" i="11"/>
  <c r="X33" i="11"/>
  <c r="X28" i="11"/>
  <c r="X24" i="11"/>
  <c r="X20" i="11"/>
  <c r="X16" i="11"/>
  <c r="X12" i="11"/>
  <c r="L5" i="11"/>
  <c r="L28" i="11"/>
  <c r="L24" i="11"/>
  <c r="L16" i="11"/>
  <c r="L8" i="11"/>
  <c r="L27" i="11"/>
  <c r="L23" i="11"/>
  <c r="L15" i="11"/>
  <c r="L26" i="11"/>
  <c r="L22" i="11"/>
  <c r="L14" i="11"/>
  <c r="L10" i="11"/>
  <c r="L6" i="11"/>
  <c r="L29" i="11"/>
  <c r="L21" i="11"/>
  <c r="L13" i="11"/>
  <c r="L9" i="11"/>
  <c r="L20" i="11"/>
  <c r="L25" i="11"/>
  <c r="L7" i="11"/>
  <c r="L31" i="11"/>
  <c r="L36" i="11"/>
  <c r="L37" i="11"/>
  <c r="L30" i="11"/>
  <c r="L39" i="11"/>
  <c r="L44" i="11"/>
  <c r="L45" i="11"/>
  <c r="L38" i="11"/>
  <c r="L47" i="11"/>
  <c r="L12" i="11"/>
  <c r="L46" i="11"/>
  <c r="L33" i="11"/>
  <c r="L32" i="11"/>
  <c r="L18" i="11"/>
  <c r="L17" i="11"/>
  <c r="L19" i="11"/>
  <c r="L40" i="11"/>
  <c r="L34" i="11"/>
  <c r="L35" i="11"/>
  <c r="L48" i="11"/>
  <c r="L42" i="11"/>
  <c r="L43" i="11"/>
  <c r="L41" i="11"/>
  <c r="L50" i="11"/>
  <c r="L51" i="11"/>
  <c r="L11" i="11"/>
  <c r="L49" i="11"/>
  <c r="W49" i="11"/>
  <c r="W41" i="11"/>
  <c r="W37" i="11"/>
  <c r="W33" i="11"/>
  <c r="W48" i="11"/>
  <c r="W44" i="11"/>
  <c r="W51" i="11"/>
  <c r="W43" i="11"/>
  <c r="W50" i="11"/>
  <c r="W42" i="11"/>
  <c r="W28" i="11"/>
  <c r="W24" i="11"/>
  <c r="W20" i="11"/>
  <c r="W16" i="11"/>
  <c r="W12" i="11"/>
  <c r="W8" i="11"/>
  <c r="W27" i="11"/>
  <c r="W23" i="11"/>
  <c r="W19" i="11"/>
  <c r="W15" i="11"/>
  <c r="W11" i="11"/>
  <c r="W7" i="11"/>
  <c r="W26" i="11"/>
  <c r="W22" i="11"/>
  <c r="W18" i="11"/>
  <c r="W14" i="11"/>
  <c r="W10" i="11"/>
  <c r="W6" i="11"/>
  <c r="W29" i="11"/>
  <c r="W25" i="11"/>
  <c r="W21" i="11"/>
  <c r="W17" i="11"/>
  <c r="W13" i="11"/>
  <c r="W9" i="11"/>
  <c r="W5" i="11"/>
  <c r="W32" i="11"/>
  <c r="W45" i="11"/>
  <c r="W47" i="11"/>
  <c r="W46" i="11"/>
  <c r="W36" i="11"/>
  <c r="W39" i="11"/>
  <c r="W30" i="11"/>
  <c r="W40" i="11"/>
  <c r="W31" i="11"/>
  <c r="W34" i="11"/>
  <c r="W38" i="11"/>
  <c r="W35" i="11"/>
  <c r="Q26" i="11"/>
  <c r="Q22" i="11"/>
  <c r="Q14" i="11"/>
  <c r="Q10" i="11"/>
  <c r="Q6" i="11"/>
  <c r="Q29" i="11"/>
  <c r="Q21" i="11"/>
  <c r="Q13" i="11"/>
  <c r="Q9" i="11"/>
  <c r="Q5" i="11"/>
  <c r="Q28" i="11"/>
  <c r="Q24" i="11"/>
  <c r="Q16" i="11"/>
  <c r="Q8" i="11"/>
  <c r="Q27" i="11"/>
  <c r="Q23" i="11"/>
  <c r="Q15" i="11"/>
  <c r="Q45" i="11"/>
  <c r="Q39" i="11"/>
  <c r="Q40" i="11"/>
  <c r="Q30" i="11"/>
  <c r="Q7" i="11"/>
  <c r="Q47" i="11"/>
  <c r="Q48" i="11"/>
  <c r="Q17" i="11"/>
  <c r="Q33" i="11"/>
  <c r="Q20" i="11"/>
  <c r="Q41" i="11"/>
  <c r="Q18" i="11"/>
  <c r="Q19" i="11"/>
  <c r="Q36" i="11"/>
  <c r="Q49" i="11"/>
  <c r="Q42" i="11"/>
  <c r="Q43" i="11"/>
  <c r="Q46" i="11"/>
  <c r="Q25" i="11"/>
  <c r="Q11" i="11"/>
  <c r="Q38" i="11"/>
  <c r="Q12" i="11"/>
  <c r="Q50" i="11"/>
  <c r="Q51" i="11"/>
  <c r="Q37" i="11"/>
  <c r="Q31" i="11"/>
  <c r="Q32" i="11"/>
  <c r="Q35" i="11"/>
  <c r="Q34" i="11"/>
  <c r="Q44" i="11"/>
  <c r="P27" i="11"/>
  <c r="P23" i="11"/>
  <c r="P19" i="11"/>
  <c r="P15" i="11"/>
  <c r="P11" i="11"/>
  <c r="P7" i="11"/>
  <c r="P26" i="11"/>
  <c r="P22" i="11"/>
  <c r="P18" i="11"/>
  <c r="P14" i="11"/>
  <c r="P10" i="11"/>
  <c r="P6" i="11"/>
  <c r="P29" i="11"/>
  <c r="P25" i="11"/>
  <c r="P21" i="11"/>
  <c r="P17" i="11"/>
  <c r="P13" i="11"/>
  <c r="P9" i="11"/>
  <c r="P5" i="11"/>
  <c r="P28" i="11"/>
  <c r="P24" i="11"/>
  <c r="P20" i="11"/>
  <c r="P16" i="11"/>
  <c r="P12" i="11"/>
  <c r="P8" i="11"/>
  <c r="P47" i="11"/>
  <c r="P32" i="11"/>
  <c r="P33" i="11"/>
  <c r="P42" i="11"/>
  <c r="P44" i="11"/>
  <c r="P40" i="11"/>
  <c r="P41" i="11"/>
  <c r="P50" i="11"/>
  <c r="P48" i="11"/>
  <c r="P49" i="11"/>
  <c r="P35" i="11"/>
  <c r="P30" i="11"/>
  <c r="P43" i="11"/>
  <c r="P37" i="11"/>
  <c r="P38" i="11"/>
  <c r="P51" i="11"/>
  <c r="P45" i="11"/>
  <c r="P46" i="11"/>
  <c r="P31" i="11"/>
  <c r="P39" i="11"/>
  <c r="P34" i="11"/>
  <c r="P36" i="11"/>
  <c r="AC6" i="11"/>
  <c r="AC25" i="11"/>
  <c r="AC17" i="11"/>
  <c r="AC13" i="11"/>
  <c r="AC9" i="11"/>
  <c r="AC5" i="11"/>
  <c r="AC20" i="11"/>
  <c r="AC16" i="11"/>
  <c r="AC12" i="11"/>
  <c r="AC8" i="11"/>
  <c r="AC19" i="11"/>
  <c r="AC15" i="11"/>
  <c r="AC11" i="11"/>
  <c r="AC7" i="11"/>
  <c r="AC18" i="11"/>
  <c r="AC14" i="11"/>
  <c r="AC10" i="11"/>
  <c r="AC24" i="11"/>
  <c r="AC26" i="11"/>
  <c r="AC46" i="11"/>
  <c r="AC39" i="11"/>
  <c r="AC48" i="11"/>
  <c r="AC50" i="11"/>
  <c r="AC28" i="11"/>
  <c r="AC47" i="11"/>
  <c r="AC27" i="11"/>
  <c r="AC35" i="11"/>
  <c r="AC43" i="11"/>
  <c r="AC51" i="11"/>
  <c r="AC29" i="11"/>
  <c r="AC21" i="11"/>
  <c r="AC45" i="11"/>
  <c r="AC41" i="11"/>
  <c r="AC36" i="11"/>
  <c r="AC30" i="11"/>
  <c r="AC22" i="11"/>
  <c r="AC32" i="11"/>
  <c r="AC49" i="11"/>
  <c r="AC34" i="11"/>
  <c r="AC44" i="11"/>
  <c r="AC38" i="11"/>
  <c r="AC31" i="11"/>
  <c r="AC23" i="11"/>
  <c r="AC37" i="11"/>
  <c r="AC40" i="11"/>
  <c r="AC33" i="11"/>
  <c r="AC42" i="11"/>
  <c r="R26" i="11"/>
  <c r="R22" i="11"/>
  <c r="R18" i="11"/>
  <c r="R14" i="11"/>
  <c r="R10" i="11"/>
  <c r="R6" i="11"/>
  <c r="R29" i="11"/>
  <c r="R25" i="11"/>
  <c r="R21" i="11"/>
  <c r="R17" i="11"/>
  <c r="R13" i="11"/>
  <c r="R9" i="11"/>
  <c r="R5" i="11"/>
  <c r="R28" i="11"/>
  <c r="R24" i="11"/>
  <c r="R20" i="11"/>
  <c r="R16" i="11"/>
  <c r="R12" i="11"/>
  <c r="R8" i="11"/>
  <c r="R27" i="11"/>
  <c r="R23" i="11"/>
  <c r="R19" i="11"/>
  <c r="R15" i="11"/>
  <c r="R11" i="11"/>
  <c r="R7" i="11"/>
  <c r="R44" i="11"/>
  <c r="R45" i="11"/>
  <c r="R31" i="11"/>
  <c r="R39" i="11"/>
  <c r="R48" i="11"/>
  <c r="R33" i="11"/>
  <c r="R34" i="11"/>
  <c r="R47" i="11"/>
  <c r="R41" i="11"/>
  <c r="R42" i="11"/>
  <c r="R40" i="11"/>
  <c r="R50" i="11"/>
  <c r="R35" i="11"/>
  <c r="R30" i="11"/>
  <c r="R43" i="11"/>
  <c r="R32" i="11"/>
  <c r="R38" i="11"/>
  <c r="R49" i="11"/>
  <c r="R51" i="11"/>
  <c r="R36" i="11"/>
  <c r="R37" i="11"/>
  <c r="R46" i="11"/>
  <c r="F37" i="9"/>
  <c r="R46" i="17"/>
  <c r="R46" i="16"/>
  <c r="R46" i="15"/>
  <c r="R46" i="14"/>
  <c r="U50" i="11"/>
  <c r="U42" i="11"/>
  <c r="U49" i="11"/>
  <c r="U41" i="11"/>
  <c r="U37" i="11"/>
  <c r="U33" i="11"/>
  <c r="U48" i="11"/>
  <c r="U44" i="11"/>
  <c r="U51" i="11"/>
  <c r="U43" i="11"/>
  <c r="U29" i="11"/>
  <c r="U25" i="11"/>
  <c r="U21" i="11"/>
  <c r="U17" i="11"/>
  <c r="U13" i="11"/>
  <c r="U9" i="11"/>
  <c r="U5" i="11"/>
  <c r="U28" i="11"/>
  <c r="U24" i="11"/>
  <c r="U20" i="11"/>
  <c r="U16" i="11"/>
  <c r="U12" i="11"/>
  <c r="U8" i="11"/>
  <c r="U27" i="11"/>
  <c r="U23" i="11"/>
  <c r="U19" i="11"/>
  <c r="U15" i="11"/>
  <c r="U11" i="11"/>
  <c r="U7" i="11"/>
  <c r="U26" i="11"/>
  <c r="U22" i="11"/>
  <c r="U18" i="11"/>
  <c r="U14" i="11"/>
  <c r="U10" i="11"/>
  <c r="U6" i="11"/>
  <c r="U30" i="11"/>
  <c r="U40" i="11"/>
  <c r="U35" i="11"/>
  <c r="U38" i="11"/>
  <c r="U31" i="11"/>
  <c r="U32" i="11"/>
  <c r="U45" i="11"/>
  <c r="U47" i="11"/>
  <c r="U46" i="11"/>
  <c r="U34" i="11"/>
  <c r="U39" i="11"/>
  <c r="U36" i="11"/>
  <c r="S6" i="11"/>
  <c r="S25" i="11"/>
  <c r="S17" i="11"/>
  <c r="S13" i="11"/>
  <c r="S9" i="11"/>
  <c r="S5" i="11"/>
  <c r="S20" i="11"/>
  <c r="S16" i="11"/>
  <c r="S12" i="11"/>
  <c r="S8" i="11"/>
  <c r="S19" i="11"/>
  <c r="S15" i="11"/>
  <c r="S11" i="11"/>
  <c r="S7" i="11"/>
  <c r="S18" i="11"/>
  <c r="S14" i="11"/>
  <c r="S10" i="11"/>
  <c r="S29" i="11"/>
  <c r="S23" i="11"/>
  <c r="S37" i="11"/>
  <c r="S26" i="11"/>
  <c r="S21" i="11"/>
  <c r="S22" i="11"/>
  <c r="S32" i="11"/>
  <c r="S45" i="11"/>
  <c r="S50" i="11"/>
  <c r="S30" i="11"/>
  <c r="S31" i="11"/>
  <c r="S40" i="11"/>
  <c r="S38" i="11"/>
  <c r="S39" i="11"/>
  <c r="S48" i="11"/>
  <c r="S24" i="11"/>
  <c r="S27" i="11"/>
  <c r="S35" i="11"/>
  <c r="S28" i="11"/>
  <c r="S41" i="11"/>
  <c r="S43" i="11"/>
  <c r="S36" i="11"/>
  <c r="S42" i="11"/>
  <c r="S49" i="11"/>
  <c r="S51" i="11"/>
  <c r="S34" i="11"/>
  <c r="S44" i="11"/>
  <c r="S47" i="11"/>
  <c r="S46" i="11"/>
  <c r="S33" i="11"/>
  <c r="AH5" i="11"/>
  <c r="AH20" i="11"/>
  <c r="AH16" i="11"/>
  <c r="AH12" i="11"/>
  <c r="AH8" i="11"/>
  <c r="AH19" i="11"/>
  <c r="AH15" i="11"/>
  <c r="AH11" i="11"/>
  <c r="AH7" i="11"/>
  <c r="AH18" i="11"/>
  <c r="AH14" i="11"/>
  <c r="AH10" i="11"/>
  <c r="AH6" i="11"/>
  <c r="AH25" i="11"/>
  <c r="AH17" i="11"/>
  <c r="AH13" i="11"/>
  <c r="AH9" i="11"/>
  <c r="AH26" i="11"/>
  <c r="AH47" i="11"/>
  <c r="AH43" i="11"/>
  <c r="AH27" i="11"/>
  <c r="AH23" i="11"/>
  <c r="AH34" i="11"/>
  <c r="AH32" i="11"/>
  <c r="AH51" i="11"/>
  <c r="AH36" i="11"/>
  <c r="AH21" i="11"/>
  <c r="AH24" i="11"/>
  <c r="AH42" i="11"/>
  <c r="AH40" i="11"/>
  <c r="AH30" i="11"/>
  <c r="AH28" i="11"/>
  <c r="AH50" i="11"/>
  <c r="AH48" i="11"/>
  <c r="AH38" i="11"/>
  <c r="AH46" i="11"/>
  <c r="AH49" i="11"/>
  <c r="AH37" i="11"/>
  <c r="AH29" i="11"/>
  <c r="AH22" i="11"/>
  <c r="AH31" i="11"/>
  <c r="AH45" i="11"/>
  <c r="AH39" i="11"/>
  <c r="AH33" i="11"/>
  <c r="AH35" i="11"/>
  <c r="AH41" i="11"/>
  <c r="AH44" i="11"/>
  <c r="S44" i="17"/>
  <c r="S44" i="16"/>
  <c r="S44" i="15"/>
  <c r="S44" i="14"/>
  <c r="E37" i="9"/>
  <c r="R45" i="17"/>
  <c r="R45" i="16"/>
  <c r="R45" i="14"/>
  <c r="R45" i="15"/>
  <c r="AA47" i="12"/>
  <c r="Z47" i="27" s="1"/>
  <c r="Z99" i="27" s="1"/>
  <c r="AA51" i="12"/>
  <c r="AA46" i="12"/>
  <c r="Z46" i="27" s="1"/>
  <c r="Z98" i="27" s="1"/>
  <c r="AA50" i="12"/>
  <c r="Z50" i="27" s="1"/>
  <c r="Z102" i="27" s="1"/>
  <c r="AA44" i="12"/>
  <c r="Z44" i="27" s="1"/>
  <c r="Z96" i="27" s="1"/>
  <c r="AA39" i="12"/>
  <c r="AA31" i="12"/>
  <c r="Z31" i="27" s="1"/>
  <c r="Z83" i="27" s="1"/>
  <c r="AA23" i="12"/>
  <c r="Z23" i="27" s="1"/>
  <c r="Z75" i="27" s="1"/>
  <c r="AA38" i="12"/>
  <c r="Z38" i="27" s="1"/>
  <c r="Z90" i="27" s="1"/>
  <c r="AA30" i="12"/>
  <c r="AA48" i="12"/>
  <c r="Z48" i="27" s="1"/>
  <c r="Z100" i="27" s="1"/>
  <c r="AA45" i="12"/>
  <c r="Z45" i="27" s="1"/>
  <c r="Z97" i="27" s="1"/>
  <c r="AA37" i="12"/>
  <c r="Z37" i="27" s="1"/>
  <c r="Z89" i="27" s="1"/>
  <c r="AA29" i="12"/>
  <c r="Z29" i="27" s="1"/>
  <c r="Z81" i="27" s="1"/>
  <c r="AA36" i="12"/>
  <c r="AA28" i="12"/>
  <c r="Z28" i="27" s="1"/>
  <c r="Z80" i="27" s="1"/>
  <c r="AA43" i="12"/>
  <c r="Z43" i="27" s="1"/>
  <c r="Z95" i="27" s="1"/>
  <c r="AA35" i="12"/>
  <c r="Z35" i="27" s="1"/>
  <c r="Z87" i="27" s="1"/>
  <c r="AA27" i="12"/>
  <c r="AA42" i="12"/>
  <c r="AA34" i="12"/>
  <c r="Z34" i="27" s="1"/>
  <c r="Z86" i="27" s="1"/>
  <c r="AA26" i="12"/>
  <c r="Z26" i="27" s="1"/>
  <c r="Z78" i="27" s="1"/>
  <c r="AA49" i="12"/>
  <c r="Z49" i="27" s="1"/>
  <c r="Z101" i="27" s="1"/>
  <c r="AA41" i="12"/>
  <c r="Z41" i="27" s="1"/>
  <c r="Z93" i="27" s="1"/>
  <c r="AA33" i="12"/>
  <c r="Z33" i="27" s="1"/>
  <c r="Z85" i="27" s="1"/>
  <c r="AA25" i="12"/>
  <c r="Z25" i="27" s="1"/>
  <c r="Z77" i="27" s="1"/>
  <c r="AA40" i="12"/>
  <c r="Z40" i="27" s="1"/>
  <c r="Z92" i="27" s="1"/>
  <c r="AA32" i="12"/>
  <c r="Z32" i="27" s="1"/>
  <c r="Z84" i="27" s="1"/>
  <c r="AA24" i="12"/>
  <c r="Z24" i="27" s="1"/>
  <c r="Z76" i="27" s="1"/>
  <c r="AA20" i="12"/>
  <c r="Z20" i="27" s="1"/>
  <c r="Z72" i="27" s="1"/>
  <c r="AA12" i="12"/>
  <c r="Z12" i="27" s="1"/>
  <c r="Z64" i="27" s="1"/>
  <c r="AA19" i="12"/>
  <c r="Z19" i="27" s="1"/>
  <c r="Z71" i="27" s="1"/>
  <c r="AA11" i="12"/>
  <c r="Z11" i="27" s="1"/>
  <c r="Z63" i="27" s="1"/>
  <c r="AA18" i="12"/>
  <c r="AA10" i="12"/>
  <c r="Z10" i="27" s="1"/>
  <c r="Z62" i="27" s="1"/>
  <c r="AA17" i="12"/>
  <c r="Z17" i="27" s="1"/>
  <c r="Z69" i="27" s="1"/>
  <c r="AA9" i="12"/>
  <c r="Z9" i="27" s="1"/>
  <c r="Z61" i="27" s="1"/>
  <c r="AA16" i="12"/>
  <c r="Z16" i="27" s="1"/>
  <c r="Z68" i="27" s="1"/>
  <c r="AA8" i="12"/>
  <c r="Z8" i="27" s="1"/>
  <c r="Z60" i="27" s="1"/>
  <c r="AA15" i="12"/>
  <c r="Z15" i="27" s="1"/>
  <c r="Z67" i="27" s="1"/>
  <c r="AA7" i="12"/>
  <c r="Z7" i="27" s="1"/>
  <c r="Z59" i="27" s="1"/>
  <c r="AA22" i="12"/>
  <c r="Z22" i="27" s="1"/>
  <c r="Z74" i="27" s="1"/>
  <c r="AA14" i="12"/>
  <c r="Z14" i="27" s="1"/>
  <c r="Z66" i="27" s="1"/>
  <c r="AA6" i="12"/>
  <c r="Z6" i="27" s="1"/>
  <c r="Z58" i="27" s="1"/>
  <c r="AA21" i="12"/>
  <c r="Z21" i="27" s="1"/>
  <c r="Z73" i="27" s="1"/>
  <c r="AA13" i="12"/>
  <c r="Z13" i="27" s="1"/>
  <c r="Z65" i="27" s="1"/>
  <c r="AA5" i="12"/>
  <c r="Z5" i="27" s="1"/>
  <c r="Z57" i="27" s="1"/>
  <c r="Z48" i="12"/>
  <c r="Y48" i="27" s="1"/>
  <c r="Y100" i="27" s="1"/>
  <c r="Z45" i="12"/>
  <c r="Y45" i="27" s="1"/>
  <c r="Y97" i="27" s="1"/>
  <c r="Z46" i="12"/>
  <c r="Y46" i="27" s="1"/>
  <c r="Y98" i="27" s="1"/>
  <c r="Z40" i="12"/>
  <c r="Y40" i="27" s="1"/>
  <c r="Y92" i="27" s="1"/>
  <c r="Z32" i="12"/>
  <c r="Y32" i="27" s="1"/>
  <c r="Y84" i="27" s="1"/>
  <c r="Z24" i="12"/>
  <c r="Y24" i="27" s="1"/>
  <c r="Y76" i="27" s="1"/>
  <c r="Z51" i="12"/>
  <c r="Y51" i="27" s="1"/>
  <c r="Y103" i="27" s="1"/>
  <c r="Z39" i="12"/>
  <c r="Y39" i="27" s="1"/>
  <c r="Y91" i="27" s="1"/>
  <c r="Z31" i="12"/>
  <c r="Z23" i="12"/>
  <c r="Y23" i="27" s="1"/>
  <c r="Y75" i="27" s="1"/>
  <c r="Z38" i="12"/>
  <c r="Y38" i="27" s="1"/>
  <c r="Y90" i="27" s="1"/>
  <c r="Z30" i="12"/>
  <c r="Y30" i="27" s="1"/>
  <c r="Y82" i="27" s="1"/>
  <c r="Z37" i="12"/>
  <c r="Y37" i="27" s="1"/>
  <c r="Y89" i="27" s="1"/>
  <c r="Z29" i="12"/>
  <c r="Y29" i="27" s="1"/>
  <c r="Y81" i="27" s="1"/>
  <c r="Z50" i="12"/>
  <c r="Y50" i="27" s="1"/>
  <c r="Y102" i="27" s="1"/>
  <c r="Z36" i="12"/>
  <c r="Y36" i="27" s="1"/>
  <c r="Y88" i="27" s="1"/>
  <c r="Z28" i="12"/>
  <c r="Y28" i="27" s="1"/>
  <c r="Y80" i="27" s="1"/>
  <c r="Z47" i="12"/>
  <c r="Y47" i="27" s="1"/>
  <c r="Y99" i="27" s="1"/>
  <c r="Z44" i="12"/>
  <c r="Y44" i="27" s="1"/>
  <c r="Y96" i="27" s="1"/>
  <c r="Z43" i="12"/>
  <c r="Y43" i="27" s="1"/>
  <c r="Y95" i="27" s="1"/>
  <c r="Z35" i="12"/>
  <c r="Y35" i="27" s="1"/>
  <c r="Y87" i="27" s="1"/>
  <c r="Z27" i="12"/>
  <c r="Y27" i="27" s="1"/>
  <c r="Y79" i="27" s="1"/>
  <c r="Z42" i="12"/>
  <c r="Y42" i="27" s="1"/>
  <c r="Y94" i="27" s="1"/>
  <c r="Z34" i="12"/>
  <c r="Y34" i="27" s="1"/>
  <c r="Y86" i="27" s="1"/>
  <c r="Z26" i="12"/>
  <c r="Y26" i="27" s="1"/>
  <c r="Y78" i="27" s="1"/>
  <c r="Z49" i="12"/>
  <c r="Y49" i="27" s="1"/>
  <c r="Y101" i="27" s="1"/>
  <c r="Z41" i="12"/>
  <c r="Y41" i="27" s="1"/>
  <c r="Y93" i="27" s="1"/>
  <c r="Z33" i="12"/>
  <c r="Y33" i="27" s="1"/>
  <c r="Y85" i="27" s="1"/>
  <c r="Z25" i="12"/>
  <c r="Y25" i="27" s="1"/>
  <c r="Y77" i="27" s="1"/>
  <c r="Z21" i="12"/>
  <c r="Z13" i="12"/>
  <c r="Y13" i="27" s="1"/>
  <c r="Y65" i="27" s="1"/>
  <c r="Z5" i="12"/>
  <c r="Z20" i="12"/>
  <c r="Y20" i="27" s="1"/>
  <c r="Y72" i="27" s="1"/>
  <c r="Z12" i="12"/>
  <c r="Y12" i="27" s="1"/>
  <c r="Y64" i="27" s="1"/>
  <c r="Z19" i="12"/>
  <c r="Z11" i="12"/>
  <c r="Y11" i="27" s="1"/>
  <c r="Y63" i="27" s="1"/>
  <c r="Z18" i="12"/>
  <c r="Y18" i="27" s="1"/>
  <c r="Y70" i="27" s="1"/>
  <c r="Z10" i="12"/>
  <c r="Y10" i="27" s="1"/>
  <c r="Y62" i="27" s="1"/>
  <c r="Z17" i="12"/>
  <c r="Y17" i="27" s="1"/>
  <c r="Y69" i="27" s="1"/>
  <c r="Z9" i="12"/>
  <c r="Y9" i="27" s="1"/>
  <c r="Y61" i="27" s="1"/>
  <c r="Z16" i="12"/>
  <c r="Y16" i="27" s="1"/>
  <c r="Y68" i="27" s="1"/>
  <c r="Z8" i="12"/>
  <c r="Y8" i="27" s="1"/>
  <c r="Y60" i="27" s="1"/>
  <c r="Z15" i="12"/>
  <c r="Y15" i="27" s="1"/>
  <c r="Y67" i="27" s="1"/>
  <c r="Z7" i="12"/>
  <c r="Y7" i="27" s="1"/>
  <c r="Y59" i="27" s="1"/>
  <c r="Z22" i="12"/>
  <c r="Y22" i="27" s="1"/>
  <c r="Y74" i="27" s="1"/>
  <c r="Z14" i="12"/>
  <c r="Y14" i="27" s="1"/>
  <c r="Y66" i="27" s="1"/>
  <c r="Z6" i="12"/>
  <c r="Y6" i="27" s="1"/>
  <c r="Y58" i="27" s="1"/>
  <c r="N47" i="15"/>
  <c r="N47" i="16"/>
  <c r="R5" i="15"/>
  <c r="R10" i="15"/>
  <c r="R8" i="15"/>
  <c r="R6" i="15"/>
  <c r="R15" i="15"/>
  <c r="R9" i="15"/>
  <c r="R7" i="15"/>
  <c r="R34" i="15"/>
  <c r="R11" i="15"/>
  <c r="R30" i="15"/>
  <c r="R14" i="15"/>
  <c r="R19" i="15"/>
  <c r="R20" i="15"/>
  <c r="R38" i="15"/>
  <c r="R32" i="15"/>
  <c r="R21" i="15"/>
  <c r="R31" i="15"/>
  <c r="R40" i="15"/>
  <c r="R17" i="15"/>
  <c r="R18" i="15"/>
  <c r="R29" i="15"/>
  <c r="R13" i="15"/>
  <c r="R39" i="15"/>
  <c r="R33" i="15"/>
  <c r="R35" i="15"/>
  <c r="R23" i="15"/>
  <c r="R28" i="15"/>
  <c r="R36" i="15"/>
  <c r="R37" i="15"/>
  <c r="R25" i="15"/>
  <c r="R22" i="15"/>
  <c r="R27" i="15"/>
  <c r="R16" i="15"/>
  <c r="R24" i="15"/>
  <c r="R12" i="15"/>
  <c r="R26" i="15"/>
  <c r="R41" i="15"/>
  <c r="V47" i="16"/>
  <c r="V47" i="15"/>
  <c r="U47" i="15"/>
  <c r="U47" i="16"/>
  <c r="P47" i="15"/>
  <c r="P47" i="16"/>
  <c r="O47" i="15"/>
  <c r="O47" i="16"/>
  <c r="T47" i="15"/>
  <c r="T47" i="16"/>
  <c r="O8" i="11"/>
  <c r="O19" i="11"/>
  <c r="O15" i="11"/>
  <c r="O11" i="11"/>
  <c r="O7" i="11"/>
  <c r="O18" i="11"/>
  <c r="O14" i="11"/>
  <c r="O10" i="11"/>
  <c r="O6" i="11"/>
  <c r="O25" i="11"/>
  <c r="O17" i="11"/>
  <c r="O13" i="11"/>
  <c r="O9" i="11"/>
  <c r="O5" i="11"/>
  <c r="O20" i="11"/>
  <c r="O16" i="11"/>
  <c r="O12" i="11"/>
  <c r="O33" i="11"/>
  <c r="O26" i="11"/>
  <c r="O27" i="11"/>
  <c r="O28" i="11"/>
  <c r="O41" i="11"/>
  <c r="O35" i="11"/>
  <c r="O36" i="11"/>
  <c r="O49" i="11"/>
  <c r="O43" i="11"/>
  <c r="O44" i="11"/>
  <c r="O42" i="11"/>
  <c r="O51" i="11"/>
  <c r="O29" i="11"/>
  <c r="O21" i="11"/>
  <c r="O23" i="11"/>
  <c r="O37" i="11"/>
  <c r="O50" i="11"/>
  <c r="O45" i="11"/>
  <c r="O30" i="11"/>
  <c r="O34" i="11"/>
  <c r="O31" i="11"/>
  <c r="O40" i="11"/>
  <c r="O38" i="11"/>
  <c r="O39" i="11"/>
  <c r="O48" i="11"/>
  <c r="O24" i="11"/>
  <c r="O46" i="11"/>
  <c r="O47" i="11"/>
  <c r="U16" i="13"/>
  <c r="O22" i="11"/>
  <c r="AC15" i="13"/>
  <c r="AD15" i="13" s="1"/>
  <c r="R48" i="16"/>
  <c r="R47" i="16" s="1"/>
  <c r="Z47" i="15"/>
  <c r="W46" i="17"/>
  <c r="W46" i="16"/>
  <c r="W46" i="15"/>
  <c r="W46" i="14"/>
  <c r="AH58" i="12"/>
  <c r="AL56" i="13"/>
  <c r="AL56" i="12"/>
  <c r="AL58" i="10"/>
  <c r="AL56" i="11"/>
  <c r="AB56" i="13"/>
  <c r="AB56" i="12"/>
  <c r="AB56" i="11"/>
  <c r="AB58" i="10"/>
  <c r="R48" i="15"/>
  <c r="R47" i="15" s="1"/>
  <c r="AL55" i="13"/>
  <c r="AL55" i="12"/>
  <c r="AL57" i="10"/>
  <c r="AL55" i="11"/>
  <c r="V48" i="14"/>
  <c r="Z48" i="14"/>
  <c r="U48" i="14"/>
  <c r="T48" i="14"/>
  <c r="P48" i="14"/>
  <c r="N48" i="14"/>
  <c r="O48" i="14"/>
  <c r="M64" i="10"/>
  <c r="M70" i="10" s="1"/>
  <c r="Y56" i="10"/>
  <c r="Y60" i="10" s="1"/>
  <c r="V56" i="10"/>
  <c r="V60" i="10" s="1"/>
  <c r="M55" i="10"/>
  <c r="M60" i="10" s="1"/>
  <c r="M45" i="11" s="1"/>
  <c r="M47" i="15" l="1"/>
  <c r="M47" i="16"/>
  <c r="D8" i="30"/>
  <c r="D10" i="30"/>
  <c r="AI26" i="11"/>
  <c r="AI26" i="13" s="1"/>
  <c r="AI7" i="11"/>
  <c r="AI7" i="13" s="1"/>
  <c r="AI9" i="11"/>
  <c r="AI9" i="13" s="1"/>
  <c r="AI28" i="11"/>
  <c r="AI28" i="13" s="1"/>
  <c r="AI35" i="11"/>
  <c r="AI35" i="13" s="1"/>
  <c r="AI40" i="11"/>
  <c r="AI40" i="13" s="1"/>
  <c r="AI17" i="11"/>
  <c r="AI17" i="13" s="1"/>
  <c r="AI20" i="11"/>
  <c r="AI20" i="13" s="1"/>
  <c r="AI18" i="11"/>
  <c r="AI18" i="13" s="1"/>
  <c r="AI5" i="11"/>
  <c r="AI27" i="11"/>
  <c r="AI27" i="13" s="1"/>
  <c r="AI33" i="11"/>
  <c r="AI34" i="11"/>
  <c r="AI34" i="13" s="1"/>
  <c r="AI43" i="11"/>
  <c r="AI43" i="13" s="1"/>
  <c r="AI31" i="11"/>
  <c r="AI48" i="11"/>
  <c r="AI48" i="13" s="1"/>
  <c r="AI37" i="11"/>
  <c r="AI37" i="13" s="1"/>
  <c r="AI24" i="11"/>
  <c r="AI24" i="13" s="1"/>
  <c r="AI16" i="11"/>
  <c r="AI16" i="13" s="1"/>
  <c r="AI14" i="11"/>
  <c r="AI14" i="13" s="1"/>
  <c r="AI21" i="11"/>
  <c r="AI21" i="13" s="1"/>
  <c r="AI41" i="11"/>
  <c r="AI42" i="11"/>
  <c r="AI42" i="13" s="1"/>
  <c r="AI51" i="11"/>
  <c r="AI51" i="13" s="1"/>
  <c r="AI39" i="11"/>
  <c r="AI39" i="13" s="1"/>
  <c r="AI15" i="11"/>
  <c r="AI15" i="13" s="1"/>
  <c r="AI38" i="11"/>
  <c r="AI38" i="13" s="1"/>
  <c r="AI22" i="11"/>
  <c r="AI22" i="13" s="1"/>
  <c r="AI23" i="11"/>
  <c r="AI23" i="13" s="1"/>
  <c r="AI12" i="11"/>
  <c r="AI12" i="13" s="1"/>
  <c r="AI10" i="11"/>
  <c r="AI10" i="13" s="1"/>
  <c r="AI49" i="11"/>
  <c r="AI49" i="13" s="1"/>
  <c r="AI50" i="11"/>
  <c r="AI36" i="11"/>
  <c r="AI36" i="13" s="1"/>
  <c r="AI47" i="11"/>
  <c r="AI47" i="13" s="1"/>
  <c r="AI8" i="11"/>
  <c r="AI8" i="13" s="1"/>
  <c r="AI6" i="11"/>
  <c r="AI6" i="13" s="1"/>
  <c r="AI44" i="11"/>
  <c r="AI44" i="13" s="1"/>
  <c r="AI29" i="11"/>
  <c r="AI29" i="13" s="1"/>
  <c r="AI19" i="11"/>
  <c r="AI19" i="13" s="1"/>
  <c r="AI25" i="11"/>
  <c r="AI25" i="13" s="1"/>
  <c r="AI30" i="11"/>
  <c r="AI11" i="11"/>
  <c r="AI11" i="13" s="1"/>
  <c r="AI13" i="11"/>
  <c r="AI13" i="13" s="1"/>
  <c r="AI45" i="11"/>
  <c r="AI45" i="13" s="1"/>
  <c r="AI46" i="11"/>
  <c r="AI46" i="13" s="1"/>
  <c r="AI32" i="11"/>
  <c r="AI32" i="13" s="1"/>
  <c r="L10" i="30"/>
  <c r="L8" i="30"/>
  <c r="M48" i="14"/>
  <c r="Z42" i="27"/>
  <c r="Z94" i="27" s="1"/>
  <c r="Z18" i="27"/>
  <c r="Z70" i="27" s="1"/>
  <c r="Z51" i="27"/>
  <c r="Z103" i="27" s="1"/>
  <c r="Y31" i="27"/>
  <c r="Y83" i="27" s="1"/>
  <c r="AA53" i="13"/>
  <c r="Y5" i="27"/>
  <c r="Y57" i="27" s="1"/>
  <c r="O11" i="29" s="1"/>
  <c r="Z36" i="27"/>
  <c r="Z88" i="27" s="1"/>
  <c r="Z53" i="13"/>
  <c r="P11" i="29"/>
  <c r="Z27" i="27"/>
  <c r="Z79" i="27" s="1"/>
  <c r="Y19" i="27"/>
  <c r="Y71" i="27" s="1"/>
  <c r="Z30" i="27"/>
  <c r="Z82" i="27" s="1"/>
  <c r="Z39" i="27"/>
  <c r="Z91" i="27" s="1"/>
  <c r="Y21" i="27"/>
  <c r="Y73" i="27" s="1"/>
  <c r="P9" i="29"/>
  <c r="M6" i="30"/>
  <c r="X10" i="29"/>
  <c r="X6" i="29"/>
  <c r="X8" i="29"/>
  <c r="M45" i="13"/>
  <c r="Y19" i="11"/>
  <c r="AB19" i="11" s="1"/>
  <c r="Y15" i="11"/>
  <c r="Y11" i="11"/>
  <c r="Y7" i="11"/>
  <c r="Y18" i="11"/>
  <c r="Y14" i="11"/>
  <c r="Y10" i="11"/>
  <c r="Y6" i="11"/>
  <c r="Y25" i="11"/>
  <c r="Y17" i="11"/>
  <c r="Y13" i="11"/>
  <c r="Y9" i="11"/>
  <c r="Y5" i="11"/>
  <c r="Y20" i="11"/>
  <c r="Y16" i="11"/>
  <c r="Y12" i="11"/>
  <c r="Y8" i="11"/>
  <c r="Y50" i="11"/>
  <c r="Y24" i="11"/>
  <c r="Y35" i="11"/>
  <c r="Y37" i="11"/>
  <c r="Y28" i="11"/>
  <c r="Y43" i="11"/>
  <c r="Y45" i="11"/>
  <c r="Y36" i="11"/>
  <c r="Y51" i="11"/>
  <c r="Y27" i="11"/>
  <c r="Y26" i="11"/>
  <c r="Y29" i="11"/>
  <c r="Y21" i="11"/>
  <c r="Y46" i="11"/>
  <c r="Y48" i="11"/>
  <c r="Y22" i="11"/>
  <c r="Y34" i="11"/>
  <c r="Y30" i="11"/>
  <c r="Y31" i="11"/>
  <c r="Y42" i="11"/>
  <c r="Y23" i="11"/>
  <c r="Y38" i="11"/>
  <c r="Y47" i="11"/>
  <c r="Y32" i="11"/>
  <c r="Y33" i="11"/>
  <c r="Y44" i="11"/>
  <c r="Y40" i="11"/>
  <c r="Y41" i="11"/>
  <c r="Y49" i="11"/>
  <c r="Y39" i="11"/>
  <c r="L44" i="17"/>
  <c r="L44" i="16"/>
  <c r="L48" i="16" s="1"/>
  <c r="L44" i="15"/>
  <c r="L48" i="15" s="1"/>
  <c r="L44" i="14"/>
  <c r="P9" i="15"/>
  <c r="P7" i="15"/>
  <c r="P5" i="15"/>
  <c r="P10" i="15"/>
  <c r="P8" i="15"/>
  <c r="P6" i="15"/>
  <c r="P15" i="15"/>
  <c r="P29" i="15"/>
  <c r="P13" i="15"/>
  <c r="P25" i="15"/>
  <c r="P36" i="15"/>
  <c r="P22" i="15"/>
  <c r="P38" i="15"/>
  <c r="P23" i="15"/>
  <c r="P24" i="15"/>
  <c r="P28" i="15"/>
  <c r="P39" i="15"/>
  <c r="P41" i="15"/>
  <c r="P12" i="15"/>
  <c r="P18" i="15"/>
  <c r="P34" i="15"/>
  <c r="P11" i="15"/>
  <c r="P35" i="15"/>
  <c r="P14" i="15"/>
  <c r="P20" i="15"/>
  <c r="P37" i="15"/>
  <c r="P33" i="15"/>
  <c r="P17" i="15"/>
  <c r="P30" i="15"/>
  <c r="P19" i="15"/>
  <c r="P32" i="15"/>
  <c r="P27" i="15"/>
  <c r="P40" i="15"/>
  <c r="P16" i="15"/>
  <c r="P31" i="15"/>
  <c r="P21" i="15"/>
  <c r="P26" i="15"/>
  <c r="M7" i="11"/>
  <c r="O48" i="13"/>
  <c r="O50" i="13"/>
  <c r="O43" i="13"/>
  <c r="O33" i="13"/>
  <c r="O25" i="13"/>
  <c r="O19" i="13"/>
  <c r="S41" i="15"/>
  <c r="R41" i="16"/>
  <c r="R41" i="17"/>
  <c r="S41" i="17" s="1"/>
  <c r="S37" i="15"/>
  <c r="R37" i="16"/>
  <c r="R37" i="17"/>
  <c r="S37" i="17" s="1"/>
  <c r="S29" i="15"/>
  <c r="R29" i="16"/>
  <c r="R29" i="17"/>
  <c r="S29" i="17" s="1"/>
  <c r="S20" i="15"/>
  <c r="R20" i="16"/>
  <c r="S20" i="16" s="1"/>
  <c r="R20" i="17"/>
  <c r="S20" i="17" s="1"/>
  <c r="S15" i="15"/>
  <c r="R15" i="16"/>
  <c r="R15" i="17"/>
  <c r="S15" i="17" s="1"/>
  <c r="M35" i="11"/>
  <c r="M40" i="11"/>
  <c r="AH39" i="13"/>
  <c r="AH38" i="13"/>
  <c r="AH21" i="13"/>
  <c r="AH47" i="13"/>
  <c r="AH14" i="13"/>
  <c r="AH16" i="13"/>
  <c r="M34" i="11"/>
  <c r="U31" i="13"/>
  <c r="U18" i="13"/>
  <c r="U27" i="13"/>
  <c r="U9" i="13"/>
  <c r="U44" i="13"/>
  <c r="R37" i="13"/>
  <c r="R35" i="13"/>
  <c r="R48" i="13"/>
  <c r="R19" i="13"/>
  <c r="R28" i="13"/>
  <c r="R6" i="13"/>
  <c r="M38" i="11"/>
  <c r="AD44" i="11"/>
  <c r="AC44" i="13"/>
  <c r="AD44" i="13" s="1"/>
  <c r="AD45" i="11"/>
  <c r="AC45" i="13"/>
  <c r="AD45" i="13" s="1"/>
  <c r="AD28" i="11"/>
  <c r="AC28" i="13"/>
  <c r="AD28" i="13" s="1"/>
  <c r="AD14" i="11"/>
  <c r="AC14" i="13"/>
  <c r="AD14" i="13" s="1"/>
  <c r="AD16" i="11"/>
  <c r="AC16" i="13"/>
  <c r="AD16" i="13" s="1"/>
  <c r="M18" i="11"/>
  <c r="P46" i="13"/>
  <c r="P49" i="13"/>
  <c r="P32" i="13"/>
  <c r="P5" i="13"/>
  <c r="P53" i="11"/>
  <c r="P58" i="11" s="1"/>
  <c r="P49" i="12" s="1"/>
  <c r="P10" i="13"/>
  <c r="P19" i="13"/>
  <c r="Q35" i="13"/>
  <c r="Q11" i="13"/>
  <c r="Q18" i="13"/>
  <c r="Q30" i="13"/>
  <c r="Q16" i="13"/>
  <c r="Q6" i="13"/>
  <c r="W34" i="13"/>
  <c r="W45" i="13"/>
  <c r="W29" i="13"/>
  <c r="W11" i="13"/>
  <c r="W20" i="13"/>
  <c r="W48" i="13"/>
  <c r="L11" i="13"/>
  <c r="L34" i="13"/>
  <c r="L12" i="13"/>
  <c r="L36" i="13"/>
  <c r="L29" i="13"/>
  <c r="L27" i="13"/>
  <c r="X20" i="13"/>
  <c r="X13" i="13"/>
  <c r="X18" i="13"/>
  <c r="X11" i="13"/>
  <c r="X42" i="13"/>
  <c r="X32" i="13"/>
  <c r="T10" i="15"/>
  <c r="T8" i="15"/>
  <c r="T6" i="15"/>
  <c r="T15" i="15"/>
  <c r="T9" i="15"/>
  <c r="T7" i="15"/>
  <c r="T5" i="15"/>
  <c r="T26" i="15"/>
  <c r="T19" i="15"/>
  <c r="T23" i="15"/>
  <c r="T41" i="15"/>
  <c r="T35" i="15"/>
  <c r="T39" i="15"/>
  <c r="T27" i="15"/>
  <c r="T11" i="15"/>
  <c r="T32" i="15"/>
  <c r="T29" i="15"/>
  <c r="T22" i="15"/>
  <c r="T30" i="15"/>
  <c r="T20" i="15"/>
  <c r="T34" i="15"/>
  <c r="T17" i="15"/>
  <c r="T28" i="15"/>
  <c r="T38" i="15"/>
  <c r="T25" i="15"/>
  <c r="T13" i="15"/>
  <c r="T33" i="15"/>
  <c r="T37" i="15"/>
  <c r="T31" i="15"/>
  <c r="T16" i="15"/>
  <c r="T40" i="15"/>
  <c r="T12" i="15"/>
  <c r="T24" i="15"/>
  <c r="T21" i="15"/>
  <c r="T36" i="15"/>
  <c r="T18" i="15"/>
  <c r="T14" i="15"/>
  <c r="O22" i="13"/>
  <c r="O39" i="13"/>
  <c r="O37" i="13"/>
  <c r="O49" i="13"/>
  <c r="O12" i="13"/>
  <c r="O6" i="13"/>
  <c r="O8" i="13"/>
  <c r="S26" i="15"/>
  <c r="R26" i="16"/>
  <c r="S26" i="16" s="1"/>
  <c r="R26" i="17"/>
  <c r="S26" i="17" s="1"/>
  <c r="S36" i="15"/>
  <c r="R36" i="16"/>
  <c r="R36" i="17"/>
  <c r="S36" i="17" s="1"/>
  <c r="S18" i="15"/>
  <c r="R18" i="16"/>
  <c r="S18" i="16" s="1"/>
  <c r="R18" i="17"/>
  <c r="S18" i="17" s="1"/>
  <c r="S19" i="15"/>
  <c r="R19" i="16"/>
  <c r="R19" i="17"/>
  <c r="S19" i="17" s="1"/>
  <c r="S6" i="15"/>
  <c r="R6" i="16"/>
  <c r="S6" i="16" s="1"/>
  <c r="R6" i="17"/>
  <c r="S6" i="17" s="1"/>
  <c r="M29" i="11"/>
  <c r="M43" i="11"/>
  <c r="AH45" i="13"/>
  <c r="AH48" i="13"/>
  <c r="AH36" i="13"/>
  <c r="AH26" i="13"/>
  <c r="AH18" i="13"/>
  <c r="AH20" i="13"/>
  <c r="U36" i="13"/>
  <c r="U38" i="13"/>
  <c r="U22" i="13"/>
  <c r="U8" i="13"/>
  <c r="U13" i="13"/>
  <c r="U48" i="13"/>
  <c r="R36" i="13"/>
  <c r="R50" i="13"/>
  <c r="R39" i="13"/>
  <c r="R23" i="13"/>
  <c r="R5" i="13"/>
  <c r="R53" i="11"/>
  <c r="R10" i="13"/>
  <c r="AD42" i="11"/>
  <c r="AC42" i="13"/>
  <c r="AD42" i="13" s="1"/>
  <c r="AD34" i="11"/>
  <c r="AC34" i="13"/>
  <c r="AD34" i="13" s="1"/>
  <c r="AD21" i="11"/>
  <c r="AC21" i="13"/>
  <c r="AD21" i="13" s="1"/>
  <c r="AD50" i="11"/>
  <c r="AC50" i="13"/>
  <c r="AD50" i="13" s="1"/>
  <c r="AD18" i="11"/>
  <c r="AC18" i="13"/>
  <c r="AD18" i="13" s="1"/>
  <c r="AD20" i="11"/>
  <c r="AC20" i="13"/>
  <c r="AD20" i="13" s="1"/>
  <c r="P45" i="13"/>
  <c r="P48" i="13"/>
  <c r="P47" i="13"/>
  <c r="P9" i="13"/>
  <c r="P14" i="13"/>
  <c r="P23" i="13"/>
  <c r="Q32" i="13"/>
  <c r="Q25" i="13"/>
  <c r="Q41" i="13"/>
  <c r="Q40" i="13"/>
  <c r="Q24" i="13"/>
  <c r="Q10" i="13"/>
  <c r="W31" i="13"/>
  <c r="W32" i="13"/>
  <c r="W6" i="13"/>
  <c r="W15" i="13"/>
  <c r="W24" i="13"/>
  <c r="W33" i="13"/>
  <c r="L51" i="13"/>
  <c r="L40" i="13"/>
  <c r="L47" i="13"/>
  <c r="L31" i="13"/>
  <c r="L6" i="13"/>
  <c r="L8" i="13"/>
  <c r="X24" i="13"/>
  <c r="X17" i="13"/>
  <c r="X22" i="13"/>
  <c r="X15" i="13"/>
  <c r="X46" i="13"/>
  <c r="X36" i="13"/>
  <c r="M16" i="11"/>
  <c r="M15" i="11"/>
  <c r="M10" i="11"/>
  <c r="M6" i="11"/>
  <c r="M9" i="11"/>
  <c r="M5" i="11"/>
  <c r="M11" i="11"/>
  <c r="U10" i="15"/>
  <c r="U8" i="15"/>
  <c r="U6" i="15"/>
  <c r="U15" i="15"/>
  <c r="U9" i="15"/>
  <c r="U7" i="15"/>
  <c r="U5" i="15"/>
  <c r="U24" i="15"/>
  <c r="U31" i="15"/>
  <c r="U11" i="15"/>
  <c r="U17" i="15"/>
  <c r="U35" i="15"/>
  <c r="U37" i="15"/>
  <c r="U39" i="15"/>
  <c r="U33" i="15"/>
  <c r="U19" i="15"/>
  <c r="U22" i="15"/>
  <c r="U26" i="15"/>
  <c r="U38" i="15"/>
  <c r="U27" i="15"/>
  <c r="U30" i="15"/>
  <c r="U14" i="15"/>
  <c r="U20" i="15"/>
  <c r="U25" i="15"/>
  <c r="U28" i="15"/>
  <c r="U36" i="15"/>
  <c r="U13" i="15"/>
  <c r="U32" i="15"/>
  <c r="U16" i="15"/>
  <c r="U40" i="15"/>
  <c r="U12" i="15"/>
  <c r="U41" i="15"/>
  <c r="U21" i="15"/>
  <c r="U34" i="15"/>
  <c r="U29" i="15"/>
  <c r="U18" i="15"/>
  <c r="U23" i="15"/>
  <c r="O38" i="13"/>
  <c r="O23" i="13"/>
  <c r="O36" i="13"/>
  <c r="O16" i="13"/>
  <c r="O10" i="13"/>
  <c r="S12" i="15"/>
  <c r="R12" i="16"/>
  <c r="R12" i="17"/>
  <c r="S12" i="17" s="1"/>
  <c r="S28" i="15"/>
  <c r="R28" i="16"/>
  <c r="R28" i="17"/>
  <c r="S28" i="17" s="1"/>
  <c r="S17" i="15"/>
  <c r="R17" i="16"/>
  <c r="S17" i="16" s="1"/>
  <c r="R17" i="17"/>
  <c r="S17" i="17" s="1"/>
  <c r="S14" i="15"/>
  <c r="R14" i="16"/>
  <c r="R14" i="17"/>
  <c r="S14" i="17" s="1"/>
  <c r="S8" i="15"/>
  <c r="R8" i="16"/>
  <c r="R8" i="17"/>
  <c r="S8" i="17" s="1"/>
  <c r="M26" i="11"/>
  <c r="M44" i="11"/>
  <c r="AH31" i="13"/>
  <c r="AH50" i="13"/>
  <c r="AH51" i="13"/>
  <c r="AH9" i="13"/>
  <c r="AH7" i="13"/>
  <c r="AH5" i="13"/>
  <c r="AH53" i="11"/>
  <c r="AH58" i="11" s="1"/>
  <c r="AH26" i="12" s="1"/>
  <c r="AD26" i="27" s="1"/>
  <c r="AD78" i="27" s="1"/>
  <c r="U39" i="13"/>
  <c r="U35" i="13"/>
  <c r="U26" i="13"/>
  <c r="U12" i="13"/>
  <c r="U17" i="13"/>
  <c r="U33" i="13"/>
  <c r="R51" i="13"/>
  <c r="R40" i="13"/>
  <c r="R31" i="13"/>
  <c r="R27" i="13"/>
  <c r="R9" i="13"/>
  <c r="R14" i="13"/>
  <c r="AD33" i="11"/>
  <c r="AC33" i="13"/>
  <c r="AD33" i="13" s="1"/>
  <c r="AD49" i="11"/>
  <c r="AC49" i="13"/>
  <c r="AD49" i="13" s="1"/>
  <c r="AD29" i="11"/>
  <c r="AC29" i="13"/>
  <c r="AD29" i="13" s="1"/>
  <c r="AD48" i="11"/>
  <c r="AC48" i="13"/>
  <c r="AD48" i="13" s="1"/>
  <c r="AD7" i="11"/>
  <c r="AC7" i="13"/>
  <c r="AD7" i="13" s="1"/>
  <c r="AD5" i="11"/>
  <c r="AC5" i="13"/>
  <c r="AC53" i="11"/>
  <c r="AC58" i="11" s="1"/>
  <c r="AC14" i="12" s="1"/>
  <c r="AD14" i="12" s="1"/>
  <c r="M25" i="11"/>
  <c r="P51" i="13"/>
  <c r="P50" i="13"/>
  <c r="P8" i="13"/>
  <c r="P13" i="13"/>
  <c r="P18" i="13"/>
  <c r="P27" i="13"/>
  <c r="Q31" i="13"/>
  <c r="Q46" i="13"/>
  <c r="Q20" i="13"/>
  <c r="Q39" i="13"/>
  <c r="Q28" i="13"/>
  <c r="Q14" i="13"/>
  <c r="W40" i="13"/>
  <c r="W5" i="13"/>
  <c r="W53" i="11"/>
  <c r="W58" i="11" s="1"/>
  <c r="W10" i="12" s="1"/>
  <c r="V10" i="27" s="1"/>
  <c r="V62" i="27" s="1"/>
  <c r="W10" i="13"/>
  <c r="W19" i="13"/>
  <c r="W28" i="13"/>
  <c r="W37" i="13"/>
  <c r="L50" i="13"/>
  <c r="L19" i="13"/>
  <c r="L38" i="13"/>
  <c r="L7" i="13"/>
  <c r="L10" i="13"/>
  <c r="L16" i="13"/>
  <c r="X28" i="13"/>
  <c r="X21" i="13"/>
  <c r="X26" i="13"/>
  <c r="X19" i="13"/>
  <c r="X50" i="13"/>
  <c r="X40" i="13"/>
  <c r="Z9" i="15"/>
  <c r="Z7" i="15"/>
  <c r="Z5" i="15"/>
  <c r="Z10" i="15"/>
  <c r="Z8" i="15"/>
  <c r="Z6" i="15"/>
  <c r="Z15" i="15"/>
  <c r="Z16" i="15"/>
  <c r="Z25" i="15"/>
  <c r="Z24" i="15"/>
  <c r="Z20" i="15"/>
  <c r="Z12" i="15"/>
  <c r="Z38" i="15"/>
  <c r="Z40" i="15"/>
  <c r="Z41" i="15"/>
  <c r="Z28" i="15"/>
  <c r="Z21" i="15"/>
  <c r="Z34" i="15"/>
  <c r="Z19" i="15"/>
  <c r="Z13" i="15"/>
  <c r="Z27" i="15"/>
  <c r="Z22" i="15"/>
  <c r="Z32" i="15"/>
  <c r="Z33" i="15"/>
  <c r="Z29" i="15"/>
  <c r="Z14" i="15"/>
  <c r="Z36" i="15"/>
  <c r="Z23" i="15"/>
  <c r="Z18" i="15"/>
  <c r="Z31" i="15"/>
  <c r="Z26" i="15"/>
  <c r="Z11" i="15"/>
  <c r="Z30" i="15"/>
  <c r="Z39" i="15"/>
  <c r="Z35" i="15"/>
  <c r="Z37" i="15"/>
  <c r="Z17" i="15"/>
  <c r="O40" i="13"/>
  <c r="O21" i="13"/>
  <c r="O35" i="13"/>
  <c r="O20" i="13"/>
  <c r="O14" i="13"/>
  <c r="S24" i="15"/>
  <c r="R24" i="16"/>
  <c r="R24" i="17"/>
  <c r="S24" i="17" s="1"/>
  <c r="S23" i="15"/>
  <c r="R23" i="16"/>
  <c r="R23" i="17"/>
  <c r="S23" i="17" s="1"/>
  <c r="S40" i="15"/>
  <c r="R40" i="16"/>
  <c r="R40" i="17"/>
  <c r="S40" i="17" s="1"/>
  <c r="S30" i="15"/>
  <c r="R30" i="16"/>
  <c r="S30" i="16" s="1"/>
  <c r="R30" i="17"/>
  <c r="S30" i="17" s="1"/>
  <c r="S10" i="15"/>
  <c r="R10" i="16"/>
  <c r="R10" i="17"/>
  <c r="S10" i="17" s="1"/>
  <c r="M22" i="11"/>
  <c r="M33" i="11"/>
  <c r="AH22" i="13"/>
  <c r="AH28" i="13"/>
  <c r="AH32" i="12"/>
  <c r="AD32" i="27" s="1"/>
  <c r="AD84" i="27" s="1"/>
  <c r="AH32" i="13"/>
  <c r="AH13" i="13"/>
  <c r="AH11" i="13"/>
  <c r="M30" i="11"/>
  <c r="M27" i="11"/>
  <c r="U34" i="13"/>
  <c r="U40" i="13"/>
  <c r="U7" i="13"/>
  <c r="U21" i="13"/>
  <c r="U37" i="13"/>
  <c r="R49" i="13"/>
  <c r="R42" i="13"/>
  <c r="R45" i="13"/>
  <c r="R8" i="13"/>
  <c r="R13" i="13"/>
  <c r="R18" i="13"/>
  <c r="AD40" i="11"/>
  <c r="AC40" i="13"/>
  <c r="AD40" i="13" s="1"/>
  <c r="AD32" i="11"/>
  <c r="AC32" i="13"/>
  <c r="AD32" i="13" s="1"/>
  <c r="AD51" i="11"/>
  <c r="AC51" i="13"/>
  <c r="AD51" i="13" s="1"/>
  <c r="AD39" i="11"/>
  <c r="AC39" i="13"/>
  <c r="AD39" i="13" s="1"/>
  <c r="AD11" i="11"/>
  <c r="AC11" i="13"/>
  <c r="AD11" i="13" s="1"/>
  <c r="AD9" i="11"/>
  <c r="AC9" i="13"/>
  <c r="AD9" i="13" s="1"/>
  <c r="M42" i="11"/>
  <c r="P38" i="13"/>
  <c r="P41" i="13"/>
  <c r="P12" i="13"/>
  <c r="P17" i="13"/>
  <c r="P22" i="13"/>
  <c r="M28" i="11"/>
  <c r="Q37" i="13"/>
  <c r="Q43" i="13"/>
  <c r="Q33" i="13"/>
  <c r="Q45" i="13"/>
  <c r="Q53" i="11"/>
  <c r="Q58" i="11" s="1"/>
  <c r="Q22" i="12" s="1"/>
  <c r="Q5" i="13"/>
  <c r="Q22" i="13"/>
  <c r="W30" i="13"/>
  <c r="W9" i="13"/>
  <c r="W14" i="13"/>
  <c r="W23" i="13"/>
  <c r="W42" i="13"/>
  <c r="W41" i="13"/>
  <c r="L41" i="13"/>
  <c r="L17" i="13"/>
  <c r="L45" i="13"/>
  <c r="L25" i="13"/>
  <c r="L14" i="13"/>
  <c r="L24" i="13"/>
  <c r="X33" i="13"/>
  <c r="X25" i="13"/>
  <c r="X30" i="13"/>
  <c r="X23" i="13"/>
  <c r="X35" i="13"/>
  <c r="X44" i="13"/>
  <c r="V49" i="11"/>
  <c r="V41" i="11"/>
  <c r="V37" i="11"/>
  <c r="V33" i="11"/>
  <c r="V48" i="11"/>
  <c r="V44" i="11"/>
  <c r="V51" i="11"/>
  <c r="V43" i="11"/>
  <c r="V5" i="11"/>
  <c r="V28" i="11"/>
  <c r="V24" i="11"/>
  <c r="V20" i="11"/>
  <c r="AB20" i="11" s="1"/>
  <c r="V16" i="11"/>
  <c r="V12" i="11"/>
  <c r="V50" i="11"/>
  <c r="V42" i="11"/>
  <c r="V8" i="11"/>
  <c r="V27" i="11"/>
  <c r="V23" i="11"/>
  <c r="V19" i="11"/>
  <c r="V15" i="11"/>
  <c r="AB15" i="11" s="1"/>
  <c r="V11" i="11"/>
  <c r="V7" i="11"/>
  <c r="V26" i="11"/>
  <c r="V22" i="11"/>
  <c r="V18" i="11"/>
  <c r="V14" i="11"/>
  <c r="V10" i="11"/>
  <c r="V6" i="11"/>
  <c r="AB6" i="11" s="1"/>
  <c r="V29" i="11"/>
  <c r="V25" i="11"/>
  <c r="V21" i="11"/>
  <c r="V17" i="11"/>
  <c r="V13" i="11"/>
  <c r="V9" i="11"/>
  <c r="V34" i="11"/>
  <c r="V45" i="11"/>
  <c r="V47" i="11"/>
  <c r="AB47" i="11" s="1"/>
  <c r="V35" i="11"/>
  <c r="V40" i="11"/>
  <c r="V46" i="11"/>
  <c r="V31" i="11"/>
  <c r="V36" i="11"/>
  <c r="V39" i="11"/>
  <c r="V38" i="11"/>
  <c r="V32" i="11"/>
  <c r="V30" i="11"/>
  <c r="V54" i="12"/>
  <c r="V58" i="12" s="1"/>
  <c r="V54" i="13"/>
  <c r="V54" i="11"/>
  <c r="V8" i="15"/>
  <c r="V6" i="15"/>
  <c r="V15" i="15"/>
  <c r="V9" i="15"/>
  <c r="V7" i="15"/>
  <c r="V5" i="15"/>
  <c r="V10" i="15"/>
  <c r="V21" i="15"/>
  <c r="V24" i="15"/>
  <c r="V17" i="15"/>
  <c r="V28" i="15"/>
  <c r="V29" i="15"/>
  <c r="V32" i="15"/>
  <c r="V25" i="15"/>
  <c r="V18" i="15"/>
  <c r="V36" i="15"/>
  <c r="V22" i="15"/>
  <c r="V14" i="15"/>
  <c r="V30" i="15"/>
  <c r="V23" i="15"/>
  <c r="V11" i="15"/>
  <c r="V31" i="15"/>
  <c r="V19" i="15"/>
  <c r="V39" i="15"/>
  <c r="V13" i="15"/>
  <c r="V27" i="15"/>
  <c r="V12" i="15"/>
  <c r="V38" i="15"/>
  <c r="V16" i="15"/>
  <c r="V40" i="15"/>
  <c r="V26" i="15"/>
  <c r="V37" i="15"/>
  <c r="V33" i="15"/>
  <c r="V34" i="15"/>
  <c r="V41" i="15"/>
  <c r="V35" i="15"/>
  <c r="V20" i="15"/>
  <c r="M19" i="11"/>
  <c r="O31" i="13"/>
  <c r="O29" i="13"/>
  <c r="O41" i="13"/>
  <c r="O5" i="13"/>
  <c r="O53" i="11"/>
  <c r="O58" i="11" s="1"/>
  <c r="O32" i="12" s="1"/>
  <c r="O32" i="27" s="1"/>
  <c r="O84" i="27" s="1"/>
  <c r="O18" i="13"/>
  <c r="S16" i="15"/>
  <c r="R16" i="16"/>
  <c r="R16" i="17"/>
  <c r="S16" i="17" s="1"/>
  <c r="S35" i="15"/>
  <c r="R35" i="16"/>
  <c r="R35" i="17"/>
  <c r="S35" i="17" s="1"/>
  <c r="S31" i="15"/>
  <c r="R31" i="16"/>
  <c r="R31" i="17"/>
  <c r="S31" i="17" s="1"/>
  <c r="S11" i="15"/>
  <c r="R11" i="16"/>
  <c r="R11" i="17"/>
  <c r="S11" i="17" s="1"/>
  <c r="S5" i="15"/>
  <c r="R5" i="16"/>
  <c r="R5" i="17"/>
  <c r="R43" i="15"/>
  <c r="M39" i="11"/>
  <c r="AH44" i="12"/>
  <c r="AH44" i="13"/>
  <c r="AH29" i="13"/>
  <c r="AH30" i="12"/>
  <c r="AH30" i="13"/>
  <c r="AH34" i="12"/>
  <c r="AH34" i="13"/>
  <c r="AH17" i="12"/>
  <c r="AH17" i="13"/>
  <c r="AH15" i="13"/>
  <c r="U46" i="13"/>
  <c r="AB30" i="11"/>
  <c r="U30" i="13"/>
  <c r="U11" i="13"/>
  <c r="U20" i="13"/>
  <c r="U25" i="13"/>
  <c r="U41" i="13"/>
  <c r="S46" i="16"/>
  <c r="S46" i="17"/>
  <c r="S46" i="15"/>
  <c r="S46" i="14"/>
  <c r="R38" i="13"/>
  <c r="R41" i="13"/>
  <c r="R44" i="13"/>
  <c r="R12" i="13"/>
  <c r="R17" i="13"/>
  <c r="R22" i="13"/>
  <c r="AD37" i="11"/>
  <c r="AC37" i="12"/>
  <c r="AD37" i="12" s="1"/>
  <c r="AC37" i="13"/>
  <c r="AD37" i="13" s="1"/>
  <c r="AD22" i="11"/>
  <c r="AC22" i="13"/>
  <c r="AD22" i="13" s="1"/>
  <c r="AD43" i="11"/>
  <c r="AC43" i="13"/>
  <c r="AD43" i="13" s="1"/>
  <c r="AD46" i="11"/>
  <c r="AC46" i="12"/>
  <c r="AC46" i="13"/>
  <c r="AD46" i="13" s="1"/>
  <c r="AD15" i="11"/>
  <c r="AC15" i="12"/>
  <c r="AD13" i="11"/>
  <c r="AC13" i="13"/>
  <c r="AD13" i="13" s="1"/>
  <c r="P36" i="13"/>
  <c r="P37" i="13"/>
  <c r="P40" i="13"/>
  <c r="P16" i="13"/>
  <c r="P21" i="13"/>
  <c r="P26" i="13"/>
  <c r="M24" i="11"/>
  <c r="Q51" i="13"/>
  <c r="Q42" i="13"/>
  <c r="Q17" i="13"/>
  <c r="Q15" i="13"/>
  <c r="Q9" i="13"/>
  <c r="Q26" i="13"/>
  <c r="W39" i="12"/>
  <c r="W39" i="13"/>
  <c r="W13" i="12"/>
  <c r="W13" i="13"/>
  <c r="W18" i="12"/>
  <c r="W18" i="13"/>
  <c r="W27" i="13"/>
  <c r="W50" i="12"/>
  <c r="W50" i="13"/>
  <c r="W49" i="12"/>
  <c r="W49" i="13"/>
  <c r="L43" i="13"/>
  <c r="L18" i="13"/>
  <c r="L44" i="13"/>
  <c r="L20" i="13"/>
  <c r="L22" i="13"/>
  <c r="L28" i="13"/>
  <c r="X41" i="13"/>
  <c r="X29" i="13"/>
  <c r="X31" i="13"/>
  <c r="X27" i="13"/>
  <c r="X39" i="13"/>
  <c r="X48" i="13"/>
  <c r="O47" i="13"/>
  <c r="O34" i="13"/>
  <c r="O51" i="13"/>
  <c r="O28" i="13"/>
  <c r="O9" i="13"/>
  <c r="O7" i="13"/>
  <c r="S27" i="15"/>
  <c r="R27" i="16"/>
  <c r="R27" i="17"/>
  <c r="S27" i="17" s="1"/>
  <c r="S33" i="15"/>
  <c r="R33" i="16"/>
  <c r="S33" i="16" s="1"/>
  <c r="R33" i="17"/>
  <c r="S33" i="17" s="1"/>
  <c r="S21" i="15"/>
  <c r="R21" i="16"/>
  <c r="R21" i="17"/>
  <c r="S21" i="17" s="1"/>
  <c r="S34" i="15"/>
  <c r="R34" i="16"/>
  <c r="R34" i="17"/>
  <c r="S34" i="17" s="1"/>
  <c r="M36" i="11"/>
  <c r="S45" i="17"/>
  <c r="S45" i="16"/>
  <c r="S45" i="15"/>
  <c r="S45" i="14"/>
  <c r="AH41" i="12"/>
  <c r="AH41" i="13"/>
  <c r="AH37" i="12"/>
  <c r="AH37" i="13"/>
  <c r="AH40" i="12"/>
  <c r="AH40" i="13"/>
  <c r="AH23" i="12"/>
  <c r="AH23" i="13"/>
  <c r="AH25" i="12"/>
  <c r="AH25" i="13"/>
  <c r="AH19" i="12"/>
  <c r="AH19" i="13"/>
  <c r="S53" i="11"/>
  <c r="M48" i="11"/>
  <c r="U47" i="13"/>
  <c r="U6" i="13"/>
  <c r="U15" i="13"/>
  <c r="U24" i="13"/>
  <c r="AB24" i="11"/>
  <c r="U29" i="13"/>
  <c r="U49" i="13"/>
  <c r="M51" i="11"/>
  <c r="R32" i="13"/>
  <c r="R47" i="13"/>
  <c r="R7" i="13"/>
  <c r="R16" i="13"/>
  <c r="R21" i="13"/>
  <c r="R26" i="13"/>
  <c r="AD23" i="11"/>
  <c r="AC23" i="12"/>
  <c r="AD23" i="12" s="1"/>
  <c r="AC23" i="13"/>
  <c r="AD23" i="13" s="1"/>
  <c r="AD30" i="11"/>
  <c r="AC30" i="12"/>
  <c r="AC30" i="13"/>
  <c r="AD30" i="13" s="1"/>
  <c r="AD35" i="11"/>
  <c r="AC35" i="12"/>
  <c r="AC35" i="13"/>
  <c r="AD35" i="13" s="1"/>
  <c r="AD26" i="11"/>
  <c r="AC26" i="12"/>
  <c r="AC26" i="13"/>
  <c r="AD26" i="13" s="1"/>
  <c r="AD19" i="11"/>
  <c r="AC19" i="12"/>
  <c r="AC19" i="13"/>
  <c r="AD19" i="13" s="1"/>
  <c r="AD17" i="11"/>
  <c r="AC17" i="12"/>
  <c r="AC17" i="13"/>
  <c r="AD17" i="13" s="1"/>
  <c r="P34" i="13"/>
  <c r="P43" i="13"/>
  <c r="P44" i="13"/>
  <c r="P20" i="13"/>
  <c r="P25" i="13"/>
  <c r="P7" i="13"/>
  <c r="M49" i="11"/>
  <c r="Q50" i="13"/>
  <c r="Q49" i="13"/>
  <c r="Q48" i="13"/>
  <c r="Q23" i="13"/>
  <c r="Q13" i="13"/>
  <c r="M46" i="11"/>
  <c r="W36" i="12"/>
  <c r="W36" i="13"/>
  <c r="W17" i="12"/>
  <c r="W17" i="13"/>
  <c r="W22" i="12"/>
  <c r="V22" i="27" s="1"/>
  <c r="V74" i="27" s="1"/>
  <c r="W22" i="13"/>
  <c r="W8" i="12"/>
  <c r="W8" i="13"/>
  <c r="W43" i="12"/>
  <c r="W43" i="13"/>
  <c r="M32" i="11"/>
  <c r="L42" i="13"/>
  <c r="L32" i="13"/>
  <c r="L39" i="13"/>
  <c r="L9" i="13"/>
  <c r="L26" i="13"/>
  <c r="L5" i="13"/>
  <c r="L53" i="11"/>
  <c r="L58" i="11" s="1"/>
  <c r="L50" i="12" s="1"/>
  <c r="L50" i="27" s="1"/>
  <c r="L102" i="27" s="1"/>
  <c r="X49" i="13"/>
  <c r="X6" i="13"/>
  <c r="X37" i="13"/>
  <c r="X8" i="13"/>
  <c r="X43" i="13"/>
  <c r="M50" i="11"/>
  <c r="O9" i="15"/>
  <c r="O7" i="15"/>
  <c r="O5" i="15"/>
  <c r="O10" i="15"/>
  <c r="O8" i="15"/>
  <c r="O6" i="15"/>
  <c r="O15" i="15"/>
  <c r="O17" i="15"/>
  <c r="O36" i="15"/>
  <c r="O32" i="15"/>
  <c r="O12" i="15"/>
  <c r="O13" i="15"/>
  <c r="O25" i="15"/>
  <c r="O18" i="15"/>
  <c r="O38" i="15"/>
  <c r="O40" i="15"/>
  <c r="O27" i="15"/>
  <c r="O11" i="15"/>
  <c r="O14" i="15"/>
  <c r="O24" i="15"/>
  <c r="O20" i="15"/>
  <c r="O23" i="15"/>
  <c r="O21" i="15"/>
  <c r="O26" i="15"/>
  <c r="O31" i="15"/>
  <c r="O41" i="15"/>
  <c r="O29" i="15"/>
  <c r="O35" i="15"/>
  <c r="O39" i="15"/>
  <c r="O28" i="15"/>
  <c r="O34" i="15"/>
  <c r="O22" i="15"/>
  <c r="O30" i="15"/>
  <c r="O37" i="15"/>
  <c r="O19" i="15"/>
  <c r="O16" i="15"/>
  <c r="O33" i="15"/>
  <c r="O46" i="13"/>
  <c r="O30" i="13"/>
  <c r="O27" i="13"/>
  <c r="O13" i="13"/>
  <c r="O11" i="13"/>
  <c r="S22" i="15"/>
  <c r="R22" i="16"/>
  <c r="R22" i="17"/>
  <c r="S22" i="17" s="1"/>
  <c r="S39" i="15"/>
  <c r="R39" i="16"/>
  <c r="R39" i="17"/>
  <c r="S39" i="17" s="1"/>
  <c r="S32" i="15"/>
  <c r="R32" i="16"/>
  <c r="R32" i="17"/>
  <c r="S32" i="17" s="1"/>
  <c r="S7" i="15"/>
  <c r="R7" i="16"/>
  <c r="R7" i="17"/>
  <c r="S7" i="17" s="1"/>
  <c r="Z53" i="12"/>
  <c r="AA53" i="12"/>
  <c r="M20" i="11"/>
  <c r="M47" i="11"/>
  <c r="AH35" i="12"/>
  <c r="AH35" i="13"/>
  <c r="AH49" i="12"/>
  <c r="AD49" i="27" s="1"/>
  <c r="AD101" i="27" s="1"/>
  <c r="AH49" i="13"/>
  <c r="AH42" i="12"/>
  <c r="AH42" i="13"/>
  <c r="AH27" i="12"/>
  <c r="AH27" i="13"/>
  <c r="AH6" i="12"/>
  <c r="AH6" i="13"/>
  <c r="AH8" i="12"/>
  <c r="AD8" i="27" s="1"/>
  <c r="AD60" i="27" s="1"/>
  <c r="AH8" i="13"/>
  <c r="M37" i="11"/>
  <c r="AB45" i="11"/>
  <c r="U45" i="13"/>
  <c r="U10" i="13"/>
  <c r="AB10" i="11"/>
  <c r="U19" i="13"/>
  <c r="U28" i="13"/>
  <c r="AB28" i="11"/>
  <c r="U43" i="13"/>
  <c r="AB43" i="11"/>
  <c r="U42" i="13"/>
  <c r="M8" i="11"/>
  <c r="R43" i="13"/>
  <c r="R34" i="13"/>
  <c r="R11" i="13"/>
  <c r="R20" i="13"/>
  <c r="R25" i="13"/>
  <c r="M41" i="11"/>
  <c r="AD31" i="11"/>
  <c r="AC31" i="12"/>
  <c r="AC31" i="13"/>
  <c r="AD31" i="13" s="1"/>
  <c r="AD36" i="11"/>
  <c r="AC36" i="12"/>
  <c r="AC36" i="13"/>
  <c r="AD36" i="13" s="1"/>
  <c r="AD27" i="11"/>
  <c r="AC27" i="12"/>
  <c r="AD27" i="12" s="1"/>
  <c r="AC27" i="13"/>
  <c r="AD27" i="13" s="1"/>
  <c r="AD24" i="11"/>
  <c r="AC24" i="12"/>
  <c r="AC24" i="13"/>
  <c r="AD24" i="13" s="1"/>
  <c r="AD8" i="11"/>
  <c r="AC8" i="12"/>
  <c r="AC8" i="13"/>
  <c r="AD8" i="13" s="1"/>
  <c r="AD25" i="11"/>
  <c r="AC25" i="12"/>
  <c r="AC25" i="13"/>
  <c r="AD25" i="13" s="1"/>
  <c r="P39" i="13"/>
  <c r="P30" i="13"/>
  <c r="P42" i="13"/>
  <c r="P24" i="13"/>
  <c r="P29" i="13"/>
  <c r="P11" i="13"/>
  <c r="Q44" i="13"/>
  <c r="Q12" i="13"/>
  <c r="Q36" i="13"/>
  <c r="Q47" i="13"/>
  <c r="Q27" i="13"/>
  <c r="Q21" i="13"/>
  <c r="W35" i="12"/>
  <c r="V35" i="27" s="1"/>
  <c r="V87" i="27" s="1"/>
  <c r="W35" i="13"/>
  <c r="W46" i="12"/>
  <c r="W46" i="13"/>
  <c r="W21" i="12"/>
  <c r="W21" i="13"/>
  <c r="W26" i="12"/>
  <c r="W26" i="13"/>
  <c r="W12" i="12"/>
  <c r="V12" i="27" s="1"/>
  <c r="V64" i="27" s="1"/>
  <c r="W12" i="13"/>
  <c r="W51" i="12"/>
  <c r="W51" i="13"/>
  <c r="M12" i="11"/>
  <c r="L48" i="13"/>
  <c r="L33" i="13"/>
  <c r="L30" i="13"/>
  <c r="L13" i="13"/>
  <c r="L15" i="13"/>
  <c r="X12" i="13"/>
  <c r="X53" i="11"/>
  <c r="X58" i="11" s="1"/>
  <c r="X26" i="12" s="1"/>
  <c r="X5" i="13"/>
  <c r="X10" i="13"/>
  <c r="X45" i="13"/>
  <c r="X34" i="13"/>
  <c r="X47" i="13"/>
  <c r="M31" i="11"/>
  <c r="Y54" i="13"/>
  <c r="Y54" i="12"/>
  <c r="Y58" i="12" s="1"/>
  <c r="Y54" i="11"/>
  <c r="M23" i="11"/>
  <c r="O42" i="13"/>
  <c r="N15" i="15"/>
  <c r="N9" i="15"/>
  <c r="N7" i="15"/>
  <c r="N5" i="15"/>
  <c r="N10" i="15"/>
  <c r="N8" i="15"/>
  <c r="N6" i="15"/>
  <c r="N17" i="15"/>
  <c r="N35" i="15"/>
  <c r="N28" i="15"/>
  <c r="N24" i="15"/>
  <c r="N36" i="15"/>
  <c r="N25" i="15"/>
  <c r="N12" i="15"/>
  <c r="N23" i="15"/>
  <c r="N32" i="15"/>
  <c r="N19" i="15"/>
  <c r="N11" i="15"/>
  <c r="N31" i="15"/>
  <c r="N40" i="15"/>
  <c r="N30" i="15"/>
  <c r="N21" i="15"/>
  <c r="N18" i="15"/>
  <c r="N29" i="15"/>
  <c r="N26" i="15"/>
  <c r="N37" i="15"/>
  <c r="N14" i="15"/>
  <c r="N20" i="15"/>
  <c r="N39" i="15"/>
  <c r="N33" i="15"/>
  <c r="N13" i="15"/>
  <c r="N41" i="15"/>
  <c r="N22" i="15"/>
  <c r="N27" i="15"/>
  <c r="N16" i="15"/>
  <c r="N34" i="15"/>
  <c r="N38" i="15"/>
  <c r="O24" i="13"/>
  <c r="O45" i="13"/>
  <c r="O44" i="13"/>
  <c r="O26" i="13"/>
  <c r="O17" i="13"/>
  <c r="O15" i="13"/>
  <c r="S25" i="15"/>
  <c r="R25" i="16"/>
  <c r="R25" i="17"/>
  <c r="S25" i="17" s="1"/>
  <c r="S13" i="15"/>
  <c r="R13" i="16"/>
  <c r="R13" i="17"/>
  <c r="S13" i="17" s="1"/>
  <c r="S38" i="15"/>
  <c r="R38" i="16"/>
  <c r="R38" i="17"/>
  <c r="S38" i="17" s="1"/>
  <c r="S9" i="15"/>
  <c r="R9" i="16"/>
  <c r="R9" i="17"/>
  <c r="S9" i="17" s="1"/>
  <c r="M14" i="11"/>
  <c r="AH33" i="12"/>
  <c r="AH33" i="13"/>
  <c r="AH46" i="12"/>
  <c r="AH46" i="13"/>
  <c r="AH24" i="12"/>
  <c r="AH24" i="13"/>
  <c r="AH43" i="12"/>
  <c r="AH43" i="13"/>
  <c r="AH10" i="12"/>
  <c r="AH10" i="13"/>
  <c r="AH12" i="12"/>
  <c r="AH12" i="13"/>
  <c r="M13" i="11"/>
  <c r="U32" i="13"/>
  <c r="U14" i="13"/>
  <c r="AB14" i="11"/>
  <c r="AB23" i="11"/>
  <c r="U23" i="13"/>
  <c r="U5" i="13"/>
  <c r="U53" i="11"/>
  <c r="U58" i="11" s="1"/>
  <c r="U35" i="12" s="1"/>
  <c r="T35" i="27" s="1"/>
  <c r="T87" i="27" s="1"/>
  <c r="U51" i="13"/>
  <c r="AB51" i="11"/>
  <c r="AB50" i="11"/>
  <c r="U50" i="13"/>
  <c r="R46" i="13"/>
  <c r="R30" i="13"/>
  <c r="R33" i="13"/>
  <c r="R15" i="13"/>
  <c r="R24" i="13"/>
  <c r="R29" i="13"/>
  <c r="M21" i="11"/>
  <c r="AD38" i="11"/>
  <c r="AC38" i="12"/>
  <c r="AC38" i="13"/>
  <c r="AD38" i="13" s="1"/>
  <c r="AD41" i="11"/>
  <c r="AC41" i="12"/>
  <c r="AC41" i="13"/>
  <c r="AD41" i="13" s="1"/>
  <c r="AD47" i="11"/>
  <c r="AC47" i="12"/>
  <c r="AD47" i="12" s="1"/>
  <c r="AC47" i="13"/>
  <c r="AD47" i="13" s="1"/>
  <c r="AD10" i="11"/>
  <c r="AC10" i="12"/>
  <c r="AC10" i="13"/>
  <c r="AD10" i="13" s="1"/>
  <c r="AD12" i="11"/>
  <c r="AC12" i="12"/>
  <c r="AC12" i="13"/>
  <c r="AD12" i="13" s="1"/>
  <c r="AD6" i="11"/>
  <c r="AC6" i="12"/>
  <c r="AC6" i="13"/>
  <c r="AD6" i="13" s="1"/>
  <c r="P31" i="13"/>
  <c r="P35" i="13"/>
  <c r="P33" i="13"/>
  <c r="P28" i="13"/>
  <c r="P6" i="13"/>
  <c r="P15" i="13"/>
  <c r="Q34" i="13"/>
  <c r="Q38" i="13"/>
  <c r="Q19" i="13"/>
  <c r="Q7" i="13"/>
  <c r="Q8" i="13"/>
  <c r="Q29" i="13"/>
  <c r="W38" i="12"/>
  <c r="W38" i="13"/>
  <c r="W47" i="12"/>
  <c r="W47" i="13"/>
  <c r="W25" i="12"/>
  <c r="V25" i="27" s="1"/>
  <c r="V77" i="27" s="1"/>
  <c r="W25" i="13"/>
  <c r="W7" i="12"/>
  <c r="V7" i="27" s="1"/>
  <c r="V59" i="27" s="1"/>
  <c r="W7" i="13"/>
  <c r="W16" i="12"/>
  <c r="W16" i="13"/>
  <c r="W44" i="12"/>
  <c r="W44" i="13"/>
  <c r="L49" i="13"/>
  <c r="L35" i="13"/>
  <c r="L46" i="13"/>
  <c r="L37" i="13"/>
  <c r="L21" i="13"/>
  <c r="L23" i="13"/>
  <c r="X16" i="13"/>
  <c r="X9" i="12"/>
  <c r="X9" i="13"/>
  <c r="X14" i="13"/>
  <c r="X7" i="13"/>
  <c r="X38" i="13"/>
  <c r="X51" i="12"/>
  <c r="X51" i="13"/>
  <c r="M17" i="11"/>
  <c r="D35" i="9"/>
  <c r="M10" i="30" l="1"/>
  <c r="M8" i="30"/>
  <c r="AD40" i="27"/>
  <c r="AD92" i="27" s="1"/>
  <c r="V18" i="27"/>
  <c r="V70" i="27" s="1"/>
  <c r="O9" i="29"/>
  <c r="O15" i="29" s="1"/>
  <c r="P7" i="29"/>
  <c r="P13" i="29" s="1"/>
  <c r="M10" i="15"/>
  <c r="M33" i="15"/>
  <c r="M40" i="15"/>
  <c r="M41" i="15"/>
  <c r="M17" i="15"/>
  <c r="M6" i="15"/>
  <c r="M18" i="15"/>
  <c r="M20" i="15"/>
  <c r="M24" i="15"/>
  <c r="M35" i="15"/>
  <c r="M21" i="15"/>
  <c r="M13" i="15"/>
  <c r="M8" i="15"/>
  <c r="M25" i="15"/>
  <c r="M27" i="15"/>
  <c r="M39" i="15"/>
  <c r="M28" i="15"/>
  <c r="M22" i="15"/>
  <c r="M34" i="15"/>
  <c r="M5" i="15"/>
  <c r="M15" i="15"/>
  <c r="M32" i="15"/>
  <c r="M30" i="15"/>
  <c r="M29" i="15"/>
  <c r="M37" i="15"/>
  <c r="M26" i="15"/>
  <c r="M7" i="15"/>
  <c r="M23" i="15"/>
  <c r="M9" i="15"/>
  <c r="M36" i="15"/>
  <c r="M14" i="15"/>
  <c r="M16" i="15"/>
  <c r="M11" i="15"/>
  <c r="M12" i="15"/>
  <c r="M19" i="15"/>
  <c r="M31" i="15"/>
  <c r="M38" i="15"/>
  <c r="AI30" i="13"/>
  <c r="AI53" i="11"/>
  <c r="AI58" i="11" s="1"/>
  <c r="AI18" i="12" s="1"/>
  <c r="AE18" i="27" s="1"/>
  <c r="AE70" i="27" s="1"/>
  <c r="AI5" i="13"/>
  <c r="AI53" i="13" s="1"/>
  <c r="AD19" i="27"/>
  <c r="AD71" i="27" s="1"/>
  <c r="AD37" i="27"/>
  <c r="AD89" i="27" s="1"/>
  <c r="AI50" i="13"/>
  <c r="AI33" i="13"/>
  <c r="AI33" i="12"/>
  <c r="AE33" i="27" s="1"/>
  <c r="AE85" i="27" s="1"/>
  <c r="P49" i="27"/>
  <c r="P101" i="27" s="1"/>
  <c r="AI31" i="13"/>
  <c r="W51" i="27"/>
  <c r="W103" i="27" s="1"/>
  <c r="V21" i="27"/>
  <c r="V73" i="27" s="1"/>
  <c r="V50" i="27"/>
  <c r="V102" i="27" s="1"/>
  <c r="AI34" i="12"/>
  <c r="AE34" i="27" s="1"/>
  <c r="AE86" i="27" s="1"/>
  <c r="AI22" i="12"/>
  <c r="AE22" i="27" s="1"/>
  <c r="AE74" i="27" s="1"/>
  <c r="AI41" i="13"/>
  <c r="AB25" i="11"/>
  <c r="V39" i="27"/>
  <c r="V91" i="27" s="1"/>
  <c r="AD17" i="27"/>
  <c r="AD69" i="27" s="1"/>
  <c r="AD24" i="27"/>
  <c r="AD76" i="27" s="1"/>
  <c r="AD6" i="27"/>
  <c r="AD58" i="27" s="1"/>
  <c r="AD35" i="27"/>
  <c r="AD87" i="27" s="1"/>
  <c r="W9" i="27"/>
  <c r="W61" i="27" s="1"/>
  <c r="W30" i="12"/>
  <c r="V30" i="27" s="1"/>
  <c r="V82" i="27" s="1"/>
  <c r="AD10" i="27"/>
  <c r="AD62" i="27" s="1"/>
  <c r="Q17" i="28"/>
  <c r="Q59" i="28" s="1"/>
  <c r="AD44" i="27"/>
  <c r="AD96" i="27" s="1"/>
  <c r="X38" i="12"/>
  <c r="W38" i="27" s="1"/>
  <c r="W90" i="27" s="1"/>
  <c r="X16" i="12"/>
  <c r="L49" i="12"/>
  <c r="L49" i="27" s="1"/>
  <c r="L101" i="27" s="1"/>
  <c r="AD27" i="27"/>
  <c r="AD79" i="27" s="1"/>
  <c r="O11" i="12"/>
  <c r="O11" i="27" s="1"/>
  <c r="O63" i="27" s="1"/>
  <c r="V17" i="27"/>
  <c r="V69" i="27" s="1"/>
  <c r="AC13" i="12"/>
  <c r="AC43" i="12"/>
  <c r="Q5" i="28"/>
  <c r="Q47" i="28" s="1"/>
  <c r="X34" i="12"/>
  <c r="W34" i="27" s="1"/>
  <c r="W86" i="27" s="1"/>
  <c r="AD23" i="27"/>
  <c r="AD75" i="27" s="1"/>
  <c r="X7" i="12"/>
  <c r="L21" i="12"/>
  <c r="L21" i="27" s="1"/>
  <c r="L73" i="27" s="1"/>
  <c r="V26" i="27"/>
  <c r="V78" i="27" s="1"/>
  <c r="W27" i="12"/>
  <c r="AC22" i="12"/>
  <c r="AA22" i="27" s="1"/>
  <c r="AA74" i="27" s="1"/>
  <c r="AC11" i="12"/>
  <c r="AD11" i="12" s="1"/>
  <c r="X14" i="12"/>
  <c r="W42" i="12"/>
  <c r="V42" i="27" s="1"/>
  <c r="V94" i="27" s="1"/>
  <c r="Q22" i="27"/>
  <c r="Q74" i="27" s="1"/>
  <c r="AH13" i="12"/>
  <c r="AD13" i="27" s="1"/>
  <c r="AD65" i="27" s="1"/>
  <c r="O46" i="12"/>
  <c r="O46" i="27" s="1"/>
  <c r="O98" i="27" s="1"/>
  <c r="O7" i="29"/>
  <c r="O13" i="29" s="1"/>
  <c r="W26" i="27"/>
  <c r="W78" i="27" s="1"/>
  <c r="AD36" i="12"/>
  <c r="AA36" i="27"/>
  <c r="AA88" i="27" s="1"/>
  <c r="AB44" i="11"/>
  <c r="S7" i="16"/>
  <c r="Q7" i="28"/>
  <c r="Q49" i="28" s="1"/>
  <c r="V8" i="27"/>
  <c r="V60" i="27" s="1"/>
  <c r="P25" i="12"/>
  <c r="P25" i="27" s="1"/>
  <c r="P77" i="27" s="1"/>
  <c r="AD35" i="12"/>
  <c r="AA35" i="27"/>
  <c r="AA87" i="27" s="1"/>
  <c r="S21" i="16"/>
  <c r="Q21" i="28"/>
  <c r="Q63" i="28" s="1"/>
  <c r="AD15" i="12"/>
  <c r="AA15" i="27"/>
  <c r="AA67" i="27" s="1"/>
  <c r="AD30" i="27"/>
  <c r="AD82" i="27" s="1"/>
  <c r="S35" i="16"/>
  <c r="Q35" i="28"/>
  <c r="Q77" i="28" s="1"/>
  <c r="AB48" i="11"/>
  <c r="W14" i="12"/>
  <c r="V14" i="27" s="1"/>
  <c r="V66" i="27" s="1"/>
  <c r="P12" i="12"/>
  <c r="P12" i="27" s="1"/>
  <c r="P64" i="27" s="1"/>
  <c r="S40" i="16"/>
  <c r="Q40" i="28"/>
  <c r="Q82" i="28" s="1"/>
  <c r="S28" i="16"/>
  <c r="Q28" i="28"/>
  <c r="Q70" i="28" s="1"/>
  <c r="AD10" i="12"/>
  <c r="AA10" i="27"/>
  <c r="AA62" i="27" s="1"/>
  <c r="AD12" i="27"/>
  <c r="AD64" i="27" s="1"/>
  <c r="AD46" i="27"/>
  <c r="AD98" i="27" s="1"/>
  <c r="S38" i="16"/>
  <c r="Q38" i="28"/>
  <c r="Q80" i="28" s="1"/>
  <c r="AD24" i="12"/>
  <c r="AA24" i="27"/>
  <c r="AA76" i="27" s="1"/>
  <c r="S22" i="16"/>
  <c r="Q22" i="28"/>
  <c r="Q64" i="28" s="1"/>
  <c r="V27" i="27"/>
  <c r="V79" i="27" s="1"/>
  <c r="AD22" i="12"/>
  <c r="AB39" i="11"/>
  <c r="AB33" i="11"/>
  <c r="S36" i="16"/>
  <c r="Q36" i="28"/>
  <c r="Q78" i="28" s="1"/>
  <c r="S41" i="16"/>
  <c r="Q41" i="28"/>
  <c r="Q83" i="28" s="1"/>
  <c r="AA47" i="27"/>
  <c r="AA99" i="27" s="1"/>
  <c r="Q30" i="28"/>
  <c r="Q72" i="28" s="1"/>
  <c r="AD41" i="12"/>
  <c r="AA41" i="27"/>
  <c r="AA93" i="27" s="1"/>
  <c r="S8" i="16"/>
  <c r="Q8" i="28"/>
  <c r="Q50" i="28" s="1"/>
  <c r="AD38" i="12"/>
  <c r="AA38" i="27"/>
  <c r="AA90" i="27" s="1"/>
  <c r="AD31" i="12"/>
  <c r="AA31" i="27"/>
  <c r="AA83" i="27" s="1"/>
  <c r="AD19" i="12"/>
  <c r="AA19" i="27"/>
  <c r="AA71" i="27" s="1"/>
  <c r="S11" i="16"/>
  <c r="Q11" i="28"/>
  <c r="Q53" i="28" s="1"/>
  <c r="AB36" i="11"/>
  <c r="AB9" i="11"/>
  <c r="W41" i="12"/>
  <c r="V41" i="27" s="1"/>
  <c r="V93" i="27" s="1"/>
  <c r="W9" i="12"/>
  <c r="V9" i="27" s="1"/>
  <c r="V61" i="27" s="1"/>
  <c r="S10" i="16"/>
  <c r="Q10" i="28"/>
  <c r="Q52" i="28" s="1"/>
  <c r="S14" i="16"/>
  <c r="Q14" i="28"/>
  <c r="Q56" i="28" s="1"/>
  <c r="W16" i="27"/>
  <c r="W68" i="27" s="1"/>
  <c r="W7" i="27"/>
  <c r="W59" i="27" s="1"/>
  <c r="V44" i="27"/>
  <c r="V96" i="27" s="1"/>
  <c r="V47" i="27"/>
  <c r="V99" i="27" s="1"/>
  <c r="AD6" i="12"/>
  <c r="AA6" i="27"/>
  <c r="AA58" i="27" s="1"/>
  <c r="AD33" i="27"/>
  <c r="AD85" i="27" s="1"/>
  <c r="X47" i="12"/>
  <c r="W47" i="27" s="1"/>
  <c r="W99" i="27" s="1"/>
  <c r="X12" i="12"/>
  <c r="W12" i="27" s="1"/>
  <c r="W64" i="27" s="1"/>
  <c r="V51" i="27"/>
  <c r="V103" i="27" s="1"/>
  <c r="V46" i="27"/>
  <c r="V98" i="27" s="1"/>
  <c r="AD25" i="12"/>
  <c r="AA25" i="27"/>
  <c r="AA77" i="27" s="1"/>
  <c r="S32" i="16"/>
  <c r="Q32" i="28"/>
  <c r="Q74" i="28" s="1"/>
  <c r="AD30" i="12"/>
  <c r="AA30" i="27"/>
  <c r="AA82" i="27" s="1"/>
  <c r="AD46" i="12"/>
  <c r="AA46" i="27"/>
  <c r="AA98" i="27" s="1"/>
  <c r="S16" i="16"/>
  <c r="Q16" i="28"/>
  <c r="Q58" i="28" s="1"/>
  <c r="AB27" i="11"/>
  <c r="S23" i="16"/>
  <c r="Q23" i="28"/>
  <c r="Q65" i="28" s="1"/>
  <c r="S12" i="16"/>
  <c r="Q12" i="28"/>
  <c r="Q54" i="28" s="1"/>
  <c r="S19" i="16"/>
  <c r="Q19" i="28"/>
  <c r="Q61" i="28" s="1"/>
  <c r="S29" i="16"/>
  <c r="Q29" i="28"/>
  <c r="Q71" i="28" s="1"/>
  <c r="Q6" i="28"/>
  <c r="Q48" i="28" s="1"/>
  <c r="G11" i="30" s="1"/>
  <c r="AA27" i="27"/>
  <c r="AA79" i="27" s="1"/>
  <c r="AA23" i="27"/>
  <c r="AA75" i="27" s="1"/>
  <c r="AA37" i="27"/>
  <c r="AA89" i="27" s="1"/>
  <c r="S13" i="16"/>
  <c r="Q13" i="28"/>
  <c r="Q55" i="28" s="1"/>
  <c r="AB22" i="11"/>
  <c r="Q18" i="28"/>
  <c r="Q60" i="28" s="1"/>
  <c r="Q20" i="28"/>
  <c r="Q62" i="28" s="1"/>
  <c r="S25" i="16"/>
  <c r="Q25" i="28"/>
  <c r="Q67" i="28" s="1"/>
  <c r="V16" i="27"/>
  <c r="V68" i="27" s="1"/>
  <c r="AB32" i="11"/>
  <c r="P34" i="12"/>
  <c r="P34" i="27" s="1"/>
  <c r="P86" i="27" s="1"/>
  <c r="AD26" i="12"/>
  <c r="AA26" i="27"/>
  <c r="AA78" i="27" s="1"/>
  <c r="S34" i="16"/>
  <c r="Q34" i="28"/>
  <c r="Q76" i="28" s="1"/>
  <c r="V49" i="27"/>
  <c r="V101" i="27" s="1"/>
  <c r="V13" i="27"/>
  <c r="V65" i="27" s="1"/>
  <c r="S31" i="16"/>
  <c r="Q31" i="28"/>
  <c r="Q73" i="28" s="1"/>
  <c r="AB34" i="11"/>
  <c r="S15" i="16"/>
  <c r="Q15" i="28"/>
  <c r="Q57" i="28" s="1"/>
  <c r="Q26" i="28"/>
  <c r="Q68" i="28" s="1"/>
  <c r="AD17" i="12"/>
  <c r="AA17" i="27"/>
  <c r="AA69" i="27" s="1"/>
  <c r="W14" i="27"/>
  <c r="W66" i="27" s="1"/>
  <c r="V38" i="27"/>
  <c r="V90" i="27" s="1"/>
  <c r="AD43" i="27"/>
  <c r="AD95" i="27" s="1"/>
  <c r="AD12" i="12"/>
  <c r="AA12" i="27"/>
  <c r="AA64" i="27" s="1"/>
  <c r="S9" i="16"/>
  <c r="Q9" i="28"/>
  <c r="Q51" i="28" s="1"/>
  <c r="AD8" i="12"/>
  <c r="AA8" i="27"/>
  <c r="AA60" i="27" s="1"/>
  <c r="AD42" i="27"/>
  <c r="AD94" i="27" s="1"/>
  <c r="S39" i="16"/>
  <c r="Q39" i="28"/>
  <c r="Q81" i="28" s="1"/>
  <c r="V43" i="27"/>
  <c r="V95" i="27" s="1"/>
  <c r="V36" i="27"/>
  <c r="V88" i="27" s="1"/>
  <c r="AD25" i="27"/>
  <c r="AD77" i="27" s="1"/>
  <c r="AD41" i="27"/>
  <c r="AD93" i="27" s="1"/>
  <c r="S27" i="16"/>
  <c r="Q27" i="28"/>
  <c r="Q69" i="28" s="1"/>
  <c r="AD13" i="12"/>
  <c r="AA13" i="27"/>
  <c r="AA65" i="27" s="1"/>
  <c r="AD43" i="12"/>
  <c r="AA43" i="27"/>
  <c r="AA95" i="27" s="1"/>
  <c r="AB11" i="11"/>
  <c r="AD34" i="27"/>
  <c r="AD86" i="27" s="1"/>
  <c r="AB7" i="11"/>
  <c r="W23" i="12"/>
  <c r="V23" i="27" s="1"/>
  <c r="V75" i="27" s="1"/>
  <c r="AC32" i="12"/>
  <c r="S24" i="16"/>
  <c r="Q24" i="28"/>
  <c r="Q66" i="28" s="1"/>
  <c r="S37" i="16"/>
  <c r="Q37" i="28"/>
  <c r="Q79" i="28" s="1"/>
  <c r="AA14" i="27"/>
  <c r="AA66" i="27" s="1"/>
  <c r="Q33" i="28"/>
  <c r="Q75" i="28" s="1"/>
  <c r="P15" i="29"/>
  <c r="P14" i="29"/>
  <c r="L28" i="12"/>
  <c r="L28" i="27" s="1"/>
  <c r="L80" i="27" s="1"/>
  <c r="L7" i="12"/>
  <c r="L7" i="27" s="1"/>
  <c r="L59" i="27" s="1"/>
  <c r="W19" i="12"/>
  <c r="V19" i="27" s="1"/>
  <c r="V71" i="27" s="1"/>
  <c r="U39" i="12"/>
  <c r="T39" i="27" s="1"/>
  <c r="T91" i="27" s="1"/>
  <c r="AC18" i="12"/>
  <c r="L41" i="12"/>
  <c r="L41" i="27" s="1"/>
  <c r="L93" i="27" s="1"/>
  <c r="AH50" i="12"/>
  <c r="AD50" i="27" s="1"/>
  <c r="AD102" i="27" s="1"/>
  <c r="U51" i="12"/>
  <c r="T51" i="27" s="1"/>
  <c r="T103" i="27" s="1"/>
  <c r="U28" i="12"/>
  <c r="T28" i="27" s="1"/>
  <c r="T80" i="27" s="1"/>
  <c r="X49" i="12"/>
  <c r="W49" i="27" s="1"/>
  <c r="W101" i="27" s="1"/>
  <c r="U24" i="12"/>
  <c r="T24" i="27" s="1"/>
  <c r="T76" i="27" s="1"/>
  <c r="U11" i="12"/>
  <c r="T11" i="27" s="1"/>
  <c r="T63" i="27" s="1"/>
  <c r="AB42" i="11"/>
  <c r="AB29" i="11"/>
  <c r="AB37" i="11"/>
  <c r="X27" i="12"/>
  <c r="W27" i="27" s="1"/>
  <c r="W79" i="27" s="1"/>
  <c r="X21" i="12"/>
  <c r="W21" i="27" s="1"/>
  <c r="W73" i="27" s="1"/>
  <c r="AH5" i="12"/>
  <c r="AD5" i="27" s="1"/>
  <c r="AD57" i="27" s="1"/>
  <c r="U32" i="12"/>
  <c r="T32" i="27" s="1"/>
  <c r="T84" i="27" s="1"/>
  <c r="U50" i="12"/>
  <c r="T50" i="27" s="1"/>
  <c r="T102" i="27" s="1"/>
  <c r="X45" i="12"/>
  <c r="W45" i="27" s="1"/>
  <c r="W97" i="27" s="1"/>
  <c r="L13" i="12"/>
  <c r="L13" i="27" s="1"/>
  <c r="L65" i="27" s="1"/>
  <c r="U42" i="12"/>
  <c r="T42" i="27" s="1"/>
  <c r="T94" i="27" s="1"/>
  <c r="X43" i="12"/>
  <c r="W43" i="27" s="1"/>
  <c r="W95" i="27" s="1"/>
  <c r="L14" i="12"/>
  <c r="L14" i="27" s="1"/>
  <c r="L66" i="27" s="1"/>
  <c r="AC39" i="12"/>
  <c r="W5" i="12"/>
  <c r="V5" i="27" s="1"/>
  <c r="V57" i="27" s="1"/>
  <c r="AC29" i="12"/>
  <c r="U12" i="12"/>
  <c r="T12" i="27" s="1"/>
  <c r="T64" i="27" s="1"/>
  <c r="AH36" i="12"/>
  <c r="AD36" i="27" s="1"/>
  <c r="AD88" i="27" s="1"/>
  <c r="U5" i="12"/>
  <c r="T5" i="27" s="1"/>
  <c r="T57" i="27" s="1"/>
  <c r="L37" i="12"/>
  <c r="L37" i="27" s="1"/>
  <c r="L89" i="27" s="1"/>
  <c r="U23" i="12"/>
  <c r="T23" i="27" s="1"/>
  <c r="T75" i="27" s="1"/>
  <c r="L18" i="12"/>
  <c r="L18" i="27" s="1"/>
  <c r="L70" i="27" s="1"/>
  <c r="AC40" i="12"/>
  <c r="AH28" i="12"/>
  <c r="AD28" i="27" s="1"/>
  <c r="AD80" i="27" s="1"/>
  <c r="W37" i="12"/>
  <c r="V37" i="27" s="1"/>
  <c r="V89" i="27" s="1"/>
  <c r="AC9" i="12"/>
  <c r="X40" i="12"/>
  <c r="W40" i="27" s="1"/>
  <c r="W92" i="27" s="1"/>
  <c r="AH9" i="12"/>
  <c r="AD9" i="27" s="1"/>
  <c r="AD61" i="27" s="1"/>
  <c r="U31" i="12"/>
  <c r="T31" i="27" s="1"/>
  <c r="T83" i="27" s="1"/>
  <c r="L33" i="12"/>
  <c r="L33" i="27" s="1"/>
  <c r="L85" i="27" s="1"/>
  <c r="U45" i="12"/>
  <c r="T45" i="27" s="1"/>
  <c r="T97" i="27" s="1"/>
  <c r="X37" i="12"/>
  <c r="W37" i="27" s="1"/>
  <c r="W89" i="27" s="1"/>
  <c r="U29" i="12"/>
  <c r="T29" i="27" s="1"/>
  <c r="T81" i="27" s="1"/>
  <c r="AH15" i="12"/>
  <c r="AD15" i="27" s="1"/>
  <c r="AD67" i="27" s="1"/>
  <c r="AH29" i="12"/>
  <c r="AD29" i="27" s="1"/>
  <c r="AD81" i="27" s="1"/>
  <c r="X30" i="12"/>
  <c r="W30" i="27" s="1"/>
  <c r="W82" i="27" s="1"/>
  <c r="AC51" i="12"/>
  <c r="AH11" i="12"/>
  <c r="AD11" i="27" s="1"/>
  <c r="AD63" i="27" s="1"/>
  <c r="AH22" i="12"/>
  <c r="AD22" i="27" s="1"/>
  <c r="AD74" i="27" s="1"/>
  <c r="AC7" i="12"/>
  <c r="AC49" i="12"/>
  <c r="N39" i="16"/>
  <c r="N39" i="17"/>
  <c r="O28" i="16"/>
  <c r="O28" i="17"/>
  <c r="M36" i="13"/>
  <c r="W53" i="13"/>
  <c r="M26" i="13"/>
  <c r="U21" i="16"/>
  <c r="U21" i="17"/>
  <c r="U10" i="16"/>
  <c r="U10" i="17"/>
  <c r="W20" i="15"/>
  <c r="T20" i="16"/>
  <c r="T20" i="17"/>
  <c r="P16" i="16"/>
  <c r="P16" i="17"/>
  <c r="Y5" i="13"/>
  <c r="Y53" i="11"/>
  <c r="Y58" i="11" s="1"/>
  <c r="Y21" i="12" s="1"/>
  <c r="P15" i="12"/>
  <c r="P15" i="27" s="1"/>
  <c r="P67" i="27" s="1"/>
  <c r="M17" i="13"/>
  <c r="Q8" i="12"/>
  <c r="Q8" i="27" s="1"/>
  <c r="Q60" i="27" s="1"/>
  <c r="Q34" i="12"/>
  <c r="Q34" i="27" s="1"/>
  <c r="Q86" i="27" s="1"/>
  <c r="P33" i="12"/>
  <c r="P33" i="27" s="1"/>
  <c r="P85" i="27" s="1"/>
  <c r="U53" i="13"/>
  <c r="M14" i="13"/>
  <c r="O17" i="12"/>
  <c r="O17" i="27" s="1"/>
  <c r="O69" i="27" s="1"/>
  <c r="O24" i="12"/>
  <c r="O24" i="27" s="1"/>
  <c r="O76" i="27" s="1"/>
  <c r="N33" i="16"/>
  <c r="N33" i="28" s="1"/>
  <c r="N75" i="28" s="1"/>
  <c r="N33" i="17"/>
  <c r="N21" i="16"/>
  <c r="N21" i="28" s="1"/>
  <c r="N63" i="28" s="1"/>
  <c r="N21" i="17"/>
  <c r="N12" i="16"/>
  <c r="N12" i="17"/>
  <c r="N8" i="16"/>
  <c r="N8" i="28" s="1"/>
  <c r="N50" i="28" s="1"/>
  <c r="N8" i="17"/>
  <c r="M23" i="13"/>
  <c r="Q36" i="12"/>
  <c r="Q36" i="27" s="1"/>
  <c r="Q88" i="27" s="1"/>
  <c r="P29" i="12"/>
  <c r="P39" i="12"/>
  <c r="P39" i="27" s="1"/>
  <c r="P91" i="27" s="1"/>
  <c r="M8" i="13"/>
  <c r="M47" i="13"/>
  <c r="O34" i="16"/>
  <c r="O34" i="28" s="1"/>
  <c r="O76" i="28" s="1"/>
  <c r="O34" i="17"/>
  <c r="O21" i="16"/>
  <c r="O21" i="28" s="1"/>
  <c r="O63" i="28" s="1"/>
  <c r="O21" i="17"/>
  <c r="O38" i="16"/>
  <c r="O38" i="28" s="1"/>
  <c r="O80" i="28" s="1"/>
  <c r="O38" i="17"/>
  <c r="O15" i="16"/>
  <c r="O15" i="17"/>
  <c r="L9" i="12"/>
  <c r="L9" i="27" s="1"/>
  <c r="L61" i="27" s="1"/>
  <c r="Q48" i="12"/>
  <c r="Q48" i="27" s="1"/>
  <c r="Q100" i="27" s="1"/>
  <c r="P21" i="12"/>
  <c r="P36" i="12"/>
  <c r="P36" i="27" s="1"/>
  <c r="P88" i="27" s="1"/>
  <c r="U41" i="12"/>
  <c r="T41" i="27" s="1"/>
  <c r="T93" i="27" s="1"/>
  <c r="S43" i="15"/>
  <c r="O18" i="12"/>
  <c r="O18" i="27" s="1"/>
  <c r="O70" i="27" s="1"/>
  <c r="V37" i="16"/>
  <c r="V37" i="17"/>
  <c r="V39" i="16"/>
  <c r="V39" i="17"/>
  <c r="V36" i="16"/>
  <c r="V36" i="17"/>
  <c r="V21" i="16"/>
  <c r="V21" i="17"/>
  <c r="V31" i="13"/>
  <c r="V13" i="13"/>
  <c r="V18" i="13"/>
  <c r="V27" i="13"/>
  <c r="V28" i="13"/>
  <c r="V41" i="13"/>
  <c r="Q53" i="13"/>
  <c r="Q43" i="12"/>
  <c r="Q43" i="27" s="1"/>
  <c r="Q95" i="27" s="1"/>
  <c r="U16" i="12"/>
  <c r="T16" i="27" s="1"/>
  <c r="T68" i="27" s="1"/>
  <c r="U34" i="12"/>
  <c r="T34" i="27" s="1"/>
  <c r="T86" i="27" s="1"/>
  <c r="O21" i="12"/>
  <c r="O21" i="27" s="1"/>
  <c r="O73" i="27" s="1"/>
  <c r="Z11" i="16"/>
  <c r="AA11" i="16" s="1"/>
  <c r="AA11" i="15"/>
  <c r="Z11" i="17"/>
  <c r="AA11" i="17" s="1"/>
  <c r="AA33" i="15"/>
  <c r="Z33" i="16"/>
  <c r="AA33" i="16" s="1"/>
  <c r="Z33" i="17"/>
  <c r="AA33" i="17" s="1"/>
  <c r="AA28" i="15"/>
  <c r="Z28" i="16"/>
  <c r="AA28" i="16" s="1"/>
  <c r="Z28" i="17"/>
  <c r="AA28" i="17" s="1"/>
  <c r="AA16" i="15"/>
  <c r="Z16" i="16"/>
  <c r="AA16" i="16" s="1"/>
  <c r="Z16" i="17"/>
  <c r="AA16" i="17" s="1"/>
  <c r="Q28" i="12"/>
  <c r="Q28" i="27" s="1"/>
  <c r="Q80" i="27" s="1"/>
  <c r="Q31" i="12"/>
  <c r="Q31" i="27" s="1"/>
  <c r="Q83" i="27" s="1"/>
  <c r="P8" i="12"/>
  <c r="P8" i="27" s="1"/>
  <c r="P60" i="27" s="1"/>
  <c r="AC5" i="12"/>
  <c r="AA5" i="27" s="1"/>
  <c r="AA57" i="27" s="1"/>
  <c r="M44" i="13"/>
  <c r="O36" i="12"/>
  <c r="O36" i="27" s="1"/>
  <c r="O88" i="27" s="1"/>
  <c r="U34" i="16"/>
  <c r="U34" i="17"/>
  <c r="U36" i="16"/>
  <c r="U36" i="17"/>
  <c r="U26" i="16"/>
  <c r="S26" i="28" s="1"/>
  <c r="S68" i="28" s="1"/>
  <c r="U26" i="17"/>
  <c r="U11" i="16"/>
  <c r="U11" i="17"/>
  <c r="U8" i="16"/>
  <c r="U8" i="17"/>
  <c r="M16" i="13"/>
  <c r="X22" i="12"/>
  <c r="W22" i="27" s="1"/>
  <c r="W74" i="27" s="1"/>
  <c r="L6" i="12"/>
  <c r="L6" i="27" s="1"/>
  <c r="L58" i="27" s="1"/>
  <c r="L51" i="12"/>
  <c r="L51" i="27" s="1"/>
  <c r="L103" i="27" s="1"/>
  <c r="W6" i="12"/>
  <c r="V6" i="27" s="1"/>
  <c r="V58" i="27" s="1"/>
  <c r="Q24" i="12"/>
  <c r="Q24" i="27" s="1"/>
  <c r="Q76" i="27" s="1"/>
  <c r="Q32" i="12"/>
  <c r="Q32" i="27" s="1"/>
  <c r="Q84" i="27" s="1"/>
  <c r="P47" i="12"/>
  <c r="P47" i="27" s="1"/>
  <c r="P99" i="27" s="1"/>
  <c r="U8" i="12"/>
  <c r="T8" i="27" s="1"/>
  <c r="T60" i="27" s="1"/>
  <c r="U36" i="12"/>
  <c r="T36" i="27" s="1"/>
  <c r="T88" i="27" s="1"/>
  <c r="O49" i="12"/>
  <c r="O49" i="27" s="1"/>
  <c r="O101" i="27" s="1"/>
  <c r="W14" i="15"/>
  <c r="T14" i="16"/>
  <c r="R14" i="28" s="1"/>
  <c r="R56" i="28" s="1"/>
  <c r="T14" i="17"/>
  <c r="W31" i="15"/>
  <c r="T31" i="16"/>
  <c r="R31" i="28" s="1"/>
  <c r="R73" i="28" s="1"/>
  <c r="T31" i="17"/>
  <c r="W34" i="15"/>
  <c r="T34" i="16"/>
  <c r="R34" i="28" s="1"/>
  <c r="R76" i="28" s="1"/>
  <c r="T34" i="17"/>
  <c r="W39" i="15"/>
  <c r="T39" i="16"/>
  <c r="T39" i="17"/>
  <c r="W9" i="15"/>
  <c r="T9" i="16"/>
  <c r="T9" i="17"/>
  <c r="X42" i="12"/>
  <c r="W42" i="27" s="1"/>
  <c r="W94" i="27" s="1"/>
  <c r="X20" i="12"/>
  <c r="W20" i="27" s="1"/>
  <c r="W72" i="27" s="1"/>
  <c r="L12" i="12"/>
  <c r="L12" i="27" s="1"/>
  <c r="L64" i="27" s="1"/>
  <c r="W20" i="12"/>
  <c r="V20" i="27" s="1"/>
  <c r="V72" i="27" s="1"/>
  <c r="W34" i="12"/>
  <c r="V34" i="27" s="1"/>
  <c r="V86" i="27" s="1"/>
  <c r="Q18" i="12"/>
  <c r="Q18" i="27" s="1"/>
  <c r="Q70" i="27" s="1"/>
  <c r="P10" i="12"/>
  <c r="P10" i="27" s="1"/>
  <c r="P62" i="27" s="1"/>
  <c r="AC44" i="12"/>
  <c r="U9" i="12"/>
  <c r="T9" i="27" s="1"/>
  <c r="T61" i="27" s="1"/>
  <c r="AH47" i="12"/>
  <c r="AD47" i="27" s="1"/>
  <c r="AD99" i="27" s="1"/>
  <c r="M35" i="13"/>
  <c r="O43" i="12"/>
  <c r="O43" i="27" s="1"/>
  <c r="O95" i="27" s="1"/>
  <c r="P31" i="16"/>
  <c r="P31" i="28" s="1"/>
  <c r="P73" i="28" s="1"/>
  <c r="P31" i="17"/>
  <c r="P33" i="16"/>
  <c r="P33" i="17"/>
  <c r="P12" i="16"/>
  <c r="P12" i="17"/>
  <c r="P36" i="16"/>
  <c r="P36" i="17"/>
  <c r="P5" i="16"/>
  <c r="P5" i="28" s="1"/>
  <c r="P47" i="28" s="1"/>
  <c r="P5" i="17"/>
  <c r="P43" i="15"/>
  <c r="Y49" i="13"/>
  <c r="Y23" i="13"/>
  <c r="Y21" i="13"/>
  <c r="Y28" i="13"/>
  <c r="Y20" i="13"/>
  <c r="Y14" i="13"/>
  <c r="N25" i="16"/>
  <c r="N25" i="17"/>
  <c r="Q26" i="12"/>
  <c r="Q26" i="27" s="1"/>
  <c r="Q78" i="27" s="1"/>
  <c r="V26" i="16"/>
  <c r="V26" i="17"/>
  <c r="V8" i="13"/>
  <c r="AA26" i="15"/>
  <c r="Z26" i="16"/>
  <c r="AA26" i="16" s="1"/>
  <c r="Z26" i="17"/>
  <c r="AA26" i="17" s="1"/>
  <c r="AA15" i="15"/>
  <c r="Z15" i="16"/>
  <c r="AA15" i="16" s="1"/>
  <c r="Z15" i="17"/>
  <c r="AA15" i="17" s="1"/>
  <c r="U28" i="16"/>
  <c r="U28" i="17"/>
  <c r="W37" i="15"/>
  <c r="T37" i="16"/>
  <c r="R37" i="28" s="1"/>
  <c r="R79" i="28" s="1"/>
  <c r="T37" i="17"/>
  <c r="P46" i="12"/>
  <c r="P46" i="27" s="1"/>
  <c r="P98" i="27" s="1"/>
  <c r="P25" i="16"/>
  <c r="P25" i="28" s="1"/>
  <c r="P67" i="28" s="1"/>
  <c r="P25" i="17"/>
  <c r="P7" i="16"/>
  <c r="P7" i="17"/>
  <c r="N20" i="16"/>
  <c r="N20" i="17"/>
  <c r="N5" i="16"/>
  <c r="N5" i="17"/>
  <c r="N43" i="15"/>
  <c r="Q12" i="12"/>
  <c r="Q12" i="27" s="1"/>
  <c r="Q64" i="27" s="1"/>
  <c r="O33" i="16"/>
  <c r="O33" i="17"/>
  <c r="O39" i="16"/>
  <c r="O39" i="17"/>
  <c r="O20" i="16"/>
  <c r="O20" i="17"/>
  <c r="O25" i="16"/>
  <c r="O25" i="28" s="1"/>
  <c r="O67" i="28" s="1"/>
  <c r="O25" i="17"/>
  <c r="O8" i="16"/>
  <c r="O8" i="17"/>
  <c r="L39" i="12"/>
  <c r="L39" i="27" s="1"/>
  <c r="L91" i="27" s="1"/>
  <c r="M46" i="13"/>
  <c r="Q49" i="12"/>
  <c r="Q49" i="27" s="1"/>
  <c r="Q101" i="27" s="1"/>
  <c r="P16" i="12"/>
  <c r="P16" i="27" s="1"/>
  <c r="P68" i="27" s="1"/>
  <c r="O53" i="13"/>
  <c r="M19" i="13"/>
  <c r="V40" i="16"/>
  <c r="V40" i="17"/>
  <c r="V31" i="16"/>
  <c r="V31" i="17"/>
  <c r="V25" i="16"/>
  <c r="V25" i="17"/>
  <c r="V5" i="16"/>
  <c r="T5" i="28" s="1"/>
  <c r="T47" i="28" s="1"/>
  <c r="V43" i="15"/>
  <c r="V5" i="17"/>
  <c r="V40" i="13"/>
  <c r="V21" i="13"/>
  <c r="AB21" i="13" s="1"/>
  <c r="V26" i="13"/>
  <c r="V42" i="13"/>
  <c r="V43" i="13"/>
  <c r="Q5" i="12"/>
  <c r="Q5" i="27" s="1"/>
  <c r="Q57" i="27" s="1"/>
  <c r="Q37" i="12"/>
  <c r="Q37" i="27" s="1"/>
  <c r="Q89" i="27" s="1"/>
  <c r="U37" i="12"/>
  <c r="T37" i="27" s="1"/>
  <c r="T89" i="27" s="1"/>
  <c r="M27" i="13"/>
  <c r="O14" i="12"/>
  <c r="O14" i="27" s="1"/>
  <c r="O66" i="27" s="1"/>
  <c r="O40" i="12"/>
  <c r="O40" i="27" s="1"/>
  <c r="O92" i="27" s="1"/>
  <c r="AA31" i="15"/>
  <c r="Z31" i="16"/>
  <c r="AA31" i="16" s="1"/>
  <c r="Z31" i="17"/>
  <c r="AA31" i="17" s="1"/>
  <c r="AA22" i="15"/>
  <c r="Z22" i="16"/>
  <c r="AA22" i="16" s="1"/>
  <c r="Z22" i="17"/>
  <c r="AA22" i="17" s="1"/>
  <c r="AA40" i="15"/>
  <c r="Z40" i="16"/>
  <c r="AA40" i="16" s="1"/>
  <c r="Z40" i="17"/>
  <c r="AA40" i="17" s="1"/>
  <c r="AA6" i="15"/>
  <c r="Z6" i="16"/>
  <c r="AA6" i="16" s="1"/>
  <c r="Z6" i="17"/>
  <c r="AA6" i="17" s="1"/>
  <c r="Q39" i="12"/>
  <c r="Q39" i="27" s="1"/>
  <c r="Q91" i="27" s="1"/>
  <c r="P27" i="12"/>
  <c r="P50" i="12"/>
  <c r="P50" i="27" s="1"/>
  <c r="P102" i="27" s="1"/>
  <c r="O23" i="12"/>
  <c r="O23" i="27" s="1"/>
  <c r="O75" i="27" s="1"/>
  <c r="U41" i="16"/>
  <c r="U41" i="17"/>
  <c r="U25" i="16"/>
  <c r="S25" i="28" s="1"/>
  <c r="S67" i="28" s="1"/>
  <c r="U25" i="17"/>
  <c r="U19" i="16"/>
  <c r="S19" i="28" s="1"/>
  <c r="S61" i="28" s="1"/>
  <c r="U19" i="17"/>
  <c r="U24" i="16"/>
  <c r="U24" i="17"/>
  <c r="M11" i="13"/>
  <c r="X36" i="12"/>
  <c r="W36" i="27" s="1"/>
  <c r="W88" i="27" s="1"/>
  <c r="X17" i="12"/>
  <c r="W17" i="27" s="1"/>
  <c r="W69" i="27" s="1"/>
  <c r="L31" i="12"/>
  <c r="L31" i="27" s="1"/>
  <c r="L83" i="27" s="1"/>
  <c r="W33" i="12"/>
  <c r="V33" i="27" s="1"/>
  <c r="V85" i="27" s="1"/>
  <c r="W32" i="12"/>
  <c r="V32" i="27" s="1"/>
  <c r="V84" i="27" s="1"/>
  <c r="Q40" i="12"/>
  <c r="Q40" i="27" s="1"/>
  <c r="Q92" i="27" s="1"/>
  <c r="P23" i="12"/>
  <c r="P48" i="12"/>
  <c r="P48" i="27" s="1"/>
  <c r="P100" i="27" s="1"/>
  <c r="AC34" i="12"/>
  <c r="U48" i="12"/>
  <c r="T48" i="27" s="1"/>
  <c r="T100" i="27" s="1"/>
  <c r="U22" i="12"/>
  <c r="T22" i="27" s="1"/>
  <c r="T74" i="27" s="1"/>
  <c r="O8" i="12"/>
  <c r="O8" i="27" s="1"/>
  <c r="O60" i="27" s="1"/>
  <c r="O37" i="12"/>
  <c r="O37" i="27" s="1"/>
  <c r="O89" i="27" s="1"/>
  <c r="W36" i="15"/>
  <c r="T36" i="16"/>
  <c r="W36" i="16" s="1"/>
  <c r="T36" i="17"/>
  <c r="W33" i="15"/>
  <c r="T33" i="16"/>
  <c r="R33" i="28" s="1"/>
  <c r="R75" i="28" s="1"/>
  <c r="T33" i="17"/>
  <c r="W30" i="15"/>
  <c r="T30" i="16"/>
  <c r="T30" i="17"/>
  <c r="W41" i="15"/>
  <c r="T41" i="16"/>
  <c r="T41" i="17"/>
  <c r="W6" i="15"/>
  <c r="T6" i="16"/>
  <c r="T6" i="17"/>
  <c r="X11" i="12"/>
  <c r="W11" i="27" s="1"/>
  <c r="W63" i="27" s="1"/>
  <c r="L27" i="12"/>
  <c r="L27" i="27" s="1"/>
  <c r="L79" i="27" s="1"/>
  <c r="L34" i="12"/>
  <c r="L34" i="27" s="1"/>
  <c r="L86" i="27" s="1"/>
  <c r="W11" i="12"/>
  <c r="V11" i="27" s="1"/>
  <c r="V63" i="27" s="1"/>
  <c r="Q6" i="12"/>
  <c r="Q6" i="27" s="1"/>
  <c r="Q58" i="27" s="1"/>
  <c r="Q11" i="12"/>
  <c r="Q11" i="27" s="1"/>
  <c r="Q63" i="27" s="1"/>
  <c r="P53" i="13"/>
  <c r="M18" i="13"/>
  <c r="AC28" i="12"/>
  <c r="M38" i="13"/>
  <c r="M34" i="13"/>
  <c r="AH21" i="12"/>
  <c r="AD21" i="27" s="1"/>
  <c r="AD73" i="27" s="1"/>
  <c r="O19" i="12"/>
  <c r="O19" i="27" s="1"/>
  <c r="O71" i="27" s="1"/>
  <c r="O50" i="12"/>
  <c r="O50" i="27" s="1"/>
  <c r="O102" i="27" s="1"/>
  <c r="P40" i="16"/>
  <c r="P40" i="17"/>
  <c r="P20" i="16"/>
  <c r="P20" i="17"/>
  <c r="P39" i="16"/>
  <c r="P39" i="17"/>
  <c r="P13" i="16"/>
  <c r="P13" i="28" s="1"/>
  <c r="P55" i="28" s="1"/>
  <c r="P13" i="17"/>
  <c r="P9" i="16"/>
  <c r="P9" i="28" s="1"/>
  <c r="P51" i="28" s="1"/>
  <c r="P9" i="17"/>
  <c r="Y40" i="13"/>
  <c r="Y31" i="13"/>
  <c r="AB31" i="13" s="1"/>
  <c r="Y26" i="13"/>
  <c r="Y35" i="13"/>
  <c r="Y9" i="13"/>
  <c r="Y7" i="13"/>
  <c r="N30" i="16"/>
  <c r="N30" i="28" s="1"/>
  <c r="N72" i="28" s="1"/>
  <c r="N30" i="17"/>
  <c r="O7" i="12"/>
  <c r="O7" i="27" s="1"/>
  <c r="O59" i="27" s="1"/>
  <c r="V18" i="16"/>
  <c r="T18" i="28" s="1"/>
  <c r="T60" i="28" s="1"/>
  <c r="V18" i="17"/>
  <c r="V17" i="13"/>
  <c r="V49" i="13"/>
  <c r="Y41" i="12"/>
  <c r="Y41" i="13"/>
  <c r="P35" i="12"/>
  <c r="P35" i="27" s="1"/>
  <c r="P87" i="27" s="1"/>
  <c r="O26" i="12"/>
  <c r="O26" i="27" s="1"/>
  <c r="O78" i="27" s="1"/>
  <c r="Q21" i="12"/>
  <c r="Q21" i="27" s="1"/>
  <c r="Q73" i="27" s="1"/>
  <c r="P24" i="12"/>
  <c r="D46" i="9"/>
  <c r="Q44" i="17"/>
  <c r="Q44" i="16"/>
  <c r="Q44" i="15"/>
  <c r="Q44" i="14"/>
  <c r="M13" i="13"/>
  <c r="N16" i="16"/>
  <c r="N16" i="28" s="1"/>
  <c r="N58" i="28" s="1"/>
  <c r="N16" i="17"/>
  <c r="N14" i="16"/>
  <c r="N14" i="17"/>
  <c r="N31" i="16"/>
  <c r="N31" i="17"/>
  <c r="N24" i="16"/>
  <c r="N24" i="17"/>
  <c r="N7" i="16"/>
  <c r="N7" i="28" s="1"/>
  <c r="N49" i="28" s="1"/>
  <c r="N7" i="17"/>
  <c r="L15" i="12"/>
  <c r="L15" i="27" s="1"/>
  <c r="L67" i="27" s="1"/>
  <c r="L48" i="12"/>
  <c r="L48" i="27" s="1"/>
  <c r="L100" i="27" s="1"/>
  <c r="M41" i="13"/>
  <c r="M37" i="13"/>
  <c r="O13" i="12"/>
  <c r="O13" i="27" s="1"/>
  <c r="O65" i="27" s="1"/>
  <c r="O16" i="16"/>
  <c r="O16" i="17"/>
  <c r="O35" i="16"/>
  <c r="O35" i="17"/>
  <c r="O24" i="16"/>
  <c r="O24" i="28" s="1"/>
  <c r="O66" i="28" s="1"/>
  <c r="O24" i="17"/>
  <c r="O13" i="16"/>
  <c r="O13" i="17"/>
  <c r="O10" i="16"/>
  <c r="O10" i="17"/>
  <c r="X8" i="12"/>
  <c r="W8" i="27" s="1"/>
  <c r="W60" i="27" s="1"/>
  <c r="L53" i="13"/>
  <c r="P20" i="12"/>
  <c r="P20" i="27" s="1"/>
  <c r="P72" i="27" s="1"/>
  <c r="U6" i="12"/>
  <c r="T6" i="27" s="1"/>
  <c r="T58" i="27" s="1"/>
  <c r="O9" i="12"/>
  <c r="O9" i="27" s="1"/>
  <c r="O61" i="27" s="1"/>
  <c r="O47" i="12"/>
  <c r="O47" i="27" s="1"/>
  <c r="O99" i="27" s="1"/>
  <c r="X31" i="12"/>
  <c r="W31" i="27" s="1"/>
  <c r="W83" i="27" s="1"/>
  <c r="L22" i="12"/>
  <c r="L22" i="27" s="1"/>
  <c r="L74" i="27" s="1"/>
  <c r="L43" i="12"/>
  <c r="L43" i="27" s="1"/>
  <c r="L95" i="27" s="1"/>
  <c r="Q9" i="12"/>
  <c r="Q9" i="27" s="1"/>
  <c r="Q61" i="27" s="1"/>
  <c r="Q51" i="12"/>
  <c r="Q51" i="27" s="1"/>
  <c r="Q103" i="27" s="1"/>
  <c r="U25" i="12"/>
  <c r="T25" i="27" s="1"/>
  <c r="T77" i="27" s="1"/>
  <c r="U30" i="12"/>
  <c r="T30" i="27" s="1"/>
  <c r="T82" i="27" s="1"/>
  <c r="O5" i="12"/>
  <c r="O5" i="27" s="1"/>
  <c r="O57" i="27" s="1"/>
  <c r="V20" i="16"/>
  <c r="V20" i="17"/>
  <c r="V16" i="16"/>
  <c r="V16" i="17"/>
  <c r="V11" i="16"/>
  <c r="T11" i="28" s="1"/>
  <c r="T53" i="28" s="1"/>
  <c r="V11" i="17"/>
  <c r="V32" i="16"/>
  <c r="T32" i="28" s="1"/>
  <c r="T74" i="28" s="1"/>
  <c r="V32" i="17"/>
  <c r="V7" i="16"/>
  <c r="V7" i="17"/>
  <c r="V30" i="13"/>
  <c r="V35" i="13"/>
  <c r="V25" i="13"/>
  <c r="V7" i="13"/>
  <c r="AB7" i="13" s="1"/>
  <c r="V50" i="13"/>
  <c r="V51" i="13"/>
  <c r="X44" i="12"/>
  <c r="W44" i="27" s="1"/>
  <c r="W96" i="27" s="1"/>
  <c r="X25" i="12"/>
  <c r="W25" i="27" s="1"/>
  <c r="W77" i="27" s="1"/>
  <c r="L25" i="12"/>
  <c r="L25" i="27" s="1"/>
  <c r="L77" i="27" s="1"/>
  <c r="M28" i="13"/>
  <c r="P41" i="12"/>
  <c r="P41" i="27" s="1"/>
  <c r="P93" i="27" s="1"/>
  <c r="U7" i="12"/>
  <c r="T7" i="27" s="1"/>
  <c r="T59" i="27" s="1"/>
  <c r="M30" i="13"/>
  <c r="Z17" i="16"/>
  <c r="AA17" i="16" s="1"/>
  <c r="AA17" i="15"/>
  <c r="Z17" i="17"/>
  <c r="AA17" i="17" s="1"/>
  <c r="AA18" i="15"/>
  <c r="Z18" i="16"/>
  <c r="AA18" i="16" s="1"/>
  <c r="Z18" i="17"/>
  <c r="AA18" i="17" s="1"/>
  <c r="AA27" i="15"/>
  <c r="Z27" i="16"/>
  <c r="AA27" i="16" s="1"/>
  <c r="Z27" i="17"/>
  <c r="AA27" i="17" s="1"/>
  <c r="AA38" i="15"/>
  <c r="Z38" i="16"/>
  <c r="AA38" i="16" s="1"/>
  <c r="Z38" i="17"/>
  <c r="AA38" i="17" s="1"/>
  <c r="AA8" i="15"/>
  <c r="Z8" i="16"/>
  <c r="AA8" i="16" s="1"/>
  <c r="Z8" i="17"/>
  <c r="AA8" i="17" s="1"/>
  <c r="X50" i="12"/>
  <c r="W50" i="27" s="1"/>
  <c r="W102" i="27" s="1"/>
  <c r="X28" i="12"/>
  <c r="W28" i="27" s="1"/>
  <c r="W80" i="27" s="1"/>
  <c r="L38" i="12"/>
  <c r="L38" i="27" s="1"/>
  <c r="L90" i="27" s="1"/>
  <c r="W28" i="12"/>
  <c r="V28" i="27" s="1"/>
  <c r="V80" i="27" s="1"/>
  <c r="U33" i="12"/>
  <c r="T33" i="27" s="1"/>
  <c r="T85" i="27" s="1"/>
  <c r="U26" i="12"/>
  <c r="T26" i="27" s="1"/>
  <c r="T78" i="27" s="1"/>
  <c r="AH51" i="12"/>
  <c r="AD51" i="27" s="1"/>
  <c r="AD103" i="27" s="1"/>
  <c r="U12" i="16"/>
  <c r="U12" i="17"/>
  <c r="U20" i="16"/>
  <c r="U20" i="17"/>
  <c r="U33" i="16"/>
  <c r="S33" i="28" s="1"/>
  <c r="S75" i="28" s="1"/>
  <c r="U33" i="17"/>
  <c r="U5" i="16"/>
  <c r="U5" i="17"/>
  <c r="U43" i="15"/>
  <c r="M53" i="11"/>
  <c r="M58" i="11" s="1"/>
  <c r="M45" i="12" s="1"/>
  <c r="M45" i="27" s="1"/>
  <c r="M97" i="27" s="1"/>
  <c r="M5" i="13"/>
  <c r="R58" i="11"/>
  <c r="S58" i="11"/>
  <c r="AH20" i="12"/>
  <c r="AD20" i="27" s="1"/>
  <c r="AD72" i="27" s="1"/>
  <c r="AH48" i="12"/>
  <c r="AD48" i="27" s="1"/>
  <c r="AD100" i="27" s="1"/>
  <c r="W21" i="15"/>
  <c r="T21" i="16"/>
  <c r="W21" i="16" s="1"/>
  <c r="T21" i="17"/>
  <c r="W21" i="17" s="1"/>
  <c r="W13" i="15"/>
  <c r="T13" i="16"/>
  <c r="T13" i="17"/>
  <c r="W22" i="15"/>
  <c r="T22" i="16"/>
  <c r="T22" i="17"/>
  <c r="W23" i="15"/>
  <c r="T23" i="16"/>
  <c r="R23" i="28" s="1"/>
  <c r="R65" i="28" s="1"/>
  <c r="T23" i="17"/>
  <c r="W8" i="15"/>
  <c r="T8" i="16"/>
  <c r="R8" i="28" s="1"/>
  <c r="R50" i="28" s="1"/>
  <c r="T8" i="17"/>
  <c r="P5" i="12"/>
  <c r="P5" i="27" s="1"/>
  <c r="P57" i="27" s="1"/>
  <c r="U27" i="12"/>
  <c r="T27" i="27" s="1"/>
  <c r="T79" i="27" s="1"/>
  <c r="P27" i="16"/>
  <c r="P27" i="17"/>
  <c r="P14" i="16"/>
  <c r="P14" i="17"/>
  <c r="P14" i="28" s="1"/>
  <c r="P56" i="28" s="1"/>
  <c r="P28" i="16"/>
  <c r="P28" i="28" s="1"/>
  <c r="P70" i="28" s="1"/>
  <c r="P28" i="17"/>
  <c r="P29" i="16"/>
  <c r="P29" i="17"/>
  <c r="L47" i="14"/>
  <c r="L47" i="16" s="1"/>
  <c r="Y44" i="13"/>
  <c r="Y30" i="13"/>
  <c r="Y27" i="13"/>
  <c r="AB27" i="13" s="1"/>
  <c r="Y24" i="13"/>
  <c r="Y13" i="13"/>
  <c r="Y11" i="13"/>
  <c r="N10" i="16"/>
  <c r="N10" i="28" s="1"/>
  <c r="N52" i="28" s="1"/>
  <c r="N10" i="17"/>
  <c r="M20" i="13"/>
  <c r="O23" i="16"/>
  <c r="O23" i="17"/>
  <c r="Q42" i="12"/>
  <c r="Q42" i="27" s="1"/>
  <c r="Q94" i="27" s="1"/>
  <c r="O31" i="12"/>
  <c r="O31" i="27" s="1"/>
  <c r="O83" i="27" s="1"/>
  <c r="V46" i="13"/>
  <c r="V5" i="13"/>
  <c r="AB5" i="13" s="1"/>
  <c r="V53" i="11"/>
  <c r="V58" i="11" s="1"/>
  <c r="V31" i="12" s="1"/>
  <c r="U31" i="27" s="1"/>
  <c r="U83" i="27" s="1"/>
  <c r="P41" i="16"/>
  <c r="P41" i="28" s="1"/>
  <c r="P83" i="28" s="1"/>
  <c r="P41" i="17"/>
  <c r="Y29" i="13"/>
  <c r="Q7" i="12"/>
  <c r="Q7" i="27" s="1"/>
  <c r="Q59" i="27" s="1"/>
  <c r="N34" i="16"/>
  <c r="N34" i="17"/>
  <c r="N40" i="16"/>
  <c r="N40" i="17"/>
  <c r="N36" i="16"/>
  <c r="N36" i="28" s="1"/>
  <c r="N78" i="28" s="1"/>
  <c r="N36" i="17"/>
  <c r="L46" i="12"/>
  <c r="L46" i="27" s="1"/>
  <c r="L98" i="27" s="1"/>
  <c r="Q19" i="12"/>
  <c r="Q19" i="27" s="1"/>
  <c r="Q71" i="27" s="1"/>
  <c r="P6" i="12"/>
  <c r="P6" i="27" s="1"/>
  <c r="P58" i="27" s="1"/>
  <c r="P31" i="12"/>
  <c r="P31" i="27" s="1"/>
  <c r="P83" i="27" s="1"/>
  <c r="O44" i="12"/>
  <c r="O44" i="27" s="1"/>
  <c r="O96" i="27" s="1"/>
  <c r="N27" i="16"/>
  <c r="N27" i="28" s="1"/>
  <c r="N69" i="28" s="1"/>
  <c r="N27" i="17"/>
  <c r="N37" i="16"/>
  <c r="N37" i="17"/>
  <c r="N11" i="16"/>
  <c r="N11" i="28" s="1"/>
  <c r="N53" i="28" s="1"/>
  <c r="N11" i="17"/>
  <c r="N28" i="16"/>
  <c r="N28" i="17"/>
  <c r="N9" i="16"/>
  <c r="N9" i="17"/>
  <c r="M31" i="13"/>
  <c r="X10" i="12"/>
  <c r="W10" i="27" s="1"/>
  <c r="W62" i="27" s="1"/>
  <c r="M12" i="13"/>
  <c r="Q27" i="12"/>
  <c r="Q27" i="27" s="1"/>
  <c r="Q79" i="27" s="1"/>
  <c r="Q44" i="12"/>
  <c r="Q44" i="27" s="1"/>
  <c r="Q96" i="27" s="1"/>
  <c r="P42" i="12"/>
  <c r="P42" i="27" s="1"/>
  <c r="P94" i="27" s="1"/>
  <c r="U19" i="12"/>
  <c r="T19" i="27" s="1"/>
  <c r="T71" i="27" s="1"/>
  <c r="O19" i="16"/>
  <c r="O19" i="28" s="1"/>
  <c r="O61" i="28" s="1"/>
  <c r="O19" i="17"/>
  <c r="O29" i="16"/>
  <c r="O29" i="17"/>
  <c r="O14" i="16"/>
  <c r="O14" i="17"/>
  <c r="O12" i="16"/>
  <c r="O12" i="17"/>
  <c r="O5" i="16"/>
  <c r="O5" i="28" s="1"/>
  <c r="O47" i="28" s="1"/>
  <c r="O5" i="17"/>
  <c r="O43" i="15"/>
  <c r="L5" i="12"/>
  <c r="L5" i="27" s="1"/>
  <c r="L57" i="27" s="1"/>
  <c r="L32" i="12"/>
  <c r="L32" i="27" s="1"/>
  <c r="L84" i="27" s="1"/>
  <c r="Q13" i="12"/>
  <c r="Q13" i="27" s="1"/>
  <c r="Q65" i="27" s="1"/>
  <c r="Q50" i="12"/>
  <c r="Q50" i="27" s="1"/>
  <c r="Q102" i="27" s="1"/>
  <c r="M51" i="13"/>
  <c r="M24" i="12"/>
  <c r="M24" i="27" s="1"/>
  <c r="M76" i="27" s="1"/>
  <c r="M24" i="13"/>
  <c r="P40" i="12"/>
  <c r="P40" i="27" s="1"/>
  <c r="P92" i="27" s="1"/>
  <c r="M39" i="13"/>
  <c r="V35" i="16"/>
  <c r="V35" i="17"/>
  <c r="V38" i="16"/>
  <c r="V38" i="17"/>
  <c r="V23" i="16"/>
  <c r="T23" i="28" s="1"/>
  <c r="T65" i="28" s="1"/>
  <c r="V23" i="17"/>
  <c r="V29" i="16"/>
  <c r="V29" i="17"/>
  <c r="V9" i="16"/>
  <c r="V9" i="17"/>
  <c r="V32" i="13"/>
  <c r="V47" i="13"/>
  <c r="V29" i="13"/>
  <c r="V11" i="13"/>
  <c r="V12" i="13"/>
  <c r="V44" i="13"/>
  <c r="AB44" i="13" s="1"/>
  <c r="Q45" i="12"/>
  <c r="Q45" i="27" s="1"/>
  <c r="Q97" i="27" s="1"/>
  <c r="AB40" i="11"/>
  <c r="O20" i="12"/>
  <c r="O20" i="27" s="1"/>
  <c r="O72" i="27" s="1"/>
  <c r="AA37" i="15"/>
  <c r="Z37" i="16"/>
  <c r="AA37" i="16" s="1"/>
  <c r="Z37" i="17"/>
  <c r="AA37" i="17" s="1"/>
  <c r="AA23" i="15"/>
  <c r="Z23" i="16"/>
  <c r="AA23" i="16" s="1"/>
  <c r="Z23" i="17"/>
  <c r="AA23" i="17" s="1"/>
  <c r="Z13" i="16"/>
  <c r="AA13" i="16" s="1"/>
  <c r="AA13" i="15"/>
  <c r="Z13" i="17"/>
  <c r="AA13" i="17" s="1"/>
  <c r="AA12" i="15"/>
  <c r="Z12" i="16"/>
  <c r="AA12" i="16" s="1"/>
  <c r="Z12" i="17"/>
  <c r="AA12" i="17" s="1"/>
  <c r="AA10" i="15"/>
  <c r="Z10" i="16"/>
  <c r="AA10" i="16" s="1"/>
  <c r="Z10" i="17"/>
  <c r="AA10" i="17" s="1"/>
  <c r="W40" i="12"/>
  <c r="V40" i="27" s="1"/>
  <c r="V92" i="27" s="1"/>
  <c r="Q20" i="12"/>
  <c r="Q20" i="27" s="1"/>
  <c r="Q72" i="27" s="1"/>
  <c r="P18" i="12"/>
  <c r="P18" i="27" s="1"/>
  <c r="P70" i="27" s="1"/>
  <c r="P51" i="12"/>
  <c r="P51" i="27" s="1"/>
  <c r="P103" i="27" s="1"/>
  <c r="AB17" i="11"/>
  <c r="AB26" i="11"/>
  <c r="AH53" i="13"/>
  <c r="O10" i="12"/>
  <c r="O10" i="27" s="1"/>
  <c r="O62" i="27" s="1"/>
  <c r="O38" i="12"/>
  <c r="O38" i="27" s="1"/>
  <c r="O90" i="27" s="1"/>
  <c r="U40" i="16"/>
  <c r="S40" i="28" s="1"/>
  <c r="S82" i="28" s="1"/>
  <c r="U40" i="17"/>
  <c r="U14" i="16"/>
  <c r="U14" i="17"/>
  <c r="U39" i="16"/>
  <c r="W39" i="16" s="1"/>
  <c r="U39" i="17"/>
  <c r="U7" i="16"/>
  <c r="U7" i="17"/>
  <c r="M9" i="13"/>
  <c r="X46" i="12"/>
  <c r="W46" i="27" s="1"/>
  <c r="W98" i="27" s="1"/>
  <c r="X24" i="12"/>
  <c r="W24" i="27" s="1"/>
  <c r="W76" i="27" s="1"/>
  <c r="L47" i="12"/>
  <c r="L47" i="27" s="1"/>
  <c r="L99" i="27" s="1"/>
  <c r="W24" i="12"/>
  <c r="V24" i="27" s="1"/>
  <c r="V76" i="27" s="1"/>
  <c r="W31" i="12"/>
  <c r="V31" i="27" s="1"/>
  <c r="V83" i="27" s="1"/>
  <c r="Q41" i="12"/>
  <c r="Q41" i="27" s="1"/>
  <c r="Q93" i="27" s="1"/>
  <c r="P14" i="12"/>
  <c r="P14" i="27" s="1"/>
  <c r="P66" i="27" s="1"/>
  <c r="P45" i="12"/>
  <c r="P45" i="27" s="1"/>
  <c r="P97" i="27" s="1"/>
  <c r="AC50" i="12"/>
  <c r="U13" i="12"/>
  <c r="T13" i="27" s="1"/>
  <c r="T65" i="27" s="1"/>
  <c r="O6" i="12"/>
  <c r="O6" i="27" s="1"/>
  <c r="O58" i="27" s="1"/>
  <c r="O39" i="12"/>
  <c r="O39" i="27" s="1"/>
  <c r="O91" i="27" s="1"/>
  <c r="W24" i="15"/>
  <c r="T24" i="16"/>
  <c r="T24" i="17"/>
  <c r="W25" i="15"/>
  <c r="T25" i="16"/>
  <c r="W25" i="16" s="1"/>
  <c r="T25" i="17"/>
  <c r="W29" i="15"/>
  <c r="T29" i="16"/>
  <c r="T29" i="17"/>
  <c r="W19" i="15"/>
  <c r="T19" i="16"/>
  <c r="T19" i="17"/>
  <c r="W10" i="15"/>
  <c r="T10" i="16"/>
  <c r="T10" i="17"/>
  <c r="X18" i="12"/>
  <c r="W18" i="27" s="1"/>
  <c r="W70" i="27" s="1"/>
  <c r="L29" i="12"/>
  <c r="L29" i="27" s="1"/>
  <c r="L81" i="27" s="1"/>
  <c r="L11" i="12"/>
  <c r="L11" i="27" s="1"/>
  <c r="L63" i="27" s="1"/>
  <c r="W29" i="12"/>
  <c r="V29" i="27" s="1"/>
  <c r="V81" i="27" s="1"/>
  <c r="Q16" i="12"/>
  <c r="Q16" i="27" s="1"/>
  <c r="Q68" i="27" s="1"/>
  <c r="Q35" i="12"/>
  <c r="Q35" i="27" s="1"/>
  <c r="Q87" i="27" s="1"/>
  <c r="AC16" i="12"/>
  <c r="AB18" i="11"/>
  <c r="AH16" i="12"/>
  <c r="AD16" i="27" s="1"/>
  <c r="AD68" i="27" s="1"/>
  <c r="AH38" i="12"/>
  <c r="AD38" i="27" s="1"/>
  <c r="AD90" i="27" s="1"/>
  <c r="O25" i="12"/>
  <c r="O25" i="27" s="1"/>
  <c r="O77" i="27" s="1"/>
  <c r="O48" i="12"/>
  <c r="O48" i="27" s="1"/>
  <c r="O100" i="27" s="1"/>
  <c r="P32" i="16"/>
  <c r="P32" i="28" s="1"/>
  <c r="P74" i="28" s="1"/>
  <c r="P32" i="17"/>
  <c r="P35" i="16"/>
  <c r="P35" i="17"/>
  <c r="P24" i="16"/>
  <c r="P24" i="17"/>
  <c r="P15" i="16"/>
  <c r="P15" i="17"/>
  <c r="Y33" i="12"/>
  <c r="X33" i="27" s="1"/>
  <c r="X85" i="27" s="1"/>
  <c r="Y33" i="13"/>
  <c r="Y34" i="13"/>
  <c r="Y51" i="13"/>
  <c r="AB51" i="13" s="1"/>
  <c r="Y50" i="13"/>
  <c r="Y17" i="12"/>
  <c r="Y17" i="13"/>
  <c r="AB17" i="13" s="1"/>
  <c r="Y15" i="13"/>
  <c r="O18" i="16"/>
  <c r="O18" i="28" s="1"/>
  <c r="O60" i="28" s="1"/>
  <c r="O18" i="17"/>
  <c r="AA41" i="15"/>
  <c r="Z41" i="16"/>
  <c r="AA41" i="16" s="1"/>
  <c r="Z41" i="17"/>
  <c r="AA41" i="17" s="1"/>
  <c r="W18" i="15"/>
  <c r="T18" i="16"/>
  <c r="T18" i="17"/>
  <c r="Y37" i="13"/>
  <c r="X53" i="13"/>
  <c r="O27" i="12"/>
  <c r="O27" i="27" s="1"/>
  <c r="O79" i="27" s="1"/>
  <c r="O37" i="16"/>
  <c r="O37" i="17"/>
  <c r="O41" i="16"/>
  <c r="O41" i="17"/>
  <c r="O11" i="16"/>
  <c r="O11" i="17"/>
  <c r="O32" i="16"/>
  <c r="O32" i="17"/>
  <c r="O7" i="16"/>
  <c r="O7" i="17"/>
  <c r="M49" i="13"/>
  <c r="P44" i="12"/>
  <c r="P44" i="27" s="1"/>
  <c r="P96" i="27" s="1"/>
  <c r="AB49" i="11"/>
  <c r="O28" i="12"/>
  <c r="O28" i="27" s="1"/>
  <c r="O80" i="27" s="1"/>
  <c r="X48" i="12"/>
  <c r="W48" i="27" s="1"/>
  <c r="W100" i="27" s="1"/>
  <c r="X29" i="12"/>
  <c r="W29" i="27" s="1"/>
  <c r="W81" i="27" s="1"/>
  <c r="L20" i="12"/>
  <c r="L20" i="27" s="1"/>
  <c r="L72" i="27" s="1"/>
  <c r="Q15" i="12"/>
  <c r="Q15" i="27" s="1"/>
  <c r="Q67" i="27" s="1"/>
  <c r="U20" i="12"/>
  <c r="T20" i="27" s="1"/>
  <c r="T72" i="27" s="1"/>
  <c r="O41" i="12"/>
  <c r="O41" i="27" s="1"/>
  <c r="O93" i="27" s="1"/>
  <c r="V41" i="16"/>
  <c r="V41" i="17"/>
  <c r="V12" i="16"/>
  <c r="V12" i="17"/>
  <c r="V30" i="16"/>
  <c r="V30" i="17"/>
  <c r="V28" i="16"/>
  <c r="V28" i="17"/>
  <c r="V15" i="16"/>
  <c r="V15" i="17"/>
  <c r="V38" i="13"/>
  <c r="V45" i="13"/>
  <c r="V6" i="12"/>
  <c r="V6" i="13"/>
  <c r="V15" i="12"/>
  <c r="V15" i="13"/>
  <c r="AB15" i="13" s="1"/>
  <c r="V16" i="13"/>
  <c r="V48" i="13"/>
  <c r="X35" i="12"/>
  <c r="W35" i="27" s="1"/>
  <c r="W87" i="27" s="1"/>
  <c r="X33" i="12"/>
  <c r="W33" i="27" s="1"/>
  <c r="W85" i="27" s="1"/>
  <c r="L45" i="12"/>
  <c r="L45" i="27" s="1"/>
  <c r="L97" i="27" s="1"/>
  <c r="P22" i="12"/>
  <c r="P38" i="12"/>
  <c r="P38" i="27" s="1"/>
  <c r="P90" i="27" s="1"/>
  <c r="U21" i="12"/>
  <c r="T21" i="27" s="1"/>
  <c r="T73" i="27" s="1"/>
  <c r="AA35" i="15"/>
  <c r="Z35" i="16"/>
  <c r="AA35" i="16" s="1"/>
  <c r="Z35" i="17"/>
  <c r="AA35" i="17" s="1"/>
  <c r="AA36" i="15"/>
  <c r="Z36" i="16"/>
  <c r="AA36" i="16" s="1"/>
  <c r="Z36" i="17"/>
  <c r="AA36" i="17" s="1"/>
  <c r="AA19" i="15"/>
  <c r="Z19" i="16"/>
  <c r="AA19" i="16" s="1"/>
  <c r="Z19" i="17"/>
  <c r="AA19" i="17" s="1"/>
  <c r="AA20" i="15"/>
  <c r="Z20" i="16"/>
  <c r="AA20" i="16" s="1"/>
  <c r="Z20" i="17"/>
  <c r="AA20" i="17" s="1"/>
  <c r="Z5" i="16"/>
  <c r="AA5" i="15"/>
  <c r="Z5" i="17"/>
  <c r="Z43" i="15"/>
  <c r="X19" i="12"/>
  <c r="W19" i="27" s="1"/>
  <c r="W71" i="27" s="1"/>
  <c r="L16" i="12"/>
  <c r="L16" i="27" s="1"/>
  <c r="L68" i="27" s="1"/>
  <c r="L19" i="12"/>
  <c r="L19" i="27" s="1"/>
  <c r="L71" i="27" s="1"/>
  <c r="M25" i="12"/>
  <c r="M25" i="13"/>
  <c r="AB35" i="11"/>
  <c r="U23" i="16"/>
  <c r="U23" i="17"/>
  <c r="U16" i="16"/>
  <c r="U16" i="17"/>
  <c r="U30" i="16"/>
  <c r="S30" i="28" s="1"/>
  <c r="S72" i="28" s="1"/>
  <c r="U30" i="17"/>
  <c r="U37" i="16"/>
  <c r="U37" i="17"/>
  <c r="U9" i="16"/>
  <c r="U9" i="17"/>
  <c r="M6" i="12"/>
  <c r="M6" i="13"/>
  <c r="AC42" i="12"/>
  <c r="R53" i="13"/>
  <c r="AB13" i="11"/>
  <c r="U38" i="12"/>
  <c r="T38" i="27" s="1"/>
  <c r="T90" i="27" s="1"/>
  <c r="AH18" i="12"/>
  <c r="AD18" i="27" s="1"/>
  <c r="AD70" i="27" s="1"/>
  <c r="AH45" i="12"/>
  <c r="AD45" i="27" s="1"/>
  <c r="AD97" i="27" s="1"/>
  <c r="W12" i="15"/>
  <c r="T12" i="16"/>
  <c r="W12" i="16" s="1"/>
  <c r="T12" i="17"/>
  <c r="W38" i="15"/>
  <c r="T38" i="16"/>
  <c r="T38" i="17"/>
  <c r="W32" i="15"/>
  <c r="T32" i="16"/>
  <c r="T32" i="17"/>
  <c r="W26" i="15"/>
  <c r="T26" i="16"/>
  <c r="R26" i="28" s="1"/>
  <c r="R68" i="28" s="1"/>
  <c r="T26" i="17"/>
  <c r="W26" i="17" s="1"/>
  <c r="P32" i="12"/>
  <c r="P32" i="27" s="1"/>
  <c r="P84" i="27" s="1"/>
  <c r="AC45" i="12"/>
  <c r="U44" i="12"/>
  <c r="T44" i="27" s="1"/>
  <c r="T96" i="27" s="1"/>
  <c r="M7" i="12"/>
  <c r="M7" i="27" s="1"/>
  <c r="M59" i="27" s="1"/>
  <c r="M7" i="13"/>
  <c r="P19" i="16"/>
  <c r="P19" i="17"/>
  <c r="P11" i="16"/>
  <c r="P11" i="28" s="1"/>
  <c r="P53" i="28" s="1"/>
  <c r="P11" i="17"/>
  <c r="P23" i="16"/>
  <c r="P23" i="17"/>
  <c r="P6" i="16"/>
  <c r="P6" i="17"/>
  <c r="Y32" i="12"/>
  <c r="Y32" i="13"/>
  <c r="Y22" i="13"/>
  <c r="Y36" i="13"/>
  <c r="Y8" i="13"/>
  <c r="Y25" i="12"/>
  <c r="Y25" i="13"/>
  <c r="Y19" i="13"/>
  <c r="N38" i="16"/>
  <c r="N38" i="17"/>
  <c r="O6" i="16"/>
  <c r="O6" i="28" s="1"/>
  <c r="O48" i="28" s="1"/>
  <c r="O6" i="17"/>
  <c r="O34" i="12"/>
  <c r="O34" i="27" s="1"/>
  <c r="O86" i="27" s="1"/>
  <c r="V19" i="16"/>
  <c r="V19" i="17"/>
  <c r="AD53" i="11"/>
  <c r="U31" i="16"/>
  <c r="U31" i="17"/>
  <c r="W35" i="15"/>
  <c r="T35" i="16"/>
  <c r="T35" i="17"/>
  <c r="P37" i="16"/>
  <c r="P37" i="17"/>
  <c r="Y42" i="13"/>
  <c r="AB42" i="13" s="1"/>
  <c r="N19" i="16"/>
  <c r="N19" i="17"/>
  <c r="L23" i="12"/>
  <c r="L23" i="27" s="1"/>
  <c r="L75" i="27" s="1"/>
  <c r="L35" i="12"/>
  <c r="L35" i="27" s="1"/>
  <c r="L87" i="27" s="1"/>
  <c r="Q29" i="12"/>
  <c r="Q29" i="27" s="1"/>
  <c r="Q81" i="27" s="1"/>
  <c r="Q38" i="12"/>
  <c r="Q38" i="27" s="1"/>
  <c r="Q90" i="27" s="1"/>
  <c r="P28" i="12"/>
  <c r="AB5" i="11"/>
  <c r="O15" i="12"/>
  <c r="O15" i="27" s="1"/>
  <c r="O67" i="27" s="1"/>
  <c r="O45" i="12"/>
  <c r="O45" i="27" s="1"/>
  <c r="O97" i="27" s="1"/>
  <c r="N41" i="16"/>
  <c r="N41" i="17"/>
  <c r="N29" i="16"/>
  <c r="N29" i="17"/>
  <c r="N32" i="16"/>
  <c r="N32" i="17"/>
  <c r="N17" i="16"/>
  <c r="N17" i="17"/>
  <c r="Q47" i="12"/>
  <c r="Q47" i="27" s="1"/>
  <c r="Q99" i="27" s="1"/>
  <c r="P11" i="12"/>
  <c r="P11" i="27" s="1"/>
  <c r="P63" i="27" s="1"/>
  <c r="P30" i="12"/>
  <c r="P30" i="27" s="1"/>
  <c r="P82" i="27" s="1"/>
  <c r="U43" i="12"/>
  <c r="T43" i="27" s="1"/>
  <c r="T95" i="27" s="1"/>
  <c r="O30" i="16"/>
  <c r="O30" i="17"/>
  <c r="O31" i="16"/>
  <c r="O31" i="17"/>
  <c r="O27" i="16"/>
  <c r="O27" i="28" s="1"/>
  <c r="O69" i="28" s="1"/>
  <c r="O27" i="17"/>
  <c r="O36" i="16"/>
  <c r="O36" i="17"/>
  <c r="O9" i="16"/>
  <c r="O9" i="17"/>
  <c r="L26" i="12"/>
  <c r="L26" i="27" s="1"/>
  <c r="L78" i="27" s="1"/>
  <c r="L42" i="12"/>
  <c r="L42" i="27" s="1"/>
  <c r="L94" i="27" s="1"/>
  <c r="Q23" i="12"/>
  <c r="Q23" i="27" s="1"/>
  <c r="Q75" i="27" s="1"/>
  <c r="AB49" i="13"/>
  <c r="U47" i="12"/>
  <c r="T47" i="27" s="1"/>
  <c r="T99" i="27" s="1"/>
  <c r="P26" i="12"/>
  <c r="P37" i="12"/>
  <c r="P37" i="27" s="1"/>
  <c r="P89" i="27" s="1"/>
  <c r="AB41" i="11"/>
  <c r="U46" i="12"/>
  <c r="T46" i="27" s="1"/>
  <c r="T98" i="27" s="1"/>
  <c r="S5" i="17"/>
  <c r="S43" i="17" s="1"/>
  <c r="R43" i="17"/>
  <c r="V34" i="16"/>
  <c r="V34" i="17"/>
  <c r="V27" i="16"/>
  <c r="V27" i="17"/>
  <c r="V14" i="16"/>
  <c r="V14" i="17"/>
  <c r="V17" i="16"/>
  <c r="T17" i="28" s="1"/>
  <c r="T59" i="28" s="1"/>
  <c r="V17" i="17"/>
  <c r="V6" i="16"/>
  <c r="V6" i="17"/>
  <c r="V39" i="13"/>
  <c r="V34" i="12"/>
  <c r="V34" i="13"/>
  <c r="V10" i="12"/>
  <c r="V10" i="13"/>
  <c r="V19" i="12"/>
  <c r="U19" i="27" s="1"/>
  <c r="U71" i="27" s="1"/>
  <c r="V19" i="13"/>
  <c r="V20" i="13"/>
  <c r="V33" i="12"/>
  <c r="V33" i="13"/>
  <c r="Q33" i="12"/>
  <c r="Q33" i="27" s="1"/>
  <c r="Q85" i="27" s="1"/>
  <c r="M42" i="12"/>
  <c r="M42" i="13"/>
  <c r="AB21" i="11"/>
  <c r="U40" i="12"/>
  <c r="T40" i="27" s="1"/>
  <c r="T92" i="27" s="1"/>
  <c r="M33" i="12"/>
  <c r="M33" i="13"/>
  <c r="O35" i="12"/>
  <c r="O35" i="27" s="1"/>
  <c r="O87" i="27" s="1"/>
  <c r="AA39" i="15"/>
  <c r="Z39" i="16"/>
  <c r="AA39" i="16" s="1"/>
  <c r="Z39" i="17"/>
  <c r="AA39" i="17" s="1"/>
  <c r="AA14" i="15"/>
  <c r="Z14" i="16"/>
  <c r="AA14" i="16" s="1"/>
  <c r="Z14" i="17"/>
  <c r="AA14" i="17" s="1"/>
  <c r="AA34" i="15"/>
  <c r="Z34" i="16"/>
  <c r="AA34" i="16" s="1"/>
  <c r="Z34" i="17"/>
  <c r="AA34" i="17" s="1"/>
  <c r="AA24" i="15"/>
  <c r="Z24" i="16"/>
  <c r="AA24" i="16" s="1"/>
  <c r="Z24" i="17"/>
  <c r="AA24" i="17" s="1"/>
  <c r="AA7" i="15"/>
  <c r="Z7" i="16"/>
  <c r="AA7" i="16" s="1"/>
  <c r="Z7" i="17"/>
  <c r="AA7" i="17" s="1"/>
  <c r="Q14" i="12"/>
  <c r="Q14" i="27" s="1"/>
  <c r="Q66" i="27" s="1"/>
  <c r="Q46" i="12"/>
  <c r="Q46" i="27" s="1"/>
  <c r="Q98" i="27" s="1"/>
  <c r="P13" i="12"/>
  <c r="P13" i="27" s="1"/>
  <c r="P65" i="27" s="1"/>
  <c r="AC48" i="12"/>
  <c r="U17" i="12"/>
  <c r="T17" i="27" s="1"/>
  <c r="T69" i="27" s="1"/>
  <c r="O16" i="12"/>
  <c r="O16" i="27" s="1"/>
  <c r="O68" i="27" s="1"/>
  <c r="U18" i="16"/>
  <c r="U18" i="17"/>
  <c r="U32" i="16"/>
  <c r="U32" i="17"/>
  <c r="U27" i="16"/>
  <c r="U27" i="17"/>
  <c r="U35" i="16"/>
  <c r="S35" i="28" s="1"/>
  <c r="S77" i="28" s="1"/>
  <c r="U35" i="17"/>
  <c r="U15" i="16"/>
  <c r="U15" i="17"/>
  <c r="M10" i="12"/>
  <c r="M10" i="27" s="1"/>
  <c r="M62" i="27" s="1"/>
  <c r="M10" i="13"/>
  <c r="X15" i="12"/>
  <c r="W15" i="27" s="1"/>
  <c r="W67" i="27" s="1"/>
  <c r="L8" i="12"/>
  <c r="L8" i="27" s="1"/>
  <c r="L60" i="27" s="1"/>
  <c r="L40" i="12"/>
  <c r="L40" i="27" s="1"/>
  <c r="L92" i="27" s="1"/>
  <c r="W15" i="12"/>
  <c r="V15" i="27" s="1"/>
  <c r="V67" i="27" s="1"/>
  <c r="Q10" i="12"/>
  <c r="Q10" i="27" s="1"/>
  <c r="Q62" i="27" s="1"/>
  <c r="Q25" i="12"/>
  <c r="Q25" i="27" s="1"/>
  <c r="Q77" i="27" s="1"/>
  <c r="P9" i="12"/>
  <c r="P9" i="27" s="1"/>
  <c r="P61" i="27" s="1"/>
  <c r="AC20" i="12"/>
  <c r="AB8" i="13"/>
  <c r="AB38" i="11"/>
  <c r="M43" i="12"/>
  <c r="M43" i="27" s="1"/>
  <c r="M95" i="27" s="1"/>
  <c r="M43" i="13"/>
  <c r="O12" i="12"/>
  <c r="O12" i="27" s="1"/>
  <c r="O64" i="27" s="1"/>
  <c r="O22" i="12"/>
  <c r="O22" i="27" s="1"/>
  <c r="O74" i="27" s="1"/>
  <c r="W40" i="15"/>
  <c r="T40" i="16"/>
  <c r="T40" i="17"/>
  <c r="W40" i="17" s="1"/>
  <c r="W28" i="15"/>
  <c r="T28" i="16"/>
  <c r="R28" i="28" s="1"/>
  <c r="R70" i="28" s="1"/>
  <c r="T28" i="17"/>
  <c r="W11" i="15"/>
  <c r="T11" i="16"/>
  <c r="T11" i="17"/>
  <c r="W5" i="15"/>
  <c r="T5" i="16"/>
  <c r="T5" i="17"/>
  <c r="T43" i="15"/>
  <c r="X32" i="12"/>
  <c r="W32" i="27" s="1"/>
  <c r="W84" i="27" s="1"/>
  <c r="X13" i="12"/>
  <c r="W13" i="27" s="1"/>
  <c r="W65" i="27" s="1"/>
  <c r="L36" i="12"/>
  <c r="L36" i="27" s="1"/>
  <c r="L88" i="27" s="1"/>
  <c r="W48" i="12"/>
  <c r="V48" i="27" s="1"/>
  <c r="V100" i="27" s="1"/>
  <c r="W45" i="12"/>
  <c r="V45" i="27" s="1"/>
  <c r="V97" i="27" s="1"/>
  <c r="Q30" i="12"/>
  <c r="Q30" i="27" s="1"/>
  <c r="Q82" i="27" s="1"/>
  <c r="P19" i="12"/>
  <c r="P19" i="27" s="1"/>
  <c r="P71" i="27" s="1"/>
  <c r="U18" i="12"/>
  <c r="T18" i="27" s="1"/>
  <c r="T70" i="27" s="1"/>
  <c r="AH14" i="12"/>
  <c r="AD14" i="27" s="1"/>
  <c r="AD66" i="27" s="1"/>
  <c r="AH39" i="12"/>
  <c r="AD39" i="27" s="1"/>
  <c r="AD91" i="27" s="1"/>
  <c r="O33" i="12"/>
  <c r="O33" i="27" s="1"/>
  <c r="O85" i="27" s="1"/>
  <c r="P26" i="16"/>
  <c r="P26" i="17"/>
  <c r="P30" i="16"/>
  <c r="P30" i="17"/>
  <c r="P34" i="16"/>
  <c r="P34" i="28" s="1"/>
  <c r="P76" i="28" s="1"/>
  <c r="P34" i="17"/>
  <c r="P38" i="16"/>
  <c r="P38" i="17"/>
  <c r="P8" i="16"/>
  <c r="P8" i="17"/>
  <c r="Y47" i="12"/>
  <c r="Y47" i="13"/>
  <c r="AB47" i="13" s="1"/>
  <c r="Y48" i="13"/>
  <c r="Y45" i="13"/>
  <c r="Y12" i="13"/>
  <c r="Y6" i="12"/>
  <c r="Y6" i="13"/>
  <c r="V10" i="16"/>
  <c r="V10" i="17"/>
  <c r="V22" i="12"/>
  <c r="V22" i="13"/>
  <c r="AB22" i="13" s="1"/>
  <c r="AA32" i="15"/>
  <c r="Z32" i="16"/>
  <c r="AA32" i="16" s="1"/>
  <c r="Z32" i="17"/>
  <c r="AA32" i="17" s="1"/>
  <c r="U22" i="16"/>
  <c r="U22" i="17"/>
  <c r="W15" i="15"/>
  <c r="T15" i="16"/>
  <c r="T15" i="17"/>
  <c r="Y18" i="13"/>
  <c r="AB18" i="13" s="1"/>
  <c r="N22" i="16"/>
  <c r="N22" i="17"/>
  <c r="N26" i="16"/>
  <c r="N26" i="17"/>
  <c r="N35" i="16"/>
  <c r="N35" i="17"/>
  <c r="N15" i="16"/>
  <c r="N15" i="28" s="1"/>
  <c r="N57" i="28" s="1"/>
  <c r="N15" i="17"/>
  <c r="M21" i="12"/>
  <c r="M21" i="13"/>
  <c r="U14" i="12"/>
  <c r="T14" i="27" s="1"/>
  <c r="T66" i="27" s="1"/>
  <c r="N13" i="16"/>
  <c r="N13" i="17"/>
  <c r="N18" i="16"/>
  <c r="N18" i="17"/>
  <c r="N23" i="16"/>
  <c r="N23" i="17"/>
  <c r="N6" i="16"/>
  <c r="N6" i="17"/>
  <c r="O42" i="12"/>
  <c r="O42" i="27" s="1"/>
  <c r="O94" i="27" s="1"/>
  <c r="X5" i="12"/>
  <c r="W5" i="27" s="1"/>
  <c r="W57" i="27" s="1"/>
  <c r="L30" i="12"/>
  <c r="L30" i="27" s="1"/>
  <c r="L82" i="27" s="1"/>
  <c r="U10" i="12"/>
  <c r="T10" i="27" s="1"/>
  <c r="T62" i="27" s="1"/>
  <c r="O30" i="12"/>
  <c r="O30" i="27" s="1"/>
  <c r="O82" i="27" s="1"/>
  <c r="O22" i="16"/>
  <c r="O22" i="17"/>
  <c r="O26" i="16"/>
  <c r="O26" i="17"/>
  <c r="O40" i="16"/>
  <c r="O40" i="17"/>
  <c r="O17" i="16"/>
  <c r="O17" i="28" s="1"/>
  <c r="O59" i="28" s="1"/>
  <c r="O17" i="17"/>
  <c r="M50" i="12"/>
  <c r="M50" i="13"/>
  <c r="X6" i="12"/>
  <c r="W6" i="27" s="1"/>
  <c r="W58" i="27" s="1"/>
  <c r="M32" i="12"/>
  <c r="M32" i="27" s="1"/>
  <c r="M84" i="27" s="1"/>
  <c r="M32" i="13"/>
  <c r="P7" i="12"/>
  <c r="P7" i="27" s="1"/>
  <c r="P59" i="27" s="1"/>
  <c r="P43" i="12"/>
  <c r="P43" i="27" s="1"/>
  <c r="P95" i="27" s="1"/>
  <c r="U49" i="12"/>
  <c r="T49" i="27" s="1"/>
  <c r="T101" i="27" s="1"/>
  <c r="U15" i="12"/>
  <c r="T15" i="27" s="1"/>
  <c r="T67" i="27" s="1"/>
  <c r="M48" i="12"/>
  <c r="M48" i="13"/>
  <c r="O51" i="12"/>
  <c r="O51" i="27" s="1"/>
  <c r="O103" i="27" s="1"/>
  <c r="X39" i="12"/>
  <c r="W39" i="27" s="1"/>
  <c r="W91" i="27" s="1"/>
  <c r="X41" i="12"/>
  <c r="W41" i="27" s="1"/>
  <c r="W93" i="27" s="1"/>
  <c r="L44" i="12"/>
  <c r="L44" i="27" s="1"/>
  <c r="L96" i="27" s="1"/>
  <c r="Q17" i="12"/>
  <c r="Q17" i="27" s="1"/>
  <c r="Q69" i="27" s="1"/>
  <c r="AB11" i="13"/>
  <c r="AB46" i="11"/>
  <c r="S5" i="16"/>
  <c r="R43" i="16"/>
  <c r="O29" i="12"/>
  <c r="O29" i="27" s="1"/>
  <c r="O81" i="27" s="1"/>
  <c r="V33" i="16"/>
  <c r="V33" i="17"/>
  <c r="V13" i="16"/>
  <c r="V13" i="17"/>
  <c r="V22" i="16"/>
  <c r="V22" i="17"/>
  <c r="V24" i="16"/>
  <c r="T24" i="28" s="1"/>
  <c r="T66" i="28" s="1"/>
  <c r="V24" i="17"/>
  <c r="V8" i="16"/>
  <c r="V8" i="17"/>
  <c r="V36" i="12"/>
  <c r="V36" i="13"/>
  <c r="AB36" i="13" s="1"/>
  <c r="V9" i="12"/>
  <c r="V9" i="13"/>
  <c r="AB9" i="13" s="1"/>
  <c r="V14" i="12"/>
  <c r="V14" i="13"/>
  <c r="AB14" i="13" s="1"/>
  <c r="V23" i="12"/>
  <c r="V23" i="13"/>
  <c r="AB23" i="13" s="1"/>
  <c r="V24" i="12"/>
  <c r="V24" i="13"/>
  <c r="V37" i="12"/>
  <c r="V37" i="13"/>
  <c r="AB37" i="13" s="1"/>
  <c r="X23" i="12"/>
  <c r="W23" i="27" s="1"/>
  <c r="W75" i="27" s="1"/>
  <c r="L24" i="12"/>
  <c r="L24" i="27" s="1"/>
  <c r="L76" i="27" s="1"/>
  <c r="L17" i="12"/>
  <c r="L17" i="27" s="1"/>
  <c r="L69" i="27" s="1"/>
  <c r="P17" i="12"/>
  <c r="P17" i="27" s="1"/>
  <c r="P69" i="27" s="1"/>
  <c r="AB16" i="11"/>
  <c r="M22" i="12"/>
  <c r="M22" i="13"/>
  <c r="AA30" i="15"/>
  <c r="Z30" i="16"/>
  <c r="AA30" i="16" s="1"/>
  <c r="Z30" i="17"/>
  <c r="AA30" i="17" s="1"/>
  <c r="AA29" i="15"/>
  <c r="Z29" i="16"/>
  <c r="AA29" i="16" s="1"/>
  <c r="Z29" i="17"/>
  <c r="AA29" i="17" s="1"/>
  <c r="AA21" i="15"/>
  <c r="Z21" i="16"/>
  <c r="AA21" i="16" s="1"/>
  <c r="Z21" i="17"/>
  <c r="AA21" i="17" s="1"/>
  <c r="AA25" i="15"/>
  <c r="Z25" i="16"/>
  <c r="AA25" i="16" s="1"/>
  <c r="Z25" i="17"/>
  <c r="AA25" i="17" s="1"/>
  <c r="Z9" i="16"/>
  <c r="AA9" i="16" s="1"/>
  <c r="AA9" i="15"/>
  <c r="Z9" i="17"/>
  <c r="AA9" i="17" s="1"/>
  <c r="L10" i="12"/>
  <c r="L10" i="27" s="1"/>
  <c r="L62" i="27" s="1"/>
  <c r="AD5" i="13"/>
  <c r="AD53" i="13" s="1"/>
  <c r="AC53" i="13"/>
  <c r="AC33" i="12"/>
  <c r="AB12" i="11"/>
  <c r="AH7" i="12"/>
  <c r="AH31" i="12"/>
  <c r="AD31" i="27" s="1"/>
  <c r="AD83" i="27" s="1"/>
  <c r="U29" i="16"/>
  <c r="U29" i="17"/>
  <c r="U13" i="16"/>
  <c r="U13" i="17"/>
  <c r="U38" i="16"/>
  <c r="U38" i="17"/>
  <c r="U17" i="16"/>
  <c r="U17" i="17"/>
  <c r="U6" i="16"/>
  <c r="U6" i="17"/>
  <c r="M15" i="12"/>
  <c r="M15" i="13"/>
  <c r="AC21" i="12"/>
  <c r="AB8" i="11"/>
  <c r="M29" i="12"/>
  <c r="M29" i="13"/>
  <c r="W16" i="15"/>
  <c r="T16" i="16"/>
  <c r="W16" i="16" s="1"/>
  <c r="T16" i="17"/>
  <c r="W17" i="15"/>
  <c r="T17" i="16"/>
  <c r="T17" i="17"/>
  <c r="W27" i="15"/>
  <c r="T27" i="16"/>
  <c r="R27" i="28" s="1"/>
  <c r="R69" i="28" s="1"/>
  <c r="T27" i="17"/>
  <c r="W7" i="15"/>
  <c r="T7" i="16"/>
  <c r="T7" i="17"/>
  <c r="W7" i="17" s="1"/>
  <c r="AB31" i="11"/>
  <c r="M40" i="12"/>
  <c r="M40" i="13"/>
  <c r="P21" i="16"/>
  <c r="P21" i="28" s="1"/>
  <c r="P63" i="28" s="1"/>
  <c r="P21" i="17"/>
  <c r="P17" i="16"/>
  <c r="P17" i="17"/>
  <c r="P18" i="16"/>
  <c r="P18" i="17"/>
  <c r="P22" i="16"/>
  <c r="P22" i="17"/>
  <c r="P10" i="16"/>
  <c r="P10" i="28" s="1"/>
  <c r="P52" i="28" s="1"/>
  <c r="P10" i="17"/>
  <c r="Y39" i="13"/>
  <c r="Y38" i="13"/>
  <c r="Y46" i="13"/>
  <c r="AB46" i="13" s="1"/>
  <c r="Y43" i="13"/>
  <c r="Y16" i="13"/>
  <c r="Y10" i="13"/>
  <c r="N56" i="10"/>
  <c r="D10" i="9"/>
  <c r="T56" i="10" s="1"/>
  <c r="O14" i="29" l="1"/>
  <c r="W19" i="16"/>
  <c r="AI41" i="12"/>
  <c r="AE41" i="27" s="1"/>
  <c r="AE93" i="27" s="1"/>
  <c r="AI13" i="12"/>
  <c r="AE13" i="27" s="1"/>
  <c r="AE65" i="27" s="1"/>
  <c r="M31" i="16"/>
  <c r="M31" i="28" s="1"/>
  <c r="M73" i="28" s="1"/>
  <c r="M31" i="17"/>
  <c r="M23" i="16"/>
  <c r="M23" i="17"/>
  <c r="M5" i="16"/>
  <c r="M43" i="15"/>
  <c r="M5" i="17"/>
  <c r="M13" i="16"/>
  <c r="M13" i="28" s="1"/>
  <c r="M55" i="28" s="1"/>
  <c r="M13" i="17"/>
  <c r="M41" i="17"/>
  <c r="M41" i="16"/>
  <c r="M41" i="28" s="1"/>
  <c r="M83" i="28" s="1"/>
  <c r="AI14" i="12"/>
  <c r="AE14" i="27" s="1"/>
  <c r="AE66" i="27" s="1"/>
  <c r="AI31" i="12"/>
  <c r="AE31" i="27" s="1"/>
  <c r="AE83" i="27" s="1"/>
  <c r="M19" i="16"/>
  <c r="M19" i="28" s="1"/>
  <c r="M61" i="28" s="1"/>
  <c r="M19" i="17"/>
  <c r="M7" i="16"/>
  <c r="M7" i="28" s="1"/>
  <c r="M49" i="28" s="1"/>
  <c r="M7" i="17"/>
  <c r="M34" i="16"/>
  <c r="M34" i="17"/>
  <c r="M21" i="16"/>
  <c r="M21" i="17"/>
  <c r="M40" i="16"/>
  <c r="M40" i="28" s="1"/>
  <c r="M82" i="28" s="1"/>
  <c r="M40" i="17"/>
  <c r="AI35" i="12"/>
  <c r="AE35" i="27" s="1"/>
  <c r="AE87" i="27" s="1"/>
  <c r="M12" i="16"/>
  <c r="M12" i="28" s="1"/>
  <c r="M54" i="28" s="1"/>
  <c r="M12" i="17"/>
  <c r="M26" i="16"/>
  <c r="M26" i="17"/>
  <c r="M22" i="16"/>
  <c r="M22" i="17"/>
  <c r="M35" i="16"/>
  <c r="M35" i="28" s="1"/>
  <c r="M77" i="28" s="1"/>
  <c r="M35" i="17"/>
  <c r="M33" i="16"/>
  <c r="M33" i="28" s="1"/>
  <c r="M75" i="28" s="1"/>
  <c r="M33" i="17"/>
  <c r="AI36" i="12"/>
  <c r="AE36" i="27" s="1"/>
  <c r="AE88" i="27" s="1"/>
  <c r="M11" i="17"/>
  <c r="M11" i="16"/>
  <c r="M11" i="28" s="1"/>
  <c r="M53" i="28" s="1"/>
  <c r="M37" i="16"/>
  <c r="M37" i="28" s="1"/>
  <c r="M79" i="28" s="1"/>
  <c r="M37" i="17"/>
  <c r="M28" i="17"/>
  <c r="M28" i="16"/>
  <c r="M24" i="17"/>
  <c r="M24" i="16"/>
  <c r="M24" i="28" s="1"/>
  <c r="M66" i="28" s="1"/>
  <c r="M10" i="16"/>
  <c r="M10" i="17"/>
  <c r="AI28" i="12"/>
  <c r="AE28" i="27" s="1"/>
  <c r="AE80" i="27" s="1"/>
  <c r="AI12" i="12"/>
  <c r="AE12" i="27" s="1"/>
  <c r="AE64" i="27" s="1"/>
  <c r="AI10" i="12"/>
  <c r="AE10" i="27" s="1"/>
  <c r="AE62" i="27" s="1"/>
  <c r="AI24" i="12"/>
  <c r="AE24" i="27" s="1"/>
  <c r="AE76" i="27" s="1"/>
  <c r="AI5" i="12"/>
  <c r="AI25" i="12"/>
  <c r="AE25" i="27" s="1"/>
  <c r="AE77" i="27" s="1"/>
  <c r="AI43" i="12"/>
  <c r="AE43" i="27" s="1"/>
  <c r="AE95" i="27" s="1"/>
  <c r="AI38" i="12"/>
  <c r="AE38" i="27" s="1"/>
  <c r="AE90" i="27" s="1"/>
  <c r="AI15" i="12"/>
  <c r="AE15" i="27" s="1"/>
  <c r="AE67" i="27" s="1"/>
  <c r="AI37" i="12"/>
  <c r="AE37" i="27" s="1"/>
  <c r="AE89" i="27" s="1"/>
  <c r="AI19" i="12"/>
  <c r="AE19" i="27" s="1"/>
  <c r="AE71" i="27" s="1"/>
  <c r="AI9" i="12"/>
  <c r="AE9" i="27" s="1"/>
  <c r="AE61" i="27" s="1"/>
  <c r="AI42" i="12"/>
  <c r="AE42" i="27" s="1"/>
  <c r="AE94" i="27" s="1"/>
  <c r="AI29" i="12"/>
  <c r="AE29" i="27" s="1"/>
  <c r="AE81" i="27" s="1"/>
  <c r="AI39" i="12"/>
  <c r="AE39" i="27" s="1"/>
  <c r="AE91" i="27" s="1"/>
  <c r="AI46" i="12"/>
  <c r="AE46" i="27" s="1"/>
  <c r="AE98" i="27" s="1"/>
  <c r="AI49" i="12"/>
  <c r="AE49" i="27" s="1"/>
  <c r="AE101" i="27" s="1"/>
  <c r="AI20" i="12"/>
  <c r="AE20" i="27" s="1"/>
  <c r="AE72" i="27" s="1"/>
  <c r="AI27" i="12"/>
  <c r="AE27" i="27" s="1"/>
  <c r="AE79" i="27" s="1"/>
  <c r="AI51" i="12"/>
  <c r="AE51" i="27" s="1"/>
  <c r="AE103" i="27" s="1"/>
  <c r="AI45" i="12"/>
  <c r="AE45" i="27" s="1"/>
  <c r="AE97" i="27" s="1"/>
  <c r="AI7" i="12"/>
  <c r="AE7" i="27" s="1"/>
  <c r="AE59" i="27" s="1"/>
  <c r="AI6" i="12"/>
  <c r="AE6" i="27" s="1"/>
  <c r="AE58" i="27" s="1"/>
  <c r="AI11" i="12"/>
  <c r="AE11" i="27" s="1"/>
  <c r="AE63" i="27" s="1"/>
  <c r="AI44" i="12"/>
  <c r="AE44" i="27" s="1"/>
  <c r="AE96" i="27" s="1"/>
  <c r="AI47" i="12"/>
  <c r="AE47" i="27" s="1"/>
  <c r="AE99" i="27" s="1"/>
  <c r="AI40" i="12"/>
  <c r="AE40" i="27" s="1"/>
  <c r="AE92" i="27" s="1"/>
  <c r="AI16" i="12"/>
  <c r="AE16" i="27" s="1"/>
  <c r="AE68" i="27" s="1"/>
  <c r="AI32" i="12"/>
  <c r="AE32" i="27" s="1"/>
  <c r="AE84" i="27" s="1"/>
  <c r="M16" i="16"/>
  <c r="M16" i="28" s="1"/>
  <c r="M58" i="28" s="1"/>
  <c r="M16" i="17"/>
  <c r="M29" i="16"/>
  <c r="M29" i="17"/>
  <c r="M39" i="16"/>
  <c r="M39" i="28" s="1"/>
  <c r="M81" i="28" s="1"/>
  <c r="M39" i="17"/>
  <c r="M20" i="16"/>
  <c r="M20" i="28" s="1"/>
  <c r="M62" i="28" s="1"/>
  <c r="M20" i="17"/>
  <c r="AI48" i="12"/>
  <c r="AE48" i="27" s="1"/>
  <c r="AE100" i="27" s="1"/>
  <c r="AI26" i="12"/>
  <c r="AE26" i="27" s="1"/>
  <c r="AE78" i="27" s="1"/>
  <c r="AI23" i="12"/>
  <c r="AE23" i="27" s="1"/>
  <c r="AE75" i="27" s="1"/>
  <c r="M14" i="17"/>
  <c r="M14" i="16"/>
  <c r="M30" i="16"/>
  <c r="M30" i="28" s="1"/>
  <c r="M72" i="28" s="1"/>
  <c r="M30" i="17"/>
  <c r="M27" i="16"/>
  <c r="M27" i="17"/>
  <c r="M18" i="16"/>
  <c r="M18" i="17"/>
  <c r="AI17" i="12"/>
  <c r="AE17" i="27" s="1"/>
  <c r="AE69" i="27" s="1"/>
  <c r="N13" i="28"/>
  <c r="N55" i="28" s="1"/>
  <c r="T10" i="28"/>
  <c r="T52" i="28" s="1"/>
  <c r="T14" i="28"/>
  <c r="T56" i="28" s="1"/>
  <c r="AI50" i="12"/>
  <c r="AE50" i="27" s="1"/>
  <c r="AE102" i="27" s="1"/>
  <c r="AI30" i="12"/>
  <c r="AE30" i="27" s="1"/>
  <c r="AE82" i="27" s="1"/>
  <c r="M36" i="16"/>
  <c r="M36" i="17"/>
  <c r="M32" i="17"/>
  <c r="M32" i="16"/>
  <c r="M25" i="16"/>
  <c r="M25" i="28" s="1"/>
  <c r="M67" i="28" s="1"/>
  <c r="M25" i="17"/>
  <c r="M6" i="16"/>
  <c r="M6" i="17"/>
  <c r="AI21" i="12"/>
  <c r="AE21" i="27" s="1"/>
  <c r="AE73" i="27" s="1"/>
  <c r="P18" i="28"/>
  <c r="P60" i="28" s="1"/>
  <c r="R18" i="28"/>
  <c r="R60" i="28" s="1"/>
  <c r="P15" i="28"/>
  <c r="P57" i="28" s="1"/>
  <c r="R24" i="28"/>
  <c r="R66" i="28" s="1"/>
  <c r="S7" i="28"/>
  <c r="S49" i="28" s="1"/>
  <c r="S5" i="28"/>
  <c r="S47" i="28" s="1"/>
  <c r="M38" i="16"/>
  <c r="M38" i="28" s="1"/>
  <c r="M80" i="28" s="1"/>
  <c r="M38" i="17"/>
  <c r="M9" i="16"/>
  <c r="M9" i="17"/>
  <c r="M15" i="16"/>
  <c r="M15" i="28" s="1"/>
  <c r="M57" i="28" s="1"/>
  <c r="M15" i="17"/>
  <c r="M8" i="17"/>
  <c r="M8" i="16"/>
  <c r="M17" i="17"/>
  <c r="M17" i="16"/>
  <c r="AI8" i="12"/>
  <c r="AE8" i="27" s="1"/>
  <c r="AE60" i="27" s="1"/>
  <c r="V5" i="28"/>
  <c r="V47" i="28" s="1"/>
  <c r="U6" i="27"/>
  <c r="U58" i="27" s="1"/>
  <c r="T30" i="28"/>
  <c r="T72" i="28" s="1"/>
  <c r="O7" i="28"/>
  <c r="O49" i="28" s="1"/>
  <c r="O37" i="28"/>
  <c r="O79" i="28" s="1"/>
  <c r="T29" i="28"/>
  <c r="T71" i="28" s="1"/>
  <c r="O29" i="28"/>
  <c r="O71" i="28" s="1"/>
  <c r="R13" i="28"/>
  <c r="R55" i="28" s="1"/>
  <c r="T7" i="28"/>
  <c r="T49" i="28" s="1"/>
  <c r="T20" i="28"/>
  <c r="T62" i="28" s="1"/>
  <c r="O10" i="28"/>
  <c r="O52" i="28" s="1"/>
  <c r="O16" i="28"/>
  <c r="O58" i="28" s="1"/>
  <c r="P20" i="28"/>
  <c r="P62" i="28" s="1"/>
  <c r="S24" i="28"/>
  <c r="S66" i="28" s="1"/>
  <c r="T31" i="28"/>
  <c r="T73" i="28" s="1"/>
  <c r="O39" i="28"/>
  <c r="O81" i="28" s="1"/>
  <c r="N20" i="28"/>
  <c r="N62" i="28" s="1"/>
  <c r="S8" i="28"/>
  <c r="S50" i="28" s="1"/>
  <c r="S34" i="28"/>
  <c r="S76" i="28" s="1"/>
  <c r="AB41" i="13"/>
  <c r="M25" i="27"/>
  <c r="M77" i="27" s="1"/>
  <c r="AB34" i="13"/>
  <c r="P35" i="28"/>
  <c r="P77" i="28" s="1"/>
  <c r="R10" i="28"/>
  <c r="R52" i="28" s="1"/>
  <c r="S14" i="28"/>
  <c r="S56" i="28" s="1"/>
  <c r="T36" i="28"/>
  <c r="T78" i="28" s="1"/>
  <c r="U23" i="27"/>
  <c r="U75" i="27" s="1"/>
  <c r="T8" i="28"/>
  <c r="T50" i="28" s="1"/>
  <c r="T33" i="28"/>
  <c r="T75" i="28" s="1"/>
  <c r="N18" i="28"/>
  <c r="N60" i="28" s="1"/>
  <c r="R15" i="28"/>
  <c r="R57" i="28" s="1"/>
  <c r="U22" i="27"/>
  <c r="U74" i="27" s="1"/>
  <c r="O13" i="28"/>
  <c r="O55" i="28" s="1"/>
  <c r="P40" i="28"/>
  <c r="P82" i="28" s="1"/>
  <c r="T40" i="28"/>
  <c r="T82" i="28" s="1"/>
  <c r="O8" i="28"/>
  <c r="O50" i="28" s="1"/>
  <c r="O33" i="28"/>
  <c r="O75" i="28" s="1"/>
  <c r="P7" i="28"/>
  <c r="P49" i="28" s="1"/>
  <c r="S28" i="28"/>
  <c r="S70" i="28" s="1"/>
  <c r="S11" i="28"/>
  <c r="S53" i="28" s="1"/>
  <c r="R17" i="28"/>
  <c r="R59" i="28" s="1"/>
  <c r="S38" i="28"/>
  <c r="S80" i="28" s="1"/>
  <c r="U10" i="27"/>
  <c r="U62" i="27" s="1"/>
  <c r="M6" i="27"/>
  <c r="M58" i="27" s="1"/>
  <c r="S16" i="28"/>
  <c r="S58" i="28" s="1"/>
  <c r="T15" i="28"/>
  <c r="T57" i="28" s="1"/>
  <c r="T41" i="28"/>
  <c r="T83" i="28" s="1"/>
  <c r="O11" i="28"/>
  <c r="O53" i="28" s="1"/>
  <c r="R19" i="28"/>
  <c r="R61" i="28" s="1"/>
  <c r="T38" i="28"/>
  <c r="T80" i="28" s="1"/>
  <c r="O12" i="28"/>
  <c r="O54" i="28" s="1"/>
  <c r="N40" i="28"/>
  <c r="N82" i="28" s="1"/>
  <c r="S10" i="28"/>
  <c r="S52" i="28" s="1"/>
  <c r="M48" i="27"/>
  <c r="M100" i="27" s="1"/>
  <c r="N6" i="28"/>
  <c r="N48" i="28" s="1"/>
  <c r="X6" i="27"/>
  <c r="X58" i="27" s="1"/>
  <c r="R11" i="28"/>
  <c r="R53" i="28" s="1"/>
  <c r="U33" i="27"/>
  <c r="U85" i="27" s="1"/>
  <c r="T27" i="28"/>
  <c r="T69" i="28" s="1"/>
  <c r="P37" i="28"/>
  <c r="P79" i="28" s="1"/>
  <c r="X25" i="27"/>
  <c r="X77" i="27" s="1"/>
  <c r="S9" i="28"/>
  <c r="S51" i="28" s="1"/>
  <c r="S23" i="28"/>
  <c r="S65" i="28" s="1"/>
  <c r="O14" i="28"/>
  <c r="O56" i="28" s="1"/>
  <c r="P39" i="28"/>
  <c r="P81" i="28" s="1"/>
  <c r="R41" i="28"/>
  <c r="R83" i="28" s="1"/>
  <c r="S41" i="28"/>
  <c r="S83" i="28" s="1"/>
  <c r="T25" i="28"/>
  <c r="T67" i="28" s="1"/>
  <c r="O20" i="28"/>
  <c r="O62" i="28" s="1"/>
  <c r="N25" i="28"/>
  <c r="N67" i="28" s="1"/>
  <c r="R9" i="28"/>
  <c r="R51" i="28" s="1"/>
  <c r="S36" i="28"/>
  <c r="S78" i="28" s="1"/>
  <c r="O15" i="28"/>
  <c r="O57" i="28" s="1"/>
  <c r="N12" i="28"/>
  <c r="N54" i="28" s="1"/>
  <c r="S21" i="28"/>
  <c r="S63" i="28" s="1"/>
  <c r="S13" i="28"/>
  <c r="S55" i="28" s="1"/>
  <c r="O36" i="28"/>
  <c r="O78" i="28" s="1"/>
  <c r="T21" i="28"/>
  <c r="T63" i="28" s="1"/>
  <c r="P16" i="28"/>
  <c r="P58" i="28" s="1"/>
  <c r="U14" i="27"/>
  <c r="U66" i="27" s="1"/>
  <c r="O40" i="28"/>
  <c r="O82" i="28" s="1"/>
  <c r="N35" i="28"/>
  <c r="N77" i="28" s="1"/>
  <c r="X47" i="27"/>
  <c r="X99" i="27" s="1"/>
  <c r="P30" i="28"/>
  <c r="P72" i="28" s="1"/>
  <c r="R5" i="28"/>
  <c r="R47" i="28" s="1"/>
  <c r="S27" i="28"/>
  <c r="S69" i="28" s="1"/>
  <c r="M42" i="27"/>
  <c r="M94" i="27" s="1"/>
  <c r="O31" i="28"/>
  <c r="O73" i="28" s="1"/>
  <c r="N17" i="28"/>
  <c r="N59" i="28" s="1"/>
  <c r="N19" i="28"/>
  <c r="N61" i="28" s="1"/>
  <c r="W31" i="16"/>
  <c r="N38" i="28"/>
  <c r="N80" i="28" s="1"/>
  <c r="X32" i="27"/>
  <c r="X84" i="27" s="1"/>
  <c r="P19" i="28"/>
  <c r="P61" i="28" s="1"/>
  <c r="T12" i="28"/>
  <c r="T54" i="28" s="1"/>
  <c r="O32" i="28"/>
  <c r="O74" i="28" s="1"/>
  <c r="N37" i="28"/>
  <c r="N79" i="28" s="1"/>
  <c r="O23" i="28"/>
  <c r="O65" i="28" s="1"/>
  <c r="S20" i="28"/>
  <c r="S62" i="28" s="1"/>
  <c r="N24" i="28"/>
  <c r="N66" i="28" s="1"/>
  <c r="R30" i="28"/>
  <c r="R72" i="28" s="1"/>
  <c r="AB40" i="13"/>
  <c r="P36" i="28"/>
  <c r="P78" i="28" s="1"/>
  <c r="R39" i="28"/>
  <c r="R81" i="28" s="1"/>
  <c r="R20" i="28"/>
  <c r="R62" i="28" s="1"/>
  <c r="S31" i="28"/>
  <c r="S73" i="28" s="1"/>
  <c r="M15" i="27"/>
  <c r="M67" i="27" s="1"/>
  <c r="AB29" i="13"/>
  <c r="N9" i="28"/>
  <c r="N51" i="28" s="1"/>
  <c r="R7" i="28"/>
  <c r="R49" i="28" s="1"/>
  <c r="P17" i="28"/>
  <c r="P59" i="28" s="1"/>
  <c r="S6" i="28"/>
  <c r="S48" i="28" s="1"/>
  <c r="S29" i="28"/>
  <c r="S71" i="28" s="1"/>
  <c r="M22" i="27"/>
  <c r="M74" i="27" s="1"/>
  <c r="U37" i="27"/>
  <c r="U89" i="27" s="1"/>
  <c r="U9" i="27"/>
  <c r="U61" i="27" s="1"/>
  <c r="T22" i="28"/>
  <c r="T64" i="28" s="1"/>
  <c r="O26" i="28"/>
  <c r="O68" i="28" s="1"/>
  <c r="N26" i="28"/>
  <c r="N68" i="28" s="1"/>
  <c r="S22" i="28"/>
  <c r="S64" i="28" s="1"/>
  <c r="P8" i="28"/>
  <c r="P50" i="28" s="1"/>
  <c r="P26" i="28"/>
  <c r="P68" i="28" s="1"/>
  <c r="S32" i="28"/>
  <c r="S74" i="28" s="1"/>
  <c r="U34" i="27"/>
  <c r="U86" i="27" s="1"/>
  <c r="O9" i="28"/>
  <c r="O51" i="28" s="1"/>
  <c r="O30" i="28"/>
  <c r="O72" i="28" s="1"/>
  <c r="N32" i="28"/>
  <c r="N74" i="28" s="1"/>
  <c r="P6" i="28"/>
  <c r="P48" i="28" s="1"/>
  <c r="R32" i="28"/>
  <c r="R74" i="28" s="1"/>
  <c r="P27" i="28"/>
  <c r="P69" i="28" s="1"/>
  <c r="S12" i="28"/>
  <c r="S54" i="28" s="1"/>
  <c r="N31" i="28"/>
  <c r="N73" i="28" s="1"/>
  <c r="X41" i="27"/>
  <c r="X93" i="27" s="1"/>
  <c r="R6" i="28"/>
  <c r="R48" i="28" s="1"/>
  <c r="H11" i="30" s="1"/>
  <c r="T26" i="28"/>
  <c r="T68" i="28" s="1"/>
  <c r="P12" i="28"/>
  <c r="P54" i="28" s="1"/>
  <c r="T39" i="28"/>
  <c r="T81" i="28" s="1"/>
  <c r="O28" i="28"/>
  <c r="O70" i="28" s="1"/>
  <c r="X21" i="27"/>
  <c r="X73" i="27" s="1"/>
  <c r="S17" i="28"/>
  <c r="S59" i="28" s="1"/>
  <c r="U24" i="27"/>
  <c r="U76" i="27" s="1"/>
  <c r="U36" i="27"/>
  <c r="U88" i="27" s="1"/>
  <c r="T13" i="28"/>
  <c r="T55" i="28" s="1"/>
  <c r="M50" i="27"/>
  <c r="M102" i="27" s="1"/>
  <c r="O22" i="28"/>
  <c r="O64" i="28" s="1"/>
  <c r="M21" i="27"/>
  <c r="M73" i="27" s="1"/>
  <c r="N22" i="28"/>
  <c r="N64" i="28" s="1"/>
  <c r="P38" i="28"/>
  <c r="P80" i="28" s="1"/>
  <c r="S15" i="28"/>
  <c r="S57" i="28" s="1"/>
  <c r="S18" i="28"/>
  <c r="S60" i="28" s="1"/>
  <c r="M33" i="27"/>
  <c r="M85" i="27" s="1"/>
  <c r="AB20" i="13"/>
  <c r="N29" i="28"/>
  <c r="N71" i="28" s="1"/>
  <c r="P23" i="28"/>
  <c r="P65" i="28" s="1"/>
  <c r="U15" i="27"/>
  <c r="U67" i="27" s="1"/>
  <c r="T28" i="28"/>
  <c r="T70" i="28" s="1"/>
  <c r="O41" i="28"/>
  <c r="O83" i="28" s="1"/>
  <c r="X17" i="27"/>
  <c r="X69" i="27" s="1"/>
  <c r="N28" i="28"/>
  <c r="N70" i="28" s="1"/>
  <c r="P29" i="28"/>
  <c r="P71" i="28" s="1"/>
  <c r="R22" i="28"/>
  <c r="R64" i="28" s="1"/>
  <c r="N14" i="28"/>
  <c r="N56" i="28" s="1"/>
  <c r="AB35" i="13"/>
  <c r="N5" i="28"/>
  <c r="N47" i="28" s="1"/>
  <c r="P33" i="28"/>
  <c r="P75" i="28" s="1"/>
  <c r="T37" i="28"/>
  <c r="T79" i="28" s="1"/>
  <c r="N39" i="28"/>
  <c r="N81" i="28" s="1"/>
  <c r="V36" i="28"/>
  <c r="V78" i="28" s="1"/>
  <c r="V38" i="28"/>
  <c r="V80" i="28" s="1"/>
  <c r="V12" i="28"/>
  <c r="V54" i="28" s="1"/>
  <c r="M29" i="27"/>
  <c r="M81" i="27" s="1"/>
  <c r="P22" i="28"/>
  <c r="P64" i="28" s="1"/>
  <c r="M40" i="27"/>
  <c r="M92" i="27" s="1"/>
  <c r="N23" i="28"/>
  <c r="N65" i="28" s="1"/>
  <c r="D7" i="30" s="1"/>
  <c r="D13" i="30" s="1"/>
  <c r="AB19" i="13"/>
  <c r="T6" i="28"/>
  <c r="T48" i="28" s="1"/>
  <c r="T34" i="28"/>
  <c r="T76" i="28" s="1"/>
  <c r="N41" i="28"/>
  <c r="N83" i="28" s="1"/>
  <c r="R35" i="28"/>
  <c r="R77" i="28" s="1"/>
  <c r="R38" i="28"/>
  <c r="R80" i="28" s="1"/>
  <c r="S37" i="28"/>
  <c r="S79" i="28" s="1"/>
  <c r="P24" i="28"/>
  <c r="P66" i="28" s="1"/>
  <c r="R29" i="28"/>
  <c r="R71" i="28" s="1"/>
  <c r="T9" i="28"/>
  <c r="T51" i="28" s="1"/>
  <c r="T35" i="28"/>
  <c r="T77" i="28" s="1"/>
  <c r="N34" i="28"/>
  <c r="N76" i="28" s="1"/>
  <c r="T16" i="28"/>
  <c r="T58" i="28" s="1"/>
  <c r="O35" i="28"/>
  <c r="O77" i="28" s="1"/>
  <c r="AA11" i="27"/>
  <c r="AA63" i="27" s="1"/>
  <c r="V34" i="28"/>
  <c r="V76" i="28" s="1"/>
  <c r="F9" i="30"/>
  <c r="F11" i="30"/>
  <c r="E9" i="30"/>
  <c r="E11" i="30"/>
  <c r="H9" i="30"/>
  <c r="J9" i="30"/>
  <c r="J11" i="30"/>
  <c r="D9" i="30"/>
  <c r="D11" i="30"/>
  <c r="V8" i="28"/>
  <c r="V50" i="28" s="1"/>
  <c r="Y46" i="12"/>
  <c r="X46" i="27" s="1"/>
  <c r="X98" i="27" s="1"/>
  <c r="W40" i="16"/>
  <c r="AD20" i="12"/>
  <c r="AA20" i="27"/>
  <c r="AA72" i="27" s="1"/>
  <c r="Y24" i="12"/>
  <c r="X24" i="27" s="1"/>
  <c r="X76" i="27" s="1"/>
  <c r="Y7" i="12"/>
  <c r="X7" i="27" s="1"/>
  <c r="X59" i="27" s="1"/>
  <c r="Y31" i="12"/>
  <c r="X31" i="27" s="1"/>
  <c r="X83" i="27" s="1"/>
  <c r="W36" i="17"/>
  <c r="AD44" i="12"/>
  <c r="AA44" i="27"/>
  <c r="AA96" i="27" s="1"/>
  <c r="AD9" i="12"/>
  <c r="AA9" i="27"/>
  <c r="AA61" i="27" s="1"/>
  <c r="AD32" i="12"/>
  <c r="AA32" i="27"/>
  <c r="AA84" i="27" s="1"/>
  <c r="V32" i="28"/>
  <c r="V74" i="28" s="1"/>
  <c r="V25" i="28"/>
  <c r="V67" i="28" s="1"/>
  <c r="V14" i="28"/>
  <c r="V56" i="28" s="1"/>
  <c r="V35" i="28"/>
  <c r="V77" i="28" s="1"/>
  <c r="V13" i="28"/>
  <c r="V55" i="28" s="1"/>
  <c r="AH53" i="12"/>
  <c r="AD7" i="27"/>
  <c r="AD59" i="27" s="1"/>
  <c r="I9" i="30"/>
  <c r="I11" i="30"/>
  <c r="AD33" i="12"/>
  <c r="AA33" i="27"/>
  <c r="AA85" i="27" s="1"/>
  <c r="Y18" i="12"/>
  <c r="X18" i="27" s="1"/>
  <c r="X70" i="27" s="1"/>
  <c r="Y12" i="12"/>
  <c r="X12" i="27" s="1"/>
  <c r="X64" i="27" s="1"/>
  <c r="Y8" i="12"/>
  <c r="X8" i="27" s="1"/>
  <c r="X60" i="27" s="1"/>
  <c r="Y50" i="12"/>
  <c r="X50" i="27" s="1"/>
  <c r="X102" i="27" s="1"/>
  <c r="F7" i="29"/>
  <c r="F13" i="29" s="1"/>
  <c r="F11" i="29"/>
  <c r="AD49" i="12"/>
  <c r="AA49" i="27"/>
  <c r="AA101" i="27" s="1"/>
  <c r="AD18" i="12"/>
  <c r="AA18" i="27"/>
  <c r="AA70" i="27" s="1"/>
  <c r="R40" i="28"/>
  <c r="R82" i="28" s="1"/>
  <c r="V6" i="28"/>
  <c r="V48" i="28" s="1"/>
  <c r="L9" i="30" s="1"/>
  <c r="V26" i="28"/>
  <c r="V68" i="28" s="1"/>
  <c r="T19" i="28"/>
  <c r="T61" i="28" s="1"/>
  <c r="J7" i="30" s="1"/>
  <c r="J13" i="30" s="1"/>
  <c r="S39" i="28"/>
  <c r="S81" i="28" s="1"/>
  <c r="I7" i="30" s="1"/>
  <c r="I13" i="30" s="1"/>
  <c r="V21" i="28"/>
  <c r="V63" i="28" s="1"/>
  <c r="V39" i="28"/>
  <c r="V81" i="28" s="1"/>
  <c r="V23" i="28"/>
  <c r="V65" i="28" s="1"/>
  <c r="V9" i="28"/>
  <c r="V51" i="28" s="1"/>
  <c r="AD21" i="12"/>
  <c r="AA21" i="27"/>
  <c r="AA73" i="27" s="1"/>
  <c r="W11" i="17"/>
  <c r="Y10" i="12"/>
  <c r="X10" i="27" s="1"/>
  <c r="X62" i="27" s="1"/>
  <c r="Y38" i="12"/>
  <c r="X38" i="27" s="1"/>
  <c r="X90" i="27" s="1"/>
  <c r="W15" i="17"/>
  <c r="G9" i="29"/>
  <c r="AB33" i="13"/>
  <c r="W23" i="16"/>
  <c r="Y27" i="12"/>
  <c r="X27" i="27" s="1"/>
  <c r="X79" i="27" s="1"/>
  <c r="Y9" i="12"/>
  <c r="X9" i="27" s="1"/>
  <c r="X61" i="27" s="1"/>
  <c r="Y40" i="12"/>
  <c r="X40" i="27" s="1"/>
  <c r="X92" i="27" s="1"/>
  <c r="Y14" i="12"/>
  <c r="X14" i="27" s="1"/>
  <c r="X66" i="27" s="1"/>
  <c r="AD7" i="12"/>
  <c r="AA7" i="27"/>
  <c r="AA59" i="27" s="1"/>
  <c r="AD29" i="12"/>
  <c r="AA29" i="27"/>
  <c r="AA81" i="27" s="1"/>
  <c r="V40" i="28"/>
  <c r="V82" i="28" s="1"/>
  <c r="R25" i="28"/>
  <c r="R67" i="28" s="1"/>
  <c r="V29" i="28"/>
  <c r="V71" i="28" s="1"/>
  <c r="V37" i="28"/>
  <c r="V79" i="28" s="1"/>
  <c r="AB24" i="12"/>
  <c r="AD34" i="12"/>
  <c r="AA34" i="27"/>
  <c r="AA86" i="27" s="1"/>
  <c r="M9" i="29"/>
  <c r="M11" i="29"/>
  <c r="M7" i="29"/>
  <c r="M13" i="29" s="1"/>
  <c r="Y36" i="12"/>
  <c r="X36" i="27" s="1"/>
  <c r="X88" i="27" s="1"/>
  <c r="F9" i="29"/>
  <c r="AD28" i="12"/>
  <c r="AA28" i="27"/>
  <c r="AA80" i="27" s="1"/>
  <c r="AD40" i="12"/>
  <c r="AA40" i="27"/>
  <c r="AA92" i="27" s="1"/>
  <c r="L11" i="29"/>
  <c r="L7" i="29"/>
  <c r="L13" i="29" s="1"/>
  <c r="V22" i="28"/>
  <c r="V64" i="28" s="1"/>
  <c r="V16" i="28"/>
  <c r="V58" i="28" s="1"/>
  <c r="V30" i="28"/>
  <c r="V72" i="28" s="1"/>
  <c r="W16" i="17"/>
  <c r="Y37" i="12"/>
  <c r="X37" i="27" s="1"/>
  <c r="X89" i="27" s="1"/>
  <c r="Y39" i="12"/>
  <c r="X39" i="27" s="1"/>
  <c r="X91" i="27" s="1"/>
  <c r="S43" i="16"/>
  <c r="Y42" i="12"/>
  <c r="X42" i="27" s="1"/>
  <c r="X94" i="27" s="1"/>
  <c r="B9" i="29"/>
  <c r="B7" i="29"/>
  <c r="B13" i="29" s="1"/>
  <c r="B11" i="29"/>
  <c r="Y11" i="12"/>
  <c r="X11" i="27" s="1"/>
  <c r="X63" i="27" s="1"/>
  <c r="Y30" i="12"/>
  <c r="X30" i="27" s="1"/>
  <c r="X82" i="27" s="1"/>
  <c r="Y35" i="12"/>
  <c r="X35" i="27" s="1"/>
  <c r="X87" i="27" s="1"/>
  <c r="AD39" i="12"/>
  <c r="AA39" i="27"/>
  <c r="AA91" i="27" s="1"/>
  <c r="T9" i="29"/>
  <c r="T11" i="29"/>
  <c r="T7" i="29"/>
  <c r="T13" i="29" s="1"/>
  <c r="V31" i="28"/>
  <c r="V73" i="28" s="1"/>
  <c r="V28" i="28"/>
  <c r="V70" i="28" s="1"/>
  <c r="R21" i="28"/>
  <c r="R63" i="28" s="1"/>
  <c r="L9" i="29"/>
  <c r="V27" i="28"/>
  <c r="V69" i="28" s="1"/>
  <c r="AD48" i="12"/>
  <c r="AA48" i="27"/>
  <c r="AA100" i="27" s="1"/>
  <c r="J7" i="29"/>
  <c r="J13" i="29" s="1"/>
  <c r="J11" i="29"/>
  <c r="J9" i="29"/>
  <c r="AD45" i="12"/>
  <c r="AA45" i="27"/>
  <c r="AA97" i="27" s="1"/>
  <c r="Y16" i="12"/>
  <c r="X16" i="27" s="1"/>
  <c r="X68" i="27" s="1"/>
  <c r="AB43" i="13"/>
  <c r="W27" i="17"/>
  <c r="Y48" i="12"/>
  <c r="X48" i="27" s="1"/>
  <c r="X100" i="27" s="1"/>
  <c r="W28" i="16"/>
  <c r="V20" i="12"/>
  <c r="U20" i="27" s="1"/>
  <c r="U72" i="27" s="1"/>
  <c r="V39" i="12"/>
  <c r="U39" i="27" s="1"/>
  <c r="U91" i="27" s="1"/>
  <c r="Y19" i="12"/>
  <c r="X19" i="27" s="1"/>
  <c r="X71" i="27" s="1"/>
  <c r="Y22" i="12"/>
  <c r="X22" i="27" s="1"/>
  <c r="X74" i="27" s="1"/>
  <c r="M49" i="12"/>
  <c r="M49" i="27" s="1"/>
  <c r="M101" i="27" s="1"/>
  <c r="Y15" i="12"/>
  <c r="X15" i="27" s="1"/>
  <c r="X67" i="27" s="1"/>
  <c r="Y34" i="12"/>
  <c r="X34" i="27" s="1"/>
  <c r="X86" i="27" s="1"/>
  <c r="AD16" i="12"/>
  <c r="AA16" i="27"/>
  <c r="AA68" i="27" s="1"/>
  <c r="W25" i="17"/>
  <c r="AB13" i="13"/>
  <c r="E9" i="29"/>
  <c r="E11" i="29"/>
  <c r="E7" i="29"/>
  <c r="E13" i="29" s="1"/>
  <c r="AD51" i="12"/>
  <c r="AA51" i="27"/>
  <c r="AA103" i="27" s="1"/>
  <c r="R12" i="28"/>
  <c r="R54" i="28" s="1"/>
  <c r="V33" i="28"/>
  <c r="V75" i="28" s="1"/>
  <c r="R36" i="28"/>
  <c r="R78" i="28" s="1"/>
  <c r="V7" i="28"/>
  <c r="V49" i="28" s="1"/>
  <c r="V20" i="28"/>
  <c r="V62" i="28" s="1"/>
  <c r="R16" i="28"/>
  <c r="R58" i="28" s="1"/>
  <c r="G7" i="30"/>
  <c r="G13" i="30" s="1"/>
  <c r="V17" i="28"/>
  <c r="V59" i="28" s="1"/>
  <c r="G9" i="30"/>
  <c r="V41" i="28"/>
  <c r="V83" i="28" s="1"/>
  <c r="Y45" i="12"/>
  <c r="X45" i="27" s="1"/>
  <c r="X97" i="27" s="1"/>
  <c r="Y51" i="12"/>
  <c r="X51" i="27" s="1"/>
  <c r="X103" i="27" s="1"/>
  <c r="Y43" i="12"/>
  <c r="X43" i="27" s="1"/>
  <c r="X95" i="27" s="1"/>
  <c r="AB24" i="13"/>
  <c r="W26" i="16"/>
  <c r="W12" i="17"/>
  <c r="AD42" i="12"/>
  <c r="AA42" i="27"/>
  <c r="AA94" i="27" s="1"/>
  <c r="AD50" i="12"/>
  <c r="AA50" i="27"/>
  <c r="AA102" i="27" s="1"/>
  <c r="Y29" i="12"/>
  <c r="X29" i="27" s="1"/>
  <c r="X81" i="27" s="1"/>
  <c r="Y13" i="12"/>
  <c r="X13" i="27" s="1"/>
  <c r="X65" i="27" s="1"/>
  <c r="Y44" i="12"/>
  <c r="X44" i="27" s="1"/>
  <c r="X96" i="27" s="1"/>
  <c r="Y26" i="12"/>
  <c r="X26" i="27" s="1"/>
  <c r="X78" i="27" s="1"/>
  <c r="G11" i="29"/>
  <c r="G7" i="29"/>
  <c r="G13" i="29" s="1"/>
  <c r="V15" i="28"/>
  <c r="V57" i="28" s="1"/>
  <c r="V11" i="28"/>
  <c r="V53" i="28" s="1"/>
  <c r="V18" i="28"/>
  <c r="V60" i="28" s="1"/>
  <c r="V24" i="28"/>
  <c r="V66" i="28" s="1"/>
  <c r="V19" i="28"/>
  <c r="V61" i="28" s="1"/>
  <c r="V10" i="28"/>
  <c r="V52" i="28" s="1"/>
  <c r="AB32" i="13"/>
  <c r="Y23" i="12"/>
  <c r="X23" i="27" s="1"/>
  <c r="X75" i="27" s="1"/>
  <c r="AB6" i="13"/>
  <c r="AB31" i="12"/>
  <c r="AB25" i="13"/>
  <c r="W53" i="12"/>
  <c r="AB26" i="13"/>
  <c r="AB10" i="13"/>
  <c r="W35" i="17"/>
  <c r="AB45" i="13"/>
  <c r="AB12" i="13"/>
  <c r="AB30" i="13"/>
  <c r="W17" i="17"/>
  <c r="AB38" i="13"/>
  <c r="L47" i="15"/>
  <c r="M12" i="12"/>
  <c r="M12" i="27" s="1"/>
  <c r="M64" i="27" s="1"/>
  <c r="AB48" i="13"/>
  <c r="M9" i="12"/>
  <c r="M9" i="27" s="1"/>
  <c r="M61" i="27" s="1"/>
  <c r="V11" i="12"/>
  <c r="AB28" i="13"/>
  <c r="AB39" i="13"/>
  <c r="AB53" i="11"/>
  <c r="AB50" i="13"/>
  <c r="N55" i="13"/>
  <c r="N55" i="12"/>
  <c r="N55" i="11"/>
  <c r="AB10" i="12"/>
  <c r="T43" i="17"/>
  <c r="W5" i="17"/>
  <c r="W15" i="16"/>
  <c r="W24" i="16"/>
  <c r="V12" i="12"/>
  <c r="V32" i="12"/>
  <c r="W8" i="17"/>
  <c r="U43" i="17"/>
  <c r="V51" i="12"/>
  <c r="V35" i="12"/>
  <c r="W11" i="16"/>
  <c r="M37" i="12"/>
  <c r="M37" i="27" s="1"/>
  <c r="M89" i="27" s="1"/>
  <c r="W41" i="17"/>
  <c r="V43" i="12"/>
  <c r="V40" i="12"/>
  <c r="U40" i="27" s="1"/>
  <c r="U92" i="27" s="1"/>
  <c r="V8" i="12"/>
  <c r="W39" i="17"/>
  <c r="W32" i="17"/>
  <c r="W29" i="17"/>
  <c r="V43" i="17"/>
  <c r="O43" i="17"/>
  <c r="W8" i="16"/>
  <c r="W13" i="17"/>
  <c r="U43" i="16"/>
  <c r="M13" i="12"/>
  <c r="M13" i="27" s="1"/>
  <c r="M65" i="27" s="1"/>
  <c r="V49" i="12"/>
  <c r="U49" i="27" s="1"/>
  <c r="U101" i="27" s="1"/>
  <c r="W41" i="16"/>
  <c r="N43" i="17"/>
  <c r="M35" i="12"/>
  <c r="M35" i="27" s="1"/>
  <c r="M87" i="27" s="1"/>
  <c r="W14" i="17"/>
  <c r="V27" i="12"/>
  <c r="U27" i="27" s="1"/>
  <c r="U79" i="27" s="1"/>
  <c r="M47" i="12"/>
  <c r="M47" i="27" s="1"/>
  <c r="M99" i="27" s="1"/>
  <c r="Y53" i="13"/>
  <c r="W5" i="16"/>
  <c r="T43" i="16"/>
  <c r="W43" i="15"/>
  <c r="W32" i="16"/>
  <c r="W29" i="16"/>
  <c r="W35" i="16"/>
  <c r="O43" i="16"/>
  <c r="V53" i="13"/>
  <c r="W13" i="16"/>
  <c r="S36" i="12"/>
  <c r="S5" i="12"/>
  <c r="S51" i="12"/>
  <c r="S31" i="12"/>
  <c r="S16" i="12"/>
  <c r="S26" i="12"/>
  <c r="S43" i="12"/>
  <c r="S11" i="12"/>
  <c r="S25" i="12"/>
  <c r="S33" i="12"/>
  <c r="S24" i="12"/>
  <c r="S35" i="12"/>
  <c r="S19" i="12"/>
  <c r="S6" i="12"/>
  <c r="S39" i="12"/>
  <c r="S47" i="12"/>
  <c r="S46" i="12"/>
  <c r="S41" i="12"/>
  <c r="S22" i="12"/>
  <c r="S40" i="12"/>
  <c r="S27" i="12"/>
  <c r="S14" i="12"/>
  <c r="S42" i="12"/>
  <c r="S8" i="12"/>
  <c r="S18" i="12"/>
  <c r="S12" i="12"/>
  <c r="S23" i="12"/>
  <c r="S32" i="12"/>
  <c r="S7" i="12"/>
  <c r="S21" i="12"/>
  <c r="S34" i="12"/>
  <c r="S30" i="12"/>
  <c r="S15" i="12"/>
  <c r="S29" i="12"/>
  <c r="S20" i="12"/>
  <c r="S44" i="12"/>
  <c r="S37" i="12"/>
  <c r="S48" i="12"/>
  <c r="S28" i="12"/>
  <c r="S50" i="12"/>
  <c r="S10" i="12"/>
  <c r="S38" i="12"/>
  <c r="S17" i="12"/>
  <c r="S9" i="12"/>
  <c r="S49" i="12"/>
  <c r="S45" i="12"/>
  <c r="S13" i="12"/>
  <c r="AB33" i="12"/>
  <c r="V50" i="12"/>
  <c r="V30" i="12"/>
  <c r="U30" i="27" s="1"/>
  <c r="U82" i="27" s="1"/>
  <c r="M38" i="12"/>
  <c r="M38" i="27" s="1"/>
  <c r="M90" i="27" s="1"/>
  <c r="M11" i="12"/>
  <c r="M11" i="27" s="1"/>
  <c r="M63" i="27" s="1"/>
  <c r="M27" i="12"/>
  <c r="M27" i="27" s="1"/>
  <c r="M79" i="27" s="1"/>
  <c r="V42" i="12"/>
  <c r="N43" i="16"/>
  <c r="Y20" i="12"/>
  <c r="Y49" i="12"/>
  <c r="X49" i="27" s="1"/>
  <c r="X101" i="27" s="1"/>
  <c r="W14" i="16"/>
  <c r="M23" i="12"/>
  <c r="M23" i="27" s="1"/>
  <c r="M75" i="27" s="1"/>
  <c r="Y5" i="12"/>
  <c r="X5" i="27" s="1"/>
  <c r="X57" i="27" s="1"/>
  <c r="M36" i="12"/>
  <c r="M36" i="27" s="1"/>
  <c r="M88" i="27" s="1"/>
  <c r="N56" i="13"/>
  <c r="N56" i="12"/>
  <c r="N56" i="11"/>
  <c r="X53" i="12"/>
  <c r="W10" i="17"/>
  <c r="M51" i="12"/>
  <c r="M51" i="27" s="1"/>
  <c r="M103" i="27" s="1"/>
  <c r="AB19" i="12"/>
  <c r="M31" i="12"/>
  <c r="M31" i="27" s="1"/>
  <c r="M83" i="27" s="1"/>
  <c r="V5" i="12"/>
  <c r="U5" i="27" s="1"/>
  <c r="U57" i="27" s="1"/>
  <c r="W23" i="17"/>
  <c r="R39" i="12"/>
  <c r="R39" i="27" s="1"/>
  <c r="R91" i="27" s="1"/>
  <c r="R9" i="12"/>
  <c r="R9" i="27" s="1"/>
  <c r="R61" i="27" s="1"/>
  <c r="R49" i="12"/>
  <c r="R49" i="27" s="1"/>
  <c r="R101" i="27" s="1"/>
  <c r="R45" i="12"/>
  <c r="R45" i="27" s="1"/>
  <c r="R97" i="27" s="1"/>
  <c r="R13" i="12"/>
  <c r="R13" i="27" s="1"/>
  <c r="R65" i="27" s="1"/>
  <c r="R47" i="12"/>
  <c r="R47" i="27" s="1"/>
  <c r="R99" i="27" s="1"/>
  <c r="R46" i="12"/>
  <c r="R46" i="27" s="1"/>
  <c r="R98" i="27" s="1"/>
  <c r="R36" i="12"/>
  <c r="R36" i="27" s="1"/>
  <c r="R88" i="27" s="1"/>
  <c r="R5" i="12"/>
  <c r="R5" i="27" s="1"/>
  <c r="R57" i="27" s="1"/>
  <c r="R16" i="12"/>
  <c r="R16" i="27" s="1"/>
  <c r="R68" i="27" s="1"/>
  <c r="R26" i="12"/>
  <c r="R43" i="12"/>
  <c r="R43" i="27" s="1"/>
  <c r="R95" i="27" s="1"/>
  <c r="R11" i="12"/>
  <c r="R11" i="27" s="1"/>
  <c r="R63" i="27" s="1"/>
  <c r="R25" i="12"/>
  <c r="R25" i="27" s="1"/>
  <c r="R77" i="27" s="1"/>
  <c r="R33" i="12"/>
  <c r="R33" i="27" s="1"/>
  <c r="R85" i="27" s="1"/>
  <c r="R24" i="12"/>
  <c r="R29" i="12"/>
  <c r="R10" i="12"/>
  <c r="R10" i="27" s="1"/>
  <c r="R62" i="27" s="1"/>
  <c r="R35" i="12"/>
  <c r="R35" i="27" s="1"/>
  <c r="R87" i="27" s="1"/>
  <c r="R19" i="12"/>
  <c r="R19" i="27" s="1"/>
  <c r="R71" i="27" s="1"/>
  <c r="R6" i="12"/>
  <c r="R6" i="27" s="1"/>
  <c r="R58" i="27" s="1"/>
  <c r="R12" i="12"/>
  <c r="R12" i="27" s="1"/>
  <c r="R64" i="27" s="1"/>
  <c r="R41" i="12"/>
  <c r="R41" i="27" s="1"/>
  <c r="R93" i="27" s="1"/>
  <c r="R22" i="12"/>
  <c r="R30" i="12"/>
  <c r="R30" i="27" s="1"/>
  <c r="R82" i="27" s="1"/>
  <c r="R50" i="12"/>
  <c r="R50" i="27" s="1"/>
  <c r="R102" i="27" s="1"/>
  <c r="R40" i="12"/>
  <c r="R40" i="27" s="1"/>
  <c r="R92" i="27" s="1"/>
  <c r="R27" i="12"/>
  <c r="R14" i="12"/>
  <c r="R14" i="27" s="1"/>
  <c r="R66" i="27" s="1"/>
  <c r="R42" i="12"/>
  <c r="R42" i="27" s="1"/>
  <c r="R94" i="27" s="1"/>
  <c r="R8" i="12"/>
  <c r="R8" i="27" s="1"/>
  <c r="R60" i="27" s="1"/>
  <c r="R18" i="12"/>
  <c r="R18" i="27" s="1"/>
  <c r="R70" i="27" s="1"/>
  <c r="R20" i="12"/>
  <c r="R20" i="27" s="1"/>
  <c r="R72" i="27" s="1"/>
  <c r="R34" i="12"/>
  <c r="R34" i="27" s="1"/>
  <c r="R86" i="27" s="1"/>
  <c r="R15" i="12"/>
  <c r="R15" i="27" s="1"/>
  <c r="R67" i="27" s="1"/>
  <c r="R37" i="12"/>
  <c r="R37" i="27" s="1"/>
  <c r="R89" i="27" s="1"/>
  <c r="R23" i="12"/>
  <c r="R32" i="12"/>
  <c r="R32" i="27" s="1"/>
  <c r="R84" i="27" s="1"/>
  <c r="R7" i="12"/>
  <c r="R7" i="27" s="1"/>
  <c r="R59" i="27" s="1"/>
  <c r="R21" i="12"/>
  <c r="R48" i="12"/>
  <c r="R48" i="27" s="1"/>
  <c r="R100" i="27" s="1"/>
  <c r="R51" i="12"/>
  <c r="R51" i="27" s="1"/>
  <c r="R103" i="27" s="1"/>
  <c r="R31" i="12"/>
  <c r="R31" i="27" s="1"/>
  <c r="R83" i="27" s="1"/>
  <c r="R38" i="12"/>
  <c r="R38" i="27" s="1"/>
  <c r="R90" i="27" s="1"/>
  <c r="R44" i="12"/>
  <c r="R44" i="27" s="1"/>
  <c r="R96" i="27" s="1"/>
  <c r="R17" i="12"/>
  <c r="R17" i="27" s="1"/>
  <c r="R69" i="27" s="1"/>
  <c r="R28" i="12"/>
  <c r="M28" i="12"/>
  <c r="M28" i="27" s="1"/>
  <c r="M80" i="27" s="1"/>
  <c r="M41" i="12"/>
  <c r="M41" i="27" s="1"/>
  <c r="M93" i="27" s="1"/>
  <c r="V17" i="12"/>
  <c r="W30" i="17"/>
  <c r="V43" i="16"/>
  <c r="M19" i="12"/>
  <c r="M19" i="27" s="1"/>
  <c r="M71" i="27" s="1"/>
  <c r="M46" i="12"/>
  <c r="M46" i="27" s="1"/>
  <c r="M98" i="27" s="1"/>
  <c r="W37" i="17"/>
  <c r="W34" i="17"/>
  <c r="V18" i="12"/>
  <c r="U18" i="27" s="1"/>
  <c r="U70" i="27" s="1"/>
  <c r="F35" i="9"/>
  <c r="L46" i="16"/>
  <c r="L46" i="17"/>
  <c r="L46" i="14"/>
  <c r="L46" i="15"/>
  <c r="AB14" i="12"/>
  <c r="W38" i="17"/>
  <c r="V48" i="12"/>
  <c r="U48" i="27" s="1"/>
  <c r="U100" i="27" s="1"/>
  <c r="V45" i="12"/>
  <c r="W10" i="16"/>
  <c r="V29" i="12"/>
  <c r="M39" i="12"/>
  <c r="M39" i="27" s="1"/>
  <c r="M91" i="27" s="1"/>
  <c r="M20" i="12"/>
  <c r="M20" i="27" s="1"/>
  <c r="M72" i="27" s="1"/>
  <c r="L48" i="14"/>
  <c r="M53" i="13"/>
  <c r="V7" i="12"/>
  <c r="W7" i="16"/>
  <c r="W30" i="16"/>
  <c r="AB37" i="12"/>
  <c r="V26" i="12"/>
  <c r="W37" i="16"/>
  <c r="Y28" i="12"/>
  <c r="X28" i="27" s="1"/>
  <c r="X80" i="27" s="1"/>
  <c r="AB9" i="12"/>
  <c r="W34" i="16"/>
  <c r="M44" i="12"/>
  <c r="M44" i="27" s="1"/>
  <c r="M96" i="27" s="1"/>
  <c r="N54" i="12"/>
  <c r="N58" i="12" s="1"/>
  <c r="N54" i="13"/>
  <c r="N54" i="11"/>
  <c r="W38" i="16"/>
  <c r="AA5" i="17"/>
  <c r="AA43" i="17" s="1"/>
  <c r="Z43" i="17"/>
  <c r="AB16" i="13"/>
  <c r="V46" i="12"/>
  <c r="O53" i="12"/>
  <c r="M18" i="12"/>
  <c r="M18" i="27" s="1"/>
  <c r="M70" i="27" s="1"/>
  <c r="W6" i="17"/>
  <c r="P43" i="16"/>
  <c r="W9" i="17"/>
  <c r="V41" i="12"/>
  <c r="V13" i="12"/>
  <c r="M8" i="12"/>
  <c r="M8" i="27" s="1"/>
  <c r="M60" i="27" s="1"/>
  <c r="W20" i="17"/>
  <c r="E35" i="9"/>
  <c r="L45" i="16"/>
  <c r="L45" i="17"/>
  <c r="L45" i="15"/>
  <c r="L45" i="14"/>
  <c r="W17" i="16"/>
  <c r="AB15" i="12"/>
  <c r="U53" i="12"/>
  <c r="W28" i="17"/>
  <c r="AA43" i="15"/>
  <c r="V16" i="12"/>
  <c r="V38" i="12"/>
  <c r="W18" i="17"/>
  <c r="W19" i="17"/>
  <c r="V44" i="12"/>
  <c r="V47" i="12"/>
  <c r="W22" i="17"/>
  <c r="M5" i="12"/>
  <c r="V25" i="12"/>
  <c r="W6" i="16"/>
  <c r="W33" i="17"/>
  <c r="Q53" i="12"/>
  <c r="V21" i="12"/>
  <c r="P43" i="17"/>
  <c r="W9" i="16"/>
  <c r="W31" i="17"/>
  <c r="M14" i="12"/>
  <c r="M14" i="27" s="1"/>
  <c r="M66" i="27" s="1"/>
  <c r="M17" i="12"/>
  <c r="M17" i="27" s="1"/>
  <c r="M69" i="27" s="1"/>
  <c r="W20" i="16"/>
  <c r="M26" i="12"/>
  <c r="M26" i="27" s="1"/>
  <c r="M78" i="27" s="1"/>
  <c r="T54" i="12"/>
  <c r="T54" i="13"/>
  <c r="T54" i="11"/>
  <c r="AB49" i="12"/>
  <c r="W27" i="16"/>
  <c r="AA5" i="16"/>
  <c r="AA43" i="16" s="1"/>
  <c r="Z43" i="16"/>
  <c r="W18" i="16"/>
  <c r="W24" i="17"/>
  <c r="L53" i="12"/>
  <c r="P53" i="12"/>
  <c r="W22" i="16"/>
  <c r="M30" i="12"/>
  <c r="M30" i="27" s="1"/>
  <c r="M82" i="27" s="1"/>
  <c r="AB6" i="12"/>
  <c r="AB44" i="17"/>
  <c r="AB44" i="16"/>
  <c r="X48" i="16" s="1"/>
  <c r="AB44" i="15"/>
  <c r="AB44" i="14"/>
  <c r="M34" i="12"/>
  <c r="M34" i="27" s="1"/>
  <c r="M86" i="27" s="1"/>
  <c r="W33" i="16"/>
  <c r="M16" i="12"/>
  <c r="M16" i="27" s="1"/>
  <c r="M68" i="27" s="1"/>
  <c r="AD5" i="12"/>
  <c r="AC53" i="12"/>
  <c r="V28" i="12"/>
  <c r="U28" i="27" s="1"/>
  <c r="U80" i="27" s="1"/>
  <c r="E10" i="9"/>
  <c r="N57" i="10"/>
  <c r="F10" i="9"/>
  <c r="F29" i="9" s="1"/>
  <c r="N58" i="10"/>
  <c r="D47" i="9"/>
  <c r="D29" i="9"/>
  <c r="M17" i="28" l="1"/>
  <c r="M59" i="28" s="1"/>
  <c r="M36" i="28"/>
  <c r="M78" i="28" s="1"/>
  <c r="M18" i="28"/>
  <c r="M60" i="28" s="1"/>
  <c r="M10" i="28"/>
  <c r="M52" i="28" s="1"/>
  <c r="M21" i="28"/>
  <c r="M63" i="28" s="1"/>
  <c r="M26" i="28"/>
  <c r="M68" i="28" s="1"/>
  <c r="M23" i="28"/>
  <c r="M65" i="28" s="1"/>
  <c r="M8" i="28"/>
  <c r="M50" i="28" s="1"/>
  <c r="M6" i="28"/>
  <c r="M48" i="28" s="1"/>
  <c r="C9" i="30" s="1"/>
  <c r="M27" i="28"/>
  <c r="M69" i="28" s="1"/>
  <c r="AE5" i="27"/>
  <c r="AE57" i="27" s="1"/>
  <c r="AI53" i="12"/>
  <c r="M34" i="28"/>
  <c r="M76" i="28" s="1"/>
  <c r="M28" i="28"/>
  <c r="M70" i="28" s="1"/>
  <c r="M32" i="28"/>
  <c r="M74" i="28" s="1"/>
  <c r="M14" i="28"/>
  <c r="M56" i="28" s="1"/>
  <c r="M43" i="17"/>
  <c r="M9" i="28"/>
  <c r="M51" i="28" s="1"/>
  <c r="M29" i="28"/>
  <c r="M71" i="28" s="1"/>
  <c r="M22" i="28"/>
  <c r="M64" i="28" s="1"/>
  <c r="M43" i="16"/>
  <c r="M5" i="28"/>
  <c r="M47" i="28" s="1"/>
  <c r="E21" i="9"/>
  <c r="E42" i="9"/>
  <c r="E7" i="30"/>
  <c r="E13" i="30" s="1"/>
  <c r="F7" i="30"/>
  <c r="F13" i="30" s="1"/>
  <c r="AB27" i="12"/>
  <c r="AB22" i="12"/>
  <c r="AB48" i="12"/>
  <c r="AB40" i="12"/>
  <c r="Q9" i="29"/>
  <c r="Q14" i="29" s="1"/>
  <c r="AB36" i="12"/>
  <c r="AB34" i="12"/>
  <c r="H7" i="30"/>
  <c r="H13" i="30" s="1"/>
  <c r="L15" i="30"/>
  <c r="L14" i="30"/>
  <c r="AB44" i="12"/>
  <c r="U44" i="27"/>
  <c r="U96" i="27" s="1"/>
  <c r="AB18" i="12"/>
  <c r="AB13" i="12"/>
  <c r="U13" i="27"/>
  <c r="U65" i="27" s="1"/>
  <c r="AB46" i="12"/>
  <c r="U46" i="27"/>
  <c r="U98" i="27" s="1"/>
  <c r="AB45" i="12"/>
  <c r="U45" i="27"/>
  <c r="U97" i="27" s="1"/>
  <c r="AB17" i="12"/>
  <c r="U17" i="27"/>
  <c r="U69" i="27" s="1"/>
  <c r="AB50" i="12"/>
  <c r="U50" i="27"/>
  <c r="U102" i="27" s="1"/>
  <c r="AB39" i="12"/>
  <c r="Q7" i="29"/>
  <c r="Q13" i="29" s="1"/>
  <c r="F15" i="29"/>
  <c r="F14" i="29"/>
  <c r="AB30" i="12"/>
  <c r="AB41" i="12"/>
  <c r="U41" i="27"/>
  <c r="U93" i="27" s="1"/>
  <c r="AB53" i="13"/>
  <c r="AB7" i="12"/>
  <c r="U7" i="27"/>
  <c r="U59" i="27" s="1"/>
  <c r="H9" i="29"/>
  <c r="H11" i="29"/>
  <c r="H7" i="29"/>
  <c r="H13" i="29" s="1"/>
  <c r="AB20" i="12"/>
  <c r="X20" i="27"/>
  <c r="X72" i="27" s="1"/>
  <c r="N7" i="29" s="1"/>
  <c r="N13" i="29" s="1"/>
  <c r="Q11" i="29"/>
  <c r="E15" i="29"/>
  <c r="E14" i="29"/>
  <c r="T15" i="29"/>
  <c r="T14" i="29"/>
  <c r="B15" i="29"/>
  <c r="B14" i="29"/>
  <c r="J15" i="30"/>
  <c r="J14" i="30"/>
  <c r="AB25" i="12"/>
  <c r="U25" i="27"/>
  <c r="U77" i="27" s="1"/>
  <c r="AB35" i="12"/>
  <c r="U35" i="27"/>
  <c r="U87" i="27" s="1"/>
  <c r="AB23" i="12"/>
  <c r="H15" i="30"/>
  <c r="H14" i="30"/>
  <c r="F15" i="30"/>
  <c r="F14" i="30"/>
  <c r="AB12" i="12"/>
  <c r="U12" i="27"/>
  <c r="U64" i="27" s="1"/>
  <c r="AB42" i="12"/>
  <c r="U42" i="27"/>
  <c r="U94" i="27" s="1"/>
  <c r="AB51" i="12"/>
  <c r="U51" i="27"/>
  <c r="U103" i="27" s="1"/>
  <c r="L14" i="29"/>
  <c r="L15" i="29"/>
  <c r="AB38" i="12"/>
  <c r="U38" i="27"/>
  <c r="U90" i="27" s="1"/>
  <c r="M53" i="12"/>
  <c r="M5" i="27"/>
  <c r="M57" i="27" s="1"/>
  <c r="AB16" i="12"/>
  <c r="U16" i="27"/>
  <c r="U68" i="27" s="1"/>
  <c r="AD53" i="12"/>
  <c r="AB8" i="12"/>
  <c r="U8" i="27"/>
  <c r="U60" i="27" s="1"/>
  <c r="AB11" i="12"/>
  <c r="U11" i="27"/>
  <c r="U63" i="27" s="1"/>
  <c r="G15" i="30"/>
  <c r="G14" i="30"/>
  <c r="M14" i="29"/>
  <c r="M15" i="29"/>
  <c r="L11" i="30"/>
  <c r="F47" i="9"/>
  <c r="AB21" i="12"/>
  <c r="U21" i="27"/>
  <c r="U73" i="27" s="1"/>
  <c r="AB26" i="12"/>
  <c r="U26" i="27"/>
  <c r="U78" i="27" s="1"/>
  <c r="N9" i="29"/>
  <c r="N11" i="29"/>
  <c r="J15" i="29"/>
  <c r="J14" i="29"/>
  <c r="I15" i="30"/>
  <c r="I14" i="30"/>
  <c r="E15" i="30"/>
  <c r="E14" i="30"/>
  <c r="L7" i="30"/>
  <c r="L13" i="30" s="1"/>
  <c r="AB47" i="12"/>
  <c r="U47" i="27"/>
  <c r="U99" i="27" s="1"/>
  <c r="AB29" i="12"/>
  <c r="U29" i="27"/>
  <c r="U81" i="27" s="1"/>
  <c r="AB43" i="12"/>
  <c r="U43" i="27"/>
  <c r="U95" i="27" s="1"/>
  <c r="AB32" i="12"/>
  <c r="U32" i="27"/>
  <c r="U84" i="27" s="1"/>
  <c r="G15" i="29"/>
  <c r="G14" i="29"/>
  <c r="D15" i="30"/>
  <c r="D14" i="30"/>
  <c r="AB28" i="12"/>
  <c r="W43" i="16"/>
  <c r="W43" i="17"/>
  <c r="AM58" i="10"/>
  <c r="AM56" i="13"/>
  <c r="AM56" i="12"/>
  <c r="AM56" i="11"/>
  <c r="Q45" i="17"/>
  <c r="Q45" i="16"/>
  <c r="Q45" i="15"/>
  <c r="Q45" i="14"/>
  <c r="F46" i="9"/>
  <c r="Q46" i="17"/>
  <c r="Q46" i="16"/>
  <c r="Q46" i="15"/>
  <c r="Q46" i="14"/>
  <c r="Y53" i="12"/>
  <c r="T58" i="10"/>
  <c r="T56" i="13"/>
  <c r="T56" i="12"/>
  <c r="T56" i="11"/>
  <c r="L10" i="15"/>
  <c r="L8" i="15"/>
  <c r="L6" i="15"/>
  <c r="L15" i="15"/>
  <c r="L9" i="15"/>
  <c r="L7" i="15"/>
  <c r="L5" i="15"/>
  <c r="L27" i="15"/>
  <c r="L11" i="15"/>
  <c r="L37" i="15"/>
  <c r="L39" i="15"/>
  <c r="L41" i="15"/>
  <c r="L16" i="15"/>
  <c r="L20" i="15"/>
  <c r="L35" i="15"/>
  <c r="L29" i="15"/>
  <c r="L22" i="15"/>
  <c r="L17" i="15"/>
  <c r="L26" i="15"/>
  <c r="L34" i="15"/>
  <c r="L30" i="15"/>
  <c r="L25" i="15"/>
  <c r="L38" i="15"/>
  <c r="L32" i="15"/>
  <c r="L24" i="15"/>
  <c r="L12" i="15"/>
  <c r="L21" i="15"/>
  <c r="L18" i="15"/>
  <c r="L36" i="15"/>
  <c r="L31" i="15"/>
  <c r="L40" i="15"/>
  <c r="L14" i="15"/>
  <c r="L28" i="15"/>
  <c r="L23" i="15"/>
  <c r="L13" i="15"/>
  <c r="L19" i="15"/>
  <c r="L33" i="15"/>
  <c r="R53" i="12"/>
  <c r="S58" i="12" s="1"/>
  <c r="T57" i="10"/>
  <c r="T55" i="13"/>
  <c r="T55" i="12"/>
  <c r="T55" i="11"/>
  <c r="S53" i="12"/>
  <c r="AM56" i="10"/>
  <c r="AM54" i="13"/>
  <c r="AM54" i="11"/>
  <c r="AM54" i="12" s="1"/>
  <c r="V53" i="12"/>
  <c r="AB5" i="12"/>
  <c r="C11" i="30" l="1"/>
  <c r="C7" i="30"/>
  <c r="C13" i="30" s="1"/>
  <c r="K9" i="29"/>
  <c r="K15" i="29" s="1"/>
  <c r="U9" i="29"/>
  <c r="U11" i="29"/>
  <c r="U7" i="29"/>
  <c r="U13" i="29" s="1"/>
  <c r="C15" i="30"/>
  <c r="C14" i="30"/>
  <c r="K7" i="29"/>
  <c r="K13" i="29" s="1"/>
  <c r="Q15" i="29"/>
  <c r="AB53" i="12"/>
  <c r="N14" i="29"/>
  <c r="N15" i="29"/>
  <c r="C11" i="29"/>
  <c r="C9" i="29"/>
  <c r="C7" i="29"/>
  <c r="C13" i="29" s="1"/>
  <c r="H14" i="29"/>
  <c r="H15" i="29"/>
  <c r="K11" i="29"/>
  <c r="L13" i="16"/>
  <c r="Q13" i="16" s="1"/>
  <c r="Q13" i="15"/>
  <c r="AB13" i="15" s="1"/>
  <c r="L13" i="17"/>
  <c r="Q13" i="17" s="1"/>
  <c r="L21" i="16"/>
  <c r="Q21" i="16" s="1"/>
  <c r="Q21" i="15"/>
  <c r="AB21" i="15" s="1"/>
  <c r="L21" i="17"/>
  <c r="Q21" i="17" s="1"/>
  <c r="L26" i="16"/>
  <c r="Q26" i="16" s="1"/>
  <c r="Q26" i="15"/>
  <c r="AB26" i="15" s="1"/>
  <c r="L26" i="17"/>
  <c r="Q26" i="17" s="1"/>
  <c r="L39" i="16"/>
  <c r="Q39" i="16" s="1"/>
  <c r="Q39" i="15"/>
  <c r="AB39" i="15" s="1"/>
  <c r="L39" i="17"/>
  <c r="Q39" i="17" s="1"/>
  <c r="L6" i="16"/>
  <c r="Q6" i="16" s="1"/>
  <c r="Q6" i="15"/>
  <c r="AB6" i="15" s="1"/>
  <c r="L6" i="17"/>
  <c r="Q6" i="17" s="1"/>
  <c r="L18" i="16"/>
  <c r="Q18" i="16" s="1"/>
  <c r="Q18" i="15"/>
  <c r="AB18" i="15" s="1"/>
  <c r="L18" i="17"/>
  <c r="Q18" i="17" s="1"/>
  <c r="AE55" i="13"/>
  <c r="AE55" i="12"/>
  <c r="AO54" i="12" s="1"/>
  <c r="AE55" i="11"/>
  <c r="L23" i="16"/>
  <c r="Q23" i="16" s="1"/>
  <c r="Q23" i="15"/>
  <c r="AB23" i="15" s="1"/>
  <c r="L23" i="17"/>
  <c r="Q23" i="17" s="1"/>
  <c r="L12" i="16"/>
  <c r="Q12" i="16" s="1"/>
  <c r="Q12" i="15"/>
  <c r="AB12" i="15" s="1"/>
  <c r="L12" i="17"/>
  <c r="Q12" i="17" s="1"/>
  <c r="L17" i="16"/>
  <c r="Q17" i="16" s="1"/>
  <c r="Q17" i="15"/>
  <c r="AB17" i="15" s="1"/>
  <c r="L17" i="17"/>
  <c r="Q17" i="17" s="1"/>
  <c r="L37" i="16"/>
  <c r="Q37" i="16" s="1"/>
  <c r="Q37" i="15"/>
  <c r="AB37" i="15" s="1"/>
  <c r="L37" i="17"/>
  <c r="Q37" i="17" s="1"/>
  <c r="L8" i="16"/>
  <c r="Q8" i="16" s="1"/>
  <c r="Q8" i="15"/>
  <c r="AB8" i="15" s="1"/>
  <c r="L8" i="17"/>
  <c r="Q8" i="17" s="1"/>
  <c r="L28" i="16"/>
  <c r="Q28" i="16" s="1"/>
  <c r="Q28" i="15"/>
  <c r="AB28" i="15" s="1"/>
  <c r="L28" i="17"/>
  <c r="Q28" i="17" s="1"/>
  <c r="L24" i="16"/>
  <c r="Q24" i="16" s="1"/>
  <c r="Q24" i="15"/>
  <c r="AB24" i="15" s="1"/>
  <c r="L24" i="17"/>
  <c r="Q24" i="17" s="1"/>
  <c r="L22" i="16"/>
  <c r="Q22" i="16" s="1"/>
  <c r="Q22" i="15"/>
  <c r="AB22" i="15" s="1"/>
  <c r="L22" i="17"/>
  <c r="Q22" i="17" s="1"/>
  <c r="L11" i="16"/>
  <c r="Q11" i="16" s="1"/>
  <c r="Q11" i="15"/>
  <c r="AB11" i="15" s="1"/>
  <c r="L11" i="17"/>
  <c r="Q11" i="17" s="1"/>
  <c r="L10" i="16"/>
  <c r="Q10" i="16" s="1"/>
  <c r="Q10" i="15"/>
  <c r="AB10" i="15" s="1"/>
  <c r="L10" i="17"/>
  <c r="Q10" i="17" s="1"/>
  <c r="L14" i="16"/>
  <c r="Q14" i="16" s="1"/>
  <c r="Q14" i="15"/>
  <c r="AB14" i="15" s="1"/>
  <c r="L14" i="17"/>
  <c r="Q14" i="17" s="1"/>
  <c r="L32" i="16"/>
  <c r="Q32" i="16" s="1"/>
  <c r="Q32" i="15"/>
  <c r="AB32" i="15" s="1"/>
  <c r="L32" i="17"/>
  <c r="Q32" i="17" s="1"/>
  <c r="L29" i="16"/>
  <c r="Q29" i="16" s="1"/>
  <c r="Q29" i="15"/>
  <c r="AB29" i="15" s="1"/>
  <c r="L29" i="17"/>
  <c r="Q29" i="17" s="1"/>
  <c r="L27" i="16"/>
  <c r="Q27" i="16" s="1"/>
  <c r="Q27" i="15"/>
  <c r="AB27" i="15" s="1"/>
  <c r="L27" i="17"/>
  <c r="Q27" i="17" s="1"/>
  <c r="L34" i="16"/>
  <c r="Q34" i="16" s="1"/>
  <c r="Q34" i="15"/>
  <c r="AB34" i="15" s="1"/>
  <c r="L34" i="17"/>
  <c r="Q34" i="17" s="1"/>
  <c r="L15" i="16"/>
  <c r="Q15" i="16" s="1"/>
  <c r="Q15" i="15"/>
  <c r="AB15" i="15" s="1"/>
  <c r="L15" i="17"/>
  <c r="Q15" i="17" s="1"/>
  <c r="Q40" i="15"/>
  <c r="AB40" i="15" s="1"/>
  <c r="L40" i="16"/>
  <c r="Q40" i="16" s="1"/>
  <c r="L40" i="17"/>
  <c r="Q40" i="17" s="1"/>
  <c r="L35" i="16"/>
  <c r="Q35" i="16" s="1"/>
  <c r="Q35" i="15"/>
  <c r="AB35" i="15" s="1"/>
  <c r="L35" i="17"/>
  <c r="Q35" i="17" s="1"/>
  <c r="AB46" i="16"/>
  <c r="AB46" i="17"/>
  <c r="AB46" i="14"/>
  <c r="AB46" i="15"/>
  <c r="S48" i="13"/>
  <c r="S48" i="27" s="1"/>
  <c r="S100" i="27" s="1"/>
  <c r="S28" i="13"/>
  <c r="S28" i="27" s="1"/>
  <c r="S80" i="27" s="1"/>
  <c r="S10" i="13"/>
  <c r="S10" i="27" s="1"/>
  <c r="S62" i="27" s="1"/>
  <c r="S33" i="13"/>
  <c r="S33" i="27" s="1"/>
  <c r="S85" i="27" s="1"/>
  <c r="S50" i="13"/>
  <c r="S50" i="27" s="1"/>
  <c r="S102" i="27" s="1"/>
  <c r="S27" i="13"/>
  <c r="S27" i="27" s="1"/>
  <c r="S79" i="27" s="1"/>
  <c r="S20" i="13"/>
  <c r="S20" i="27" s="1"/>
  <c r="S72" i="27" s="1"/>
  <c r="S51" i="13"/>
  <c r="S51" i="27" s="1"/>
  <c r="S103" i="27" s="1"/>
  <c r="S31" i="13"/>
  <c r="S31" i="27" s="1"/>
  <c r="S83" i="27" s="1"/>
  <c r="S49" i="13"/>
  <c r="S49" i="27" s="1"/>
  <c r="S101" i="27" s="1"/>
  <c r="S45" i="13"/>
  <c r="S45" i="27" s="1"/>
  <c r="S97" i="27" s="1"/>
  <c r="S13" i="13"/>
  <c r="S13" i="27" s="1"/>
  <c r="S65" i="27" s="1"/>
  <c r="S38" i="13"/>
  <c r="S38" i="27" s="1"/>
  <c r="S90" i="27" s="1"/>
  <c r="S44" i="13"/>
  <c r="S44" i="27" s="1"/>
  <c r="S96" i="27" s="1"/>
  <c r="S17" i="13"/>
  <c r="S17" i="27" s="1"/>
  <c r="S69" i="27" s="1"/>
  <c r="S46" i="13"/>
  <c r="S46" i="27" s="1"/>
  <c r="S98" i="27" s="1"/>
  <c r="S40" i="13"/>
  <c r="S40" i="27" s="1"/>
  <c r="S92" i="27" s="1"/>
  <c r="S36" i="13"/>
  <c r="S36" i="27" s="1"/>
  <c r="S88" i="27" s="1"/>
  <c r="S9" i="13"/>
  <c r="S9" i="27" s="1"/>
  <c r="S61" i="27" s="1"/>
  <c r="S47" i="13"/>
  <c r="S47" i="27" s="1"/>
  <c r="S99" i="27" s="1"/>
  <c r="S16" i="13"/>
  <c r="S16" i="27" s="1"/>
  <c r="S68" i="27" s="1"/>
  <c r="S26" i="13"/>
  <c r="S26" i="27" s="1"/>
  <c r="S78" i="27" s="1"/>
  <c r="S11" i="13"/>
  <c r="S11" i="27" s="1"/>
  <c r="S63" i="27" s="1"/>
  <c r="S19" i="13"/>
  <c r="S19" i="27" s="1"/>
  <c r="S71" i="27" s="1"/>
  <c r="S39" i="13"/>
  <c r="S39" i="27" s="1"/>
  <c r="S91" i="27" s="1"/>
  <c r="S5" i="13"/>
  <c r="S5" i="27" s="1"/>
  <c r="S57" i="27" s="1"/>
  <c r="S43" i="13"/>
  <c r="S43" i="27" s="1"/>
  <c r="S95" i="27" s="1"/>
  <c r="S25" i="13"/>
  <c r="S25" i="27" s="1"/>
  <c r="S77" i="27" s="1"/>
  <c r="S24" i="13"/>
  <c r="S24" i="27" s="1"/>
  <c r="S76" i="27" s="1"/>
  <c r="S42" i="13"/>
  <c r="S42" i="27" s="1"/>
  <c r="S94" i="27" s="1"/>
  <c r="S35" i="13"/>
  <c r="S35" i="27" s="1"/>
  <c r="S87" i="27" s="1"/>
  <c r="S6" i="13"/>
  <c r="S6" i="27" s="1"/>
  <c r="S58" i="27" s="1"/>
  <c r="S41" i="13"/>
  <c r="S41" i="27" s="1"/>
  <c r="S93" i="27" s="1"/>
  <c r="S12" i="13"/>
  <c r="S12" i="27" s="1"/>
  <c r="S64" i="27" s="1"/>
  <c r="S22" i="13"/>
  <c r="S22" i="27" s="1"/>
  <c r="S74" i="27" s="1"/>
  <c r="S32" i="13"/>
  <c r="S32" i="27" s="1"/>
  <c r="S84" i="27" s="1"/>
  <c r="S8" i="13"/>
  <c r="S8" i="27" s="1"/>
  <c r="S60" i="27" s="1"/>
  <c r="S14" i="13"/>
  <c r="S14" i="27" s="1"/>
  <c r="S66" i="27" s="1"/>
  <c r="S18" i="13"/>
  <c r="S18" i="27" s="1"/>
  <c r="S70" i="27" s="1"/>
  <c r="S30" i="13"/>
  <c r="S30" i="27" s="1"/>
  <c r="S82" i="27" s="1"/>
  <c r="S37" i="13"/>
  <c r="S37" i="27" s="1"/>
  <c r="S89" i="27" s="1"/>
  <c r="S23" i="13"/>
  <c r="S23" i="27" s="1"/>
  <c r="S75" i="27" s="1"/>
  <c r="S7" i="13"/>
  <c r="S7" i="27" s="1"/>
  <c r="S59" i="27" s="1"/>
  <c r="S21" i="13"/>
  <c r="S21" i="27" s="1"/>
  <c r="S73" i="27" s="1"/>
  <c r="S15" i="13"/>
  <c r="S15" i="27" s="1"/>
  <c r="S67" i="27" s="1"/>
  <c r="S29" i="13"/>
  <c r="S29" i="27" s="1"/>
  <c r="S81" i="27" s="1"/>
  <c r="S34" i="13"/>
  <c r="S34" i="27" s="1"/>
  <c r="S86" i="27" s="1"/>
  <c r="L31" i="16"/>
  <c r="Q31" i="16" s="1"/>
  <c r="Q31" i="15"/>
  <c r="AB31" i="15" s="1"/>
  <c r="L31" i="17"/>
  <c r="Q31" i="17" s="1"/>
  <c r="L25" i="16"/>
  <c r="Q25" i="16" s="1"/>
  <c r="Q25" i="15"/>
  <c r="AB25" i="15" s="1"/>
  <c r="L25" i="17"/>
  <c r="Q25" i="17" s="1"/>
  <c r="L20" i="16"/>
  <c r="Q20" i="16" s="1"/>
  <c r="Q20" i="15"/>
  <c r="AB20" i="15" s="1"/>
  <c r="L20" i="17"/>
  <c r="Q20" i="17" s="1"/>
  <c r="L7" i="16"/>
  <c r="Q7" i="16" s="1"/>
  <c r="Q7" i="15"/>
  <c r="AB7" i="15" s="1"/>
  <c r="L7" i="17"/>
  <c r="Q7" i="17" s="1"/>
  <c r="L19" i="16"/>
  <c r="Q19" i="16" s="1"/>
  <c r="Q19" i="15"/>
  <c r="AB19" i="15" s="1"/>
  <c r="L19" i="17"/>
  <c r="Q19" i="17" s="1"/>
  <c r="L41" i="16"/>
  <c r="Q41" i="16" s="1"/>
  <c r="Q41" i="15"/>
  <c r="AB41" i="15" s="1"/>
  <c r="L41" i="17"/>
  <c r="Q41" i="17" s="1"/>
  <c r="E43" i="9"/>
  <c r="X45" i="17"/>
  <c r="X45" i="16"/>
  <c r="X45" i="15"/>
  <c r="X48" i="15" s="1"/>
  <c r="X45" i="14"/>
  <c r="Q38" i="15"/>
  <c r="AB38" i="15" s="1"/>
  <c r="L38" i="16"/>
  <c r="Q38" i="16" s="1"/>
  <c r="L38" i="17"/>
  <c r="Q38" i="17" s="1"/>
  <c r="L5" i="16"/>
  <c r="Q5" i="15"/>
  <c r="L5" i="17"/>
  <c r="L43" i="15"/>
  <c r="L33" i="16"/>
  <c r="Q33" i="16" s="1"/>
  <c r="Q33" i="15"/>
  <c r="AB33" i="15" s="1"/>
  <c r="L33" i="17"/>
  <c r="Q33" i="17" s="1"/>
  <c r="L36" i="16"/>
  <c r="Q36" i="16" s="1"/>
  <c r="Q36" i="15"/>
  <c r="AB36" i="15" s="1"/>
  <c r="L36" i="17"/>
  <c r="Q36" i="17" s="1"/>
  <c r="L30" i="16"/>
  <c r="Q30" i="16" s="1"/>
  <c r="Q30" i="15"/>
  <c r="AB30" i="15" s="1"/>
  <c r="L30" i="17"/>
  <c r="Q30" i="17" s="1"/>
  <c r="L16" i="16"/>
  <c r="Q16" i="16" s="1"/>
  <c r="Q16" i="15"/>
  <c r="AB16" i="15" s="1"/>
  <c r="L16" i="17"/>
  <c r="Q16" i="17" s="1"/>
  <c r="L9" i="16"/>
  <c r="Q9" i="16" s="1"/>
  <c r="Q9" i="15"/>
  <c r="AB9" i="15" s="1"/>
  <c r="L9" i="17"/>
  <c r="Q9" i="17" s="1"/>
  <c r="E23" i="9"/>
  <c r="E29" i="9" s="1"/>
  <c r="AE57" i="10"/>
  <c r="E47" i="9"/>
  <c r="G47" i="9" s="1"/>
  <c r="K14" i="29" l="1"/>
  <c r="U14" i="29"/>
  <c r="U15" i="29"/>
  <c r="L21" i="28"/>
  <c r="L63" i="28" s="1"/>
  <c r="L13" i="28"/>
  <c r="L55" i="28" s="1"/>
  <c r="L29" i="28"/>
  <c r="L71" i="28" s="1"/>
  <c r="L5" i="28"/>
  <c r="L47" i="28" s="1"/>
  <c r="L8" i="28"/>
  <c r="L50" i="28" s="1"/>
  <c r="L12" i="28"/>
  <c r="L54" i="28" s="1"/>
  <c r="L36" i="28"/>
  <c r="L78" i="28" s="1"/>
  <c r="L37" i="28"/>
  <c r="L79" i="28" s="1"/>
  <c r="L20" i="28"/>
  <c r="L62" i="28" s="1"/>
  <c r="L16" i="28"/>
  <c r="L58" i="28" s="1"/>
  <c r="L32" i="28"/>
  <c r="L74" i="28" s="1"/>
  <c r="L17" i="28"/>
  <c r="L59" i="28" s="1"/>
  <c r="L15" i="28"/>
  <c r="L57" i="28" s="1"/>
  <c r="L22" i="28"/>
  <c r="L64" i="28" s="1"/>
  <c r="L33" i="28"/>
  <c r="L75" i="28" s="1"/>
  <c r="C14" i="29"/>
  <c r="C15" i="29"/>
  <c r="L14" i="28"/>
  <c r="L56" i="28" s="1"/>
  <c r="L41" i="28"/>
  <c r="L83" i="28" s="1"/>
  <c r="L25" i="28"/>
  <c r="L67" i="28" s="1"/>
  <c r="L23" i="28"/>
  <c r="L65" i="28" s="1"/>
  <c r="L34" i="28"/>
  <c r="L76" i="28" s="1"/>
  <c r="L19" i="28"/>
  <c r="L61" i="28" s="1"/>
  <c r="L6" i="28"/>
  <c r="L48" i="28" s="1"/>
  <c r="B11" i="30" s="1"/>
  <c r="L18" i="28"/>
  <c r="L60" i="28" s="1"/>
  <c r="L10" i="28"/>
  <c r="L52" i="28" s="1"/>
  <c r="L40" i="28"/>
  <c r="L82" i="28" s="1"/>
  <c r="L38" i="28"/>
  <c r="L80" i="28" s="1"/>
  <c r="I9" i="29"/>
  <c r="L39" i="28"/>
  <c r="L81" i="28" s="1"/>
  <c r="L9" i="28"/>
  <c r="L51" i="28" s="1"/>
  <c r="L24" i="28"/>
  <c r="L66" i="28" s="1"/>
  <c r="L7" i="28"/>
  <c r="L49" i="28" s="1"/>
  <c r="L35" i="28"/>
  <c r="L77" i="28" s="1"/>
  <c r="L11" i="28"/>
  <c r="L53" i="28" s="1"/>
  <c r="I11" i="29"/>
  <c r="I7" i="29"/>
  <c r="I13" i="29" s="1"/>
  <c r="L26" i="28"/>
  <c r="L68" i="28" s="1"/>
  <c r="L30" i="28"/>
  <c r="L72" i="28" s="1"/>
  <c r="L31" i="28"/>
  <c r="L73" i="28" s="1"/>
  <c r="L27" i="28"/>
  <c r="L69" i="28" s="1"/>
  <c r="L28" i="28"/>
  <c r="L70" i="28" s="1"/>
  <c r="X41" i="16"/>
  <c r="Y41" i="16" s="1"/>
  <c r="AB41" i="16" s="1"/>
  <c r="X41" i="17"/>
  <c r="AB32" i="16"/>
  <c r="X11" i="16"/>
  <c r="Y11" i="16" s="1"/>
  <c r="X11" i="17"/>
  <c r="X23" i="16"/>
  <c r="Y23" i="16" s="1"/>
  <c r="AB23" i="16" s="1"/>
  <c r="X23" i="17"/>
  <c r="X32" i="16"/>
  <c r="Y32" i="16" s="1"/>
  <c r="X32" i="17"/>
  <c r="X26" i="16"/>
  <c r="Y26" i="16" s="1"/>
  <c r="AB26" i="16" s="1"/>
  <c r="X26" i="17"/>
  <c r="X38" i="16"/>
  <c r="Y38" i="16" s="1"/>
  <c r="AB38" i="16" s="1"/>
  <c r="X38" i="17"/>
  <c r="X20" i="16"/>
  <c r="Y20" i="16" s="1"/>
  <c r="AB20" i="16" s="1"/>
  <c r="X20" i="17"/>
  <c r="X40" i="16"/>
  <c r="Y40" i="16" s="1"/>
  <c r="AB40" i="16" s="1"/>
  <c r="X40" i="17"/>
  <c r="X27" i="16"/>
  <c r="Y27" i="16" s="1"/>
  <c r="AB27" i="16" s="1"/>
  <c r="X27" i="17"/>
  <c r="AB11" i="16"/>
  <c r="X28" i="16"/>
  <c r="Y28" i="16" s="1"/>
  <c r="AB28" i="16" s="1"/>
  <c r="X28" i="17"/>
  <c r="X6" i="16"/>
  <c r="Y6" i="16" s="1"/>
  <c r="AB6" i="16" s="1"/>
  <c r="X6" i="17"/>
  <c r="X37" i="16"/>
  <c r="Y37" i="16" s="1"/>
  <c r="AB37" i="16" s="1"/>
  <c r="X37" i="17"/>
  <c r="X16" i="16"/>
  <c r="Y16" i="16" s="1"/>
  <c r="AB16" i="16" s="1"/>
  <c r="X16" i="17"/>
  <c r="X33" i="16"/>
  <c r="Y33" i="16" s="1"/>
  <c r="AB33" i="16" s="1"/>
  <c r="X33" i="17"/>
  <c r="X14" i="16"/>
  <c r="Y14" i="16" s="1"/>
  <c r="AB14" i="16" s="1"/>
  <c r="X14" i="17"/>
  <c r="X17" i="16"/>
  <c r="Y17" i="16" s="1"/>
  <c r="X17" i="17"/>
  <c r="X21" i="16"/>
  <c r="Y21" i="16" s="1"/>
  <c r="X21" i="17"/>
  <c r="AG57" i="10"/>
  <c r="AG55" i="13"/>
  <c r="AG55" i="12"/>
  <c r="AG55" i="11"/>
  <c r="X30" i="16"/>
  <c r="Y30" i="16" s="1"/>
  <c r="AB30" i="16" s="1"/>
  <c r="X30" i="17"/>
  <c r="X19" i="16"/>
  <c r="Y19" i="16" s="1"/>
  <c r="AB19" i="16" s="1"/>
  <c r="X19" i="17"/>
  <c r="X15" i="16"/>
  <c r="Y15" i="16" s="1"/>
  <c r="AB15" i="16" s="1"/>
  <c r="X15" i="17"/>
  <c r="X22" i="16"/>
  <c r="Y22" i="16" s="1"/>
  <c r="AB22" i="16" s="1"/>
  <c r="X22" i="17"/>
  <c r="AB17" i="16"/>
  <c r="AB21" i="16"/>
  <c r="AM57" i="10"/>
  <c r="AM55" i="13"/>
  <c r="AM55" i="12"/>
  <c r="AM55" i="11"/>
  <c r="L43" i="17"/>
  <c r="Q5" i="17"/>
  <c r="X25" i="16"/>
  <c r="Y25" i="16" s="1"/>
  <c r="AB25" i="16" s="1"/>
  <c r="X25" i="17"/>
  <c r="X29" i="16"/>
  <c r="Y29" i="16" s="1"/>
  <c r="X29" i="17"/>
  <c r="X8" i="16"/>
  <c r="Y8" i="16" s="1"/>
  <c r="X8" i="17"/>
  <c r="X39" i="16"/>
  <c r="Y39" i="16" s="1"/>
  <c r="X39" i="17"/>
  <c r="X31" i="16"/>
  <c r="Y31" i="16" s="1"/>
  <c r="AB31" i="16" s="1"/>
  <c r="X31" i="17"/>
  <c r="X9" i="16"/>
  <c r="Y9" i="16" s="1"/>
  <c r="X9" i="17"/>
  <c r="AB5" i="15"/>
  <c r="AB43" i="15" s="1"/>
  <c r="Q43" i="15"/>
  <c r="X35" i="16"/>
  <c r="Y35" i="16" s="1"/>
  <c r="AB35" i="16" s="1"/>
  <c r="X35" i="17"/>
  <c r="AB29" i="16"/>
  <c r="X10" i="16"/>
  <c r="Y10" i="16" s="1"/>
  <c r="AB10" i="16" s="1"/>
  <c r="X10" i="17"/>
  <c r="AB8" i="16"/>
  <c r="X12" i="16"/>
  <c r="Y12" i="16" s="1"/>
  <c r="AB12" i="16" s="1"/>
  <c r="X12" i="17"/>
  <c r="AB39" i="16"/>
  <c r="X13" i="16"/>
  <c r="Y13" i="16" s="1"/>
  <c r="AB13" i="16" s="1"/>
  <c r="X13" i="17"/>
  <c r="AB9" i="16"/>
  <c r="X36" i="16"/>
  <c r="Y36" i="16" s="1"/>
  <c r="AB36" i="16" s="1"/>
  <c r="X36" i="17"/>
  <c r="Q5" i="16"/>
  <c r="L43" i="16"/>
  <c r="E46" i="9"/>
  <c r="Y45" i="17"/>
  <c r="Y45" i="16"/>
  <c r="Y45" i="14"/>
  <c r="Y45" i="15"/>
  <c r="X7" i="16"/>
  <c r="Y7" i="16" s="1"/>
  <c r="AB7" i="16" s="1"/>
  <c r="X7" i="17"/>
  <c r="S53" i="13"/>
  <c r="X34" i="16"/>
  <c r="Y34" i="16" s="1"/>
  <c r="AB34" i="16" s="1"/>
  <c r="X34" i="17"/>
  <c r="X24" i="16"/>
  <c r="Y24" i="16" s="1"/>
  <c r="AB24" i="16" s="1"/>
  <c r="X24" i="17"/>
  <c r="X18" i="16"/>
  <c r="Y18" i="16" s="1"/>
  <c r="AB18" i="16" s="1"/>
  <c r="X18" i="17"/>
  <c r="B9" i="30" l="1"/>
  <c r="B15" i="30" s="1"/>
  <c r="B7" i="30"/>
  <c r="B13" i="30" s="1"/>
  <c r="I14" i="29"/>
  <c r="I15" i="29"/>
  <c r="Y24" i="17"/>
  <c r="AB24" i="17" s="1"/>
  <c r="S17" i="32" s="1"/>
  <c r="U24" i="28"/>
  <c r="U66" i="28" s="1"/>
  <c r="Y10" i="17"/>
  <c r="AB10" i="17" s="1"/>
  <c r="S9" i="32" s="1"/>
  <c r="U10" i="28"/>
  <c r="U52" i="28" s="1"/>
  <c r="Y9" i="17"/>
  <c r="AB9" i="17" s="1"/>
  <c r="S7" i="32" s="1"/>
  <c r="U9" i="28"/>
  <c r="U51" i="28" s="1"/>
  <c r="Y30" i="17"/>
  <c r="AB30" i="17" s="1"/>
  <c r="S24" i="32" s="1"/>
  <c r="U30" i="28"/>
  <c r="U72" i="28" s="1"/>
  <c r="Y33" i="17"/>
  <c r="AB33" i="17" s="1"/>
  <c r="U33" i="28"/>
  <c r="U75" i="28" s="1"/>
  <c r="Y20" i="17"/>
  <c r="AB20" i="17" s="1"/>
  <c r="S12" i="32" s="1"/>
  <c r="U20" i="28"/>
  <c r="U62" i="28" s="1"/>
  <c r="Y7" i="17"/>
  <c r="AB7" i="17" s="1"/>
  <c r="S5" i="32" s="1"/>
  <c r="U7" i="28"/>
  <c r="U49" i="28" s="1"/>
  <c r="Y22" i="17"/>
  <c r="AB22" i="17" s="1"/>
  <c r="S14" i="32" s="1"/>
  <c r="U22" i="28"/>
  <c r="U64" i="28" s="1"/>
  <c r="Y28" i="17"/>
  <c r="AB28" i="17" s="1"/>
  <c r="S22" i="32" s="1"/>
  <c r="U28" i="28"/>
  <c r="U70" i="28" s="1"/>
  <c r="Y29" i="17"/>
  <c r="AB29" i="17" s="1"/>
  <c r="S23" i="32" s="1"/>
  <c r="U29" i="28"/>
  <c r="U71" i="28" s="1"/>
  <c r="Y16" i="17"/>
  <c r="AB16" i="17" s="1"/>
  <c r="S10" i="32" s="1"/>
  <c r="U16" i="28"/>
  <c r="U58" i="28" s="1"/>
  <c r="Y17" i="17"/>
  <c r="AB17" i="17" s="1"/>
  <c r="U17" i="28"/>
  <c r="U59" i="28" s="1"/>
  <c r="Y23" i="17"/>
  <c r="AB23" i="17" s="1"/>
  <c r="U23" i="28"/>
  <c r="U65" i="28" s="1"/>
  <c r="Y13" i="17"/>
  <c r="AB13" i="17" s="1"/>
  <c r="AA173" i="21" s="1"/>
  <c r="U13" i="28"/>
  <c r="U55" i="28" s="1"/>
  <c r="Y34" i="17"/>
  <c r="AB34" i="17" s="1"/>
  <c r="U34" i="28"/>
  <c r="U76" i="28" s="1"/>
  <c r="Y35" i="17"/>
  <c r="AB35" i="17" s="1"/>
  <c r="S27" i="32" s="1"/>
  <c r="U35" i="28"/>
  <c r="U77" i="28" s="1"/>
  <c r="Y31" i="17"/>
  <c r="AB31" i="17" s="1"/>
  <c r="U31" i="28"/>
  <c r="U73" i="28" s="1"/>
  <c r="Y38" i="17"/>
  <c r="AB38" i="17" s="1"/>
  <c r="S31" i="32" s="1"/>
  <c r="U38" i="28"/>
  <c r="U80" i="28" s="1"/>
  <c r="Y11" i="17"/>
  <c r="AB11" i="17" s="1"/>
  <c r="S11" i="32" s="1"/>
  <c r="U11" i="28"/>
  <c r="U53" i="28" s="1"/>
  <c r="Y15" i="17"/>
  <c r="AB15" i="17" s="1"/>
  <c r="S8" i="32" s="1"/>
  <c r="U15" i="28"/>
  <c r="U57" i="28" s="1"/>
  <c r="Y14" i="17"/>
  <c r="AB14" i="17" s="1"/>
  <c r="AA185" i="21" s="1"/>
  <c r="U14" i="28"/>
  <c r="U56" i="28" s="1"/>
  <c r="Y37" i="17"/>
  <c r="AB37" i="17" s="1"/>
  <c r="S29" i="32" s="1"/>
  <c r="U37" i="28"/>
  <c r="U79" i="28" s="1"/>
  <c r="Y27" i="17"/>
  <c r="AB27" i="17" s="1"/>
  <c r="U27" i="28"/>
  <c r="U69" i="28" s="1"/>
  <c r="Y18" i="17"/>
  <c r="AB18" i="17" s="1"/>
  <c r="U18" i="28"/>
  <c r="U60" i="28" s="1"/>
  <c r="Y12" i="17"/>
  <c r="AB12" i="17" s="1"/>
  <c r="AA161" i="21" s="1"/>
  <c r="U12" i="28"/>
  <c r="U54" i="28" s="1"/>
  <c r="Y39" i="17"/>
  <c r="AB39" i="17" s="1"/>
  <c r="S30" i="32" s="1"/>
  <c r="U39" i="28"/>
  <c r="U81" i="28" s="1"/>
  <c r="Y25" i="17"/>
  <c r="AB25" i="17" s="1"/>
  <c r="S18" i="32" s="1"/>
  <c r="U25" i="28"/>
  <c r="U67" i="28" s="1"/>
  <c r="Y26" i="17"/>
  <c r="AB26" i="17" s="1"/>
  <c r="S19" i="32" s="1"/>
  <c r="U26" i="28"/>
  <c r="U68" i="28" s="1"/>
  <c r="Y19" i="17"/>
  <c r="AB19" i="17" s="1"/>
  <c r="U19" i="28"/>
  <c r="U61" i="28" s="1"/>
  <c r="Y21" i="17"/>
  <c r="AB21" i="17" s="1"/>
  <c r="S13" i="32" s="1"/>
  <c r="U21" i="28"/>
  <c r="U63" i="28" s="1"/>
  <c r="Y6" i="17"/>
  <c r="AB6" i="17" s="1"/>
  <c r="U6" i="28"/>
  <c r="U48" i="28" s="1"/>
  <c r="Y40" i="17"/>
  <c r="AB40" i="17" s="1"/>
  <c r="S32" i="32" s="1"/>
  <c r="U40" i="28"/>
  <c r="U82" i="28" s="1"/>
  <c r="Y41" i="17"/>
  <c r="AB41" i="17" s="1"/>
  <c r="S33" i="32" s="1"/>
  <c r="U41" i="28"/>
  <c r="U83" i="28" s="1"/>
  <c r="Y36" i="17"/>
  <c r="AB36" i="17" s="1"/>
  <c r="S28" i="32" s="1"/>
  <c r="U36" i="28"/>
  <c r="U78" i="28" s="1"/>
  <c r="Y8" i="17"/>
  <c r="AB8" i="17" s="1"/>
  <c r="S6" i="32" s="1"/>
  <c r="U8" i="28"/>
  <c r="U50" i="28" s="1"/>
  <c r="Y32" i="17"/>
  <c r="AB32" i="17" s="1"/>
  <c r="U32" i="28"/>
  <c r="U74" i="28" s="1"/>
  <c r="AA260" i="20"/>
  <c r="AA256" i="20"/>
  <c r="AA281" i="20"/>
  <c r="AA317" i="20"/>
  <c r="AA301" i="20"/>
  <c r="AA307" i="20"/>
  <c r="AA299" i="20"/>
  <c r="AA314" i="20"/>
  <c r="AA321" i="20"/>
  <c r="AA313" i="20"/>
  <c r="AA305" i="20"/>
  <c r="AA289" i="20"/>
  <c r="AA310" i="20"/>
  <c r="AA294" i="20"/>
  <c r="AA308" i="20"/>
  <c r="AA287" i="20"/>
  <c r="AA304" i="20"/>
  <c r="AA303" i="20"/>
  <c r="AA312" i="20"/>
  <c r="AA320" i="20"/>
  <c r="AA300" i="20"/>
  <c r="AA296" i="20"/>
  <c r="AA288" i="20"/>
  <c r="AB45" i="16"/>
  <c r="AB45" i="17"/>
  <c r="AB45" i="15"/>
  <c r="AB45" i="14"/>
  <c r="X5" i="16"/>
  <c r="X5" i="17"/>
  <c r="Q43" i="16"/>
  <c r="Q43" i="17"/>
  <c r="AA277" i="20" l="1"/>
  <c r="AA258" i="20"/>
  <c r="AA276" i="20"/>
  <c r="AA148" i="21"/>
  <c r="AA255" i="20"/>
  <c r="AA280" i="20"/>
  <c r="AA259" i="20"/>
  <c r="S21" i="32"/>
  <c r="S16" i="32"/>
  <c r="S26" i="32"/>
  <c r="AA275" i="20"/>
  <c r="L275" i="25" s="1"/>
  <c r="O275" i="25" s="1"/>
  <c r="S15" i="32"/>
  <c r="S20" i="32"/>
  <c r="S25" i="32"/>
  <c r="AA221" i="20"/>
  <c r="AG221" i="20" s="1"/>
  <c r="G11" i="32"/>
  <c r="G6" i="32"/>
  <c r="AA253" i="20"/>
  <c r="AA315" i="20"/>
  <c r="AG315" i="20" s="1"/>
  <c r="AA298" i="20"/>
  <c r="AA311" i="20"/>
  <c r="AA295" i="20"/>
  <c r="AA318" i="20"/>
  <c r="AA306" i="20"/>
  <c r="AA309" i="20"/>
  <c r="L309" i="25" s="1"/>
  <c r="O309" i="25" s="1"/>
  <c r="AA319" i="20"/>
  <c r="AA292" i="20"/>
  <c r="AG292" i="20" s="1"/>
  <c r="AA297" i="20"/>
  <c r="AA291" i="20"/>
  <c r="AA146" i="21"/>
  <c r="AA512" i="20"/>
  <c r="AA316" i="20"/>
  <c r="AA302" i="20"/>
  <c r="AG302" i="20" s="1"/>
  <c r="AA290" i="20"/>
  <c r="AA293" i="20"/>
  <c r="AG293" i="20" s="1"/>
  <c r="AA278" i="20"/>
  <c r="AA413" i="20"/>
  <c r="AA176" i="21"/>
  <c r="AA550" i="20"/>
  <c r="AA523" i="20"/>
  <c r="AA460" i="20"/>
  <c r="L460" i="25" s="1"/>
  <c r="O460" i="25" s="1"/>
  <c r="AA394" i="20"/>
  <c r="AA3" i="20"/>
  <c r="AG3" i="20" s="1"/>
  <c r="AA348" i="20"/>
  <c r="AG348" i="20" s="1"/>
  <c r="AA267" i="20"/>
  <c r="AA325" i="20"/>
  <c r="AG325" i="20" s="1"/>
  <c r="AA498" i="20"/>
  <c r="L498" i="25" s="1"/>
  <c r="O498" i="25" s="1"/>
  <c r="AA412" i="20"/>
  <c r="AA155" i="21"/>
  <c r="AA346" i="20"/>
  <c r="AG346" i="20" s="1"/>
  <c r="AA525" i="20"/>
  <c r="L525" i="25" s="1"/>
  <c r="O525" i="25" s="1"/>
  <c r="AA411" i="20"/>
  <c r="AG411" i="20" s="1"/>
  <c r="AA179" i="21"/>
  <c r="AA16" i="20"/>
  <c r="AA560" i="20"/>
  <c r="AG560" i="20" s="1"/>
  <c r="AA428" i="20"/>
  <c r="AA418" i="20"/>
  <c r="AG418" i="20" s="1"/>
  <c r="AA134" i="20"/>
  <c r="AA172" i="21"/>
  <c r="AA518" i="20"/>
  <c r="AG518" i="20" s="1"/>
  <c r="B14" i="30"/>
  <c r="AA407" i="20"/>
  <c r="AA6" i="20"/>
  <c r="L6" i="25" s="1"/>
  <c r="O6" i="25" s="1"/>
  <c r="AA171" i="21"/>
  <c r="AA513" i="20"/>
  <c r="AG513" i="20" s="1"/>
  <c r="AA409" i="20"/>
  <c r="AA322" i="20"/>
  <c r="AG322" i="20" s="1"/>
  <c r="AA544" i="20"/>
  <c r="L544" i="25" s="1"/>
  <c r="O544" i="25" s="1"/>
  <c r="AA562" i="20"/>
  <c r="AA424" i="20"/>
  <c r="AA504" i="20"/>
  <c r="AG504" i="20" s="1"/>
  <c r="AA555" i="20"/>
  <c r="AA227" i="21"/>
  <c r="AA420" i="20"/>
  <c r="AA457" i="20"/>
  <c r="AG457" i="20" s="1"/>
  <c r="AA138" i="20"/>
  <c r="AG138" i="20" s="1"/>
  <c r="AA152" i="21"/>
  <c r="AA511" i="20"/>
  <c r="AA497" i="20"/>
  <c r="AG497" i="20" s="1"/>
  <c r="AA509" i="20"/>
  <c r="AG509" i="20" s="1"/>
  <c r="AA469" i="20"/>
  <c r="L469" i="25" s="1"/>
  <c r="O469" i="25" s="1"/>
  <c r="AA458" i="20"/>
  <c r="AA10" i="20"/>
  <c r="L10" i="25" s="1"/>
  <c r="O10" i="25" s="1"/>
  <c r="AA349" i="20"/>
  <c r="AG349" i="20" s="1"/>
  <c r="AA495" i="20"/>
  <c r="AA545" i="20"/>
  <c r="AA541" i="20"/>
  <c r="L541" i="25" s="1"/>
  <c r="O541" i="25" s="1"/>
  <c r="AA222" i="20"/>
  <c r="AG222" i="20" s="1"/>
  <c r="AA218" i="21"/>
  <c r="AA463" i="20"/>
  <c r="AA397" i="20"/>
  <c r="AG397" i="20" s="1"/>
  <c r="AA327" i="20"/>
  <c r="AG327" i="20" s="1"/>
  <c r="AA519" i="20"/>
  <c r="AA530" i="20"/>
  <c r="AA225" i="21"/>
  <c r="AA414" i="20"/>
  <c r="AG414" i="20" s="1"/>
  <c r="AA131" i="20"/>
  <c r="L131" i="25" s="1"/>
  <c r="O131" i="25" s="1"/>
  <c r="AA225" i="20"/>
  <c r="AG225" i="20" s="1"/>
  <c r="AA478" i="20"/>
  <c r="AG478" i="20" s="1"/>
  <c r="AA272" i="20"/>
  <c r="AG272" i="20" s="1"/>
  <c r="AA425" i="20"/>
  <c r="AA406" i="20"/>
  <c r="AG406" i="20" s="1"/>
  <c r="AA461" i="20"/>
  <c r="L461" i="25" s="1"/>
  <c r="O461" i="25" s="1"/>
  <c r="AA14" i="20"/>
  <c r="AA147" i="21"/>
  <c r="AA368" i="20"/>
  <c r="AG368" i="20" s="1"/>
  <c r="AA503" i="20"/>
  <c r="AG503" i="20" s="1"/>
  <c r="AA543" i="20"/>
  <c r="AG543" i="20" s="1"/>
  <c r="AA546" i="20"/>
  <c r="AA183" i="20"/>
  <c r="AG183" i="20" s="1"/>
  <c r="AA274" i="20"/>
  <c r="L274" i="25" s="1"/>
  <c r="O274" i="25" s="1"/>
  <c r="AA427" i="20"/>
  <c r="AG427" i="20" s="1"/>
  <c r="AA129" i="20"/>
  <c r="AG129" i="20" s="1"/>
  <c r="AA19" i="20"/>
  <c r="AA187" i="21"/>
  <c r="AA269" i="20"/>
  <c r="AG269" i="20" s="1"/>
  <c r="AA472" i="20"/>
  <c r="AA474" i="20"/>
  <c r="AG474" i="20" s="1"/>
  <c r="AA408" i="20"/>
  <c r="L408" i="25" s="1"/>
  <c r="O408" i="25" s="1"/>
  <c r="AA410" i="20"/>
  <c r="AG410" i="20" s="1"/>
  <c r="AA4" i="20"/>
  <c r="AG4" i="20" s="1"/>
  <c r="AA9" i="20"/>
  <c r="AG9" i="20" s="1"/>
  <c r="AA332" i="20"/>
  <c r="AG332" i="20" s="1"/>
  <c r="AA156" i="21"/>
  <c r="AA352" i="20"/>
  <c r="AG352" i="20" s="1"/>
  <c r="AA180" i="21"/>
  <c r="AA552" i="20"/>
  <c r="AG552" i="20" s="1"/>
  <c r="AA500" i="20"/>
  <c r="AG500" i="20" s="1"/>
  <c r="AA529" i="20"/>
  <c r="AG529" i="20" s="1"/>
  <c r="AA507" i="20"/>
  <c r="AG507" i="20" s="1"/>
  <c r="AA557" i="20"/>
  <c r="AG557" i="20" s="1"/>
  <c r="AA184" i="20"/>
  <c r="AG184" i="20" s="1"/>
  <c r="AA184" i="21"/>
  <c r="AA384" i="20"/>
  <c r="AG384" i="20" s="1"/>
  <c r="AA265" i="20"/>
  <c r="L265" i="25" s="1"/>
  <c r="O265" i="25" s="1"/>
  <c r="AA415" i="20"/>
  <c r="AG415" i="20" s="1"/>
  <c r="AA421" i="20"/>
  <c r="AG421" i="20" s="1"/>
  <c r="AA456" i="20"/>
  <c r="AG456" i="20" s="1"/>
  <c r="AA395" i="20"/>
  <c r="L395" i="25" s="1"/>
  <c r="O395" i="25" s="1"/>
  <c r="AA7" i="20"/>
  <c r="AG7" i="20" s="1"/>
  <c r="AA13" i="20"/>
  <c r="AA326" i="20"/>
  <c r="AG326" i="20" s="1"/>
  <c r="AA151" i="21"/>
  <c r="AA336" i="20"/>
  <c r="AG336" i="20" s="1"/>
  <c r="AA350" i="20"/>
  <c r="AG350" i="20" s="1"/>
  <c r="AA175" i="21"/>
  <c r="AA556" i="20"/>
  <c r="L556" i="25" s="1"/>
  <c r="O556" i="25" s="1"/>
  <c r="AA502" i="20"/>
  <c r="AG502" i="20" s="1"/>
  <c r="AA561" i="20"/>
  <c r="AA539" i="20"/>
  <c r="AG539" i="20" s="1"/>
  <c r="AA390" i="20"/>
  <c r="AG390" i="20" s="1"/>
  <c r="AA223" i="21"/>
  <c r="AA209" i="21"/>
  <c r="AA160" i="21"/>
  <c r="AA379" i="20"/>
  <c r="AG379" i="20" s="1"/>
  <c r="AA270" i="20"/>
  <c r="AG270" i="20" s="1"/>
  <c r="AA430" i="20"/>
  <c r="AA464" i="20"/>
  <c r="L464" i="25" s="1"/>
  <c r="O464" i="25" s="1"/>
  <c r="AA462" i="20"/>
  <c r="L462" i="25" s="1"/>
  <c r="O462" i="25" s="1"/>
  <c r="AA459" i="20"/>
  <c r="AG459" i="20" s="1"/>
  <c r="AA132" i="20"/>
  <c r="AG132" i="20" s="1"/>
  <c r="AA323" i="20"/>
  <c r="AG323" i="20" s="1"/>
  <c r="AA163" i="21"/>
  <c r="AA347" i="20"/>
  <c r="AG347" i="20" s="1"/>
  <c r="AA527" i="20"/>
  <c r="AA536" i="20"/>
  <c r="AG536" i="20" s="1"/>
  <c r="AA534" i="20"/>
  <c r="AG534" i="20" s="1"/>
  <c r="AA514" i="20"/>
  <c r="L514" i="25" s="1"/>
  <c r="O514" i="25" s="1"/>
  <c r="AA493" i="20"/>
  <c r="AG493" i="20" s="1"/>
  <c r="AA202" i="21"/>
  <c r="AA224" i="21"/>
  <c r="AA271" i="20"/>
  <c r="AG271" i="20" s="1"/>
  <c r="AA273" i="20"/>
  <c r="AA476" i="20"/>
  <c r="L476" i="25" s="1"/>
  <c r="O476" i="25" s="1"/>
  <c r="AA470" i="20"/>
  <c r="L470" i="25" s="1"/>
  <c r="O470" i="25" s="1"/>
  <c r="AA419" i="20"/>
  <c r="AG419" i="20" s="1"/>
  <c r="AA396" i="20"/>
  <c r="AG396" i="20" s="1"/>
  <c r="AA452" i="20"/>
  <c r="AG452" i="20" s="1"/>
  <c r="AA401" i="20"/>
  <c r="AG401" i="20" s="1"/>
  <c r="AA450" i="20"/>
  <c r="L450" i="25" s="1"/>
  <c r="O450" i="25" s="1"/>
  <c r="AA467" i="20"/>
  <c r="AA12" i="20"/>
  <c r="L12" i="25" s="1"/>
  <c r="O12" i="25" s="1"/>
  <c r="AA8" i="20"/>
  <c r="AG8" i="20" s="1"/>
  <c r="AA17" i="20"/>
  <c r="AG17" i="20" s="1"/>
  <c r="AA140" i="20"/>
  <c r="L179" i="25" s="1"/>
  <c r="AA324" i="20"/>
  <c r="AG324" i="20" s="1"/>
  <c r="AA331" i="20"/>
  <c r="AG331" i="20" s="1"/>
  <c r="AA158" i="21"/>
  <c r="AA279" i="20"/>
  <c r="AA283" i="20"/>
  <c r="L283" i="25" s="1"/>
  <c r="O283" i="25" s="1"/>
  <c r="AA334" i="20"/>
  <c r="AG334" i="20" s="1"/>
  <c r="AA162" i="21"/>
  <c r="AA165" i="21"/>
  <c r="AA358" i="20"/>
  <c r="L340" i="25" s="1"/>
  <c r="AA186" i="21"/>
  <c r="AA189" i="21"/>
  <c r="AA353" i="20"/>
  <c r="AG353" i="20" s="1"/>
  <c r="AA174" i="21"/>
  <c r="AA177" i="21"/>
  <c r="AA548" i="20"/>
  <c r="AA508" i="20"/>
  <c r="AG508" i="20" s="1"/>
  <c r="AA540" i="20"/>
  <c r="AG540" i="20" s="1"/>
  <c r="AA510" i="20"/>
  <c r="AG510" i="20" s="1"/>
  <c r="AA505" i="20"/>
  <c r="L505" i="25" s="1"/>
  <c r="O505" i="25" s="1"/>
  <c r="AA554" i="20"/>
  <c r="AA547" i="20"/>
  <c r="AG547" i="20" s="1"/>
  <c r="AA533" i="20"/>
  <c r="L533" i="25" s="1"/>
  <c r="O533" i="25" s="1"/>
  <c r="AA388" i="20"/>
  <c r="AG388" i="20" s="1"/>
  <c r="AA377" i="20"/>
  <c r="AG377" i="20" s="1"/>
  <c r="AA387" i="20"/>
  <c r="AG387" i="20" s="1"/>
  <c r="AA204" i="21"/>
  <c r="AA195" i="21"/>
  <c r="AA211" i="21"/>
  <c r="AA254" i="20"/>
  <c r="AG254" i="20" s="1"/>
  <c r="AA580" i="20"/>
  <c r="AG580" i="20" s="1"/>
  <c r="AA180" i="20"/>
  <c r="AG180" i="20" s="1"/>
  <c r="AA219" i="21"/>
  <c r="AA342" i="20"/>
  <c r="AG342" i="20" s="1"/>
  <c r="AA164" i="21"/>
  <c r="AA366" i="20"/>
  <c r="AG366" i="20" s="1"/>
  <c r="AA188" i="21"/>
  <c r="AA191" i="21"/>
  <c r="AA385" i="20"/>
  <c r="AG385" i="20" s="1"/>
  <c r="AA213" i="21"/>
  <c r="AA167" i="21"/>
  <c r="AA380" i="20"/>
  <c r="AG380" i="20" s="1"/>
  <c r="AA373" i="20"/>
  <c r="AG373" i="20" s="1"/>
  <c r="AA206" i="21"/>
  <c r="AA197" i="21"/>
  <c r="AA577" i="20"/>
  <c r="AG577" i="20" s="1"/>
  <c r="AA75" i="21"/>
  <c r="AA264" i="20"/>
  <c r="AA416" i="20"/>
  <c r="AG416" i="20" s="1"/>
  <c r="AA423" i="20"/>
  <c r="AG423" i="20" s="1"/>
  <c r="AA417" i="20"/>
  <c r="AG417" i="20" s="1"/>
  <c r="AA475" i="20"/>
  <c r="AG475" i="20" s="1"/>
  <c r="AA399" i="20"/>
  <c r="AA455" i="20"/>
  <c r="AG455" i="20" s="1"/>
  <c r="AA449" i="20"/>
  <c r="AG449" i="20" s="1"/>
  <c r="AA466" i="20"/>
  <c r="AA405" i="20"/>
  <c r="AG405" i="20" s="1"/>
  <c r="AA130" i="20"/>
  <c r="AG130" i="20" s="1"/>
  <c r="AA139" i="20"/>
  <c r="AG139" i="20" s="1"/>
  <c r="AA136" i="20"/>
  <c r="L136" i="25" s="1"/>
  <c r="O136" i="25" s="1"/>
  <c r="AA328" i="20"/>
  <c r="AG328" i="20" s="1"/>
  <c r="AA333" i="20"/>
  <c r="AG333" i="20" s="1"/>
  <c r="AA149" i="21"/>
  <c r="AA284" i="20"/>
  <c r="AG284" i="20" s="1"/>
  <c r="AA285" i="20"/>
  <c r="AG285" i="20" s="1"/>
  <c r="AA337" i="20"/>
  <c r="AG337" i="20" s="1"/>
  <c r="AA166" i="21"/>
  <c r="AA169" i="21"/>
  <c r="AA361" i="20"/>
  <c r="AG361" i="20" s="1"/>
  <c r="AA190" i="21"/>
  <c r="AA193" i="21"/>
  <c r="AA354" i="20"/>
  <c r="AG354" i="20" s="1"/>
  <c r="AA178" i="21"/>
  <c r="AA181" i="21"/>
  <c r="AA532" i="20"/>
  <c r="AG532" i="20" s="1"/>
  <c r="AA516" i="20"/>
  <c r="L516" i="25" s="1"/>
  <c r="O516" i="25" s="1"/>
  <c r="AA551" i="20"/>
  <c r="AA526" i="20"/>
  <c r="L526" i="25" s="1"/>
  <c r="O526" i="25" s="1"/>
  <c r="AA521" i="20"/>
  <c r="L521" i="25" s="1"/>
  <c r="O521" i="25" s="1"/>
  <c r="AA506" i="20"/>
  <c r="L506" i="25" s="1"/>
  <c r="O506" i="25" s="1"/>
  <c r="AA499" i="20"/>
  <c r="AG499" i="20" s="1"/>
  <c r="AA563" i="20"/>
  <c r="L570" i="25" s="1"/>
  <c r="AA549" i="20"/>
  <c r="AG549" i="20" s="1"/>
  <c r="AA391" i="20"/>
  <c r="AG391" i="20" s="1"/>
  <c r="AA393" i="20"/>
  <c r="AG393" i="20" s="1"/>
  <c r="AA381" i="20"/>
  <c r="AG381" i="20" s="1"/>
  <c r="AA208" i="21"/>
  <c r="AA199" i="21"/>
  <c r="AA215" i="21"/>
  <c r="AA257" i="20"/>
  <c r="AG257" i="20" s="1"/>
  <c r="AA579" i="20"/>
  <c r="L579" i="25" s="1"/>
  <c r="O579" i="25" s="1"/>
  <c r="AA189" i="20"/>
  <c r="AG189" i="20" s="1"/>
  <c r="AA569" i="20"/>
  <c r="AG569" i="20" s="1"/>
  <c r="AA340" i="20"/>
  <c r="AG340" i="20" s="1"/>
  <c r="AA345" i="20"/>
  <c r="AG345" i="20" s="1"/>
  <c r="AA359" i="20"/>
  <c r="AG359" i="20" s="1"/>
  <c r="AA369" i="20"/>
  <c r="AG369" i="20" s="1"/>
  <c r="AA192" i="21"/>
  <c r="AA372" i="20"/>
  <c r="AG372" i="20" s="1"/>
  <c r="AA389" i="20"/>
  <c r="AG389" i="20" s="1"/>
  <c r="AA201" i="21"/>
  <c r="AA217" i="21"/>
  <c r="AA581" i="20"/>
  <c r="AG581" i="20" s="1"/>
  <c r="AA168" i="21"/>
  <c r="AA370" i="20"/>
  <c r="AG370" i="20" s="1"/>
  <c r="AA210" i="21"/>
  <c r="U5" i="28"/>
  <c r="U47" i="28" s="1"/>
  <c r="K9" i="30" s="1"/>
  <c r="AA266" i="20"/>
  <c r="AG266" i="20" s="1"/>
  <c r="AA468" i="20"/>
  <c r="AA479" i="20"/>
  <c r="L479" i="25" s="1"/>
  <c r="O479" i="25" s="1"/>
  <c r="AA473" i="20"/>
  <c r="L473" i="25" s="1"/>
  <c r="O473" i="25" s="1"/>
  <c r="AA429" i="20"/>
  <c r="AG429" i="20" s="1"/>
  <c r="AA404" i="20"/>
  <c r="AG404" i="20" s="1"/>
  <c r="AA398" i="20"/>
  <c r="AG398" i="20" s="1"/>
  <c r="AA465" i="20"/>
  <c r="AG465" i="20" s="1"/>
  <c r="AA403" i="20"/>
  <c r="L403" i="25" s="1"/>
  <c r="O403" i="25" s="1"/>
  <c r="AA453" i="20"/>
  <c r="AA15" i="20"/>
  <c r="AG15" i="20" s="1"/>
  <c r="AA135" i="20"/>
  <c r="AG135" i="20" s="1"/>
  <c r="AA2" i="20"/>
  <c r="AG2" i="20" s="1"/>
  <c r="AA11" i="20"/>
  <c r="L11" i="25" s="1"/>
  <c r="O11" i="25" s="1"/>
  <c r="AA329" i="20"/>
  <c r="AG329" i="20" s="1"/>
  <c r="AA150" i="21"/>
  <c r="AA153" i="21"/>
  <c r="AA286" i="20"/>
  <c r="AA335" i="20"/>
  <c r="AG335" i="20" s="1"/>
  <c r="AA338" i="20"/>
  <c r="AG338" i="20" s="1"/>
  <c r="AA170" i="21"/>
  <c r="AA360" i="20"/>
  <c r="AG360" i="20" s="1"/>
  <c r="AA362" i="20"/>
  <c r="AG362" i="20" s="1"/>
  <c r="AA194" i="21"/>
  <c r="AA356" i="20"/>
  <c r="AG356" i="20" s="1"/>
  <c r="AA355" i="20"/>
  <c r="AG355" i="20" s="1"/>
  <c r="AA182" i="21"/>
  <c r="AA528" i="20"/>
  <c r="AG528" i="20" s="1"/>
  <c r="AA492" i="20"/>
  <c r="AG492" i="20" s="1"/>
  <c r="AA559" i="20"/>
  <c r="AG559" i="20" s="1"/>
  <c r="AA520" i="20"/>
  <c r="AG520" i="20" s="1"/>
  <c r="AA542" i="20"/>
  <c r="AG542" i="20" s="1"/>
  <c r="AA537" i="20"/>
  <c r="AG537" i="20" s="1"/>
  <c r="AA522" i="20"/>
  <c r="AA515" i="20"/>
  <c r="AG515" i="20" s="1"/>
  <c r="AA501" i="20"/>
  <c r="AG501" i="20" s="1"/>
  <c r="AA376" i="20"/>
  <c r="AG376" i="20" s="1"/>
  <c r="AA392" i="20"/>
  <c r="AG392" i="20" s="1"/>
  <c r="AA378" i="20"/>
  <c r="AG378" i="20" s="1"/>
  <c r="AA196" i="21"/>
  <c r="AA212" i="21"/>
  <c r="AA203" i="21"/>
  <c r="AA262" i="20"/>
  <c r="L262" i="25" s="1"/>
  <c r="O262" i="25" s="1"/>
  <c r="AA251" i="20"/>
  <c r="AG251" i="20" s="1"/>
  <c r="AA182" i="20"/>
  <c r="AG182" i="20" s="1"/>
  <c r="AA85" i="21"/>
  <c r="AA567" i="20"/>
  <c r="AG567" i="20" s="1"/>
  <c r="AA339" i="20"/>
  <c r="AG339" i="20" s="1"/>
  <c r="AA364" i="20"/>
  <c r="AG364" i="20" s="1"/>
  <c r="AA183" i="21"/>
  <c r="AA375" i="20"/>
  <c r="AG375" i="20" s="1"/>
  <c r="AA386" i="20"/>
  <c r="AG386" i="20" s="1"/>
  <c r="AA214" i="21"/>
  <c r="AA343" i="20"/>
  <c r="AG343" i="20" s="1"/>
  <c r="AA159" i="21"/>
  <c r="AA363" i="20"/>
  <c r="AG363" i="20" s="1"/>
  <c r="AA374" i="20"/>
  <c r="AG374" i="20" s="1"/>
  <c r="AA198" i="21"/>
  <c r="AA205" i="21"/>
  <c r="AA263" i="20"/>
  <c r="L263" i="25" s="1"/>
  <c r="O263" i="25" s="1"/>
  <c r="AA268" i="20"/>
  <c r="L268" i="25" s="1"/>
  <c r="O268" i="25" s="1"/>
  <c r="AA471" i="20"/>
  <c r="AG471" i="20" s="1"/>
  <c r="AA422" i="20"/>
  <c r="AG422" i="20" s="1"/>
  <c r="AA426" i="20"/>
  <c r="AG426" i="20" s="1"/>
  <c r="AA477" i="20"/>
  <c r="L477" i="25" s="1"/>
  <c r="O477" i="25" s="1"/>
  <c r="AA400" i="20"/>
  <c r="AA454" i="20"/>
  <c r="AG454" i="20" s="1"/>
  <c r="AA402" i="20"/>
  <c r="AG402" i="20" s="1"/>
  <c r="AA451" i="20"/>
  <c r="L451" i="25" s="1"/>
  <c r="O451" i="25" s="1"/>
  <c r="AA5" i="20"/>
  <c r="AG5" i="20" s="1"/>
  <c r="AA137" i="20"/>
  <c r="AG137" i="20" s="1"/>
  <c r="AA128" i="20"/>
  <c r="AG128" i="20" s="1"/>
  <c r="AA18" i="20"/>
  <c r="AG18" i="20" s="1"/>
  <c r="AA133" i="20"/>
  <c r="AA330" i="20"/>
  <c r="AG330" i="20" s="1"/>
  <c r="AA154" i="21"/>
  <c r="AA157" i="21"/>
  <c r="AA282" i="20"/>
  <c r="AG282" i="20" s="1"/>
  <c r="AA344" i="20"/>
  <c r="AG344" i="20" s="1"/>
  <c r="AA341" i="20"/>
  <c r="AG341" i="20" s="1"/>
  <c r="AA367" i="20"/>
  <c r="AG367" i="20" s="1"/>
  <c r="AA365" i="20"/>
  <c r="AG365" i="20" s="1"/>
  <c r="AA351" i="20"/>
  <c r="AG351" i="20" s="1"/>
  <c r="AA357" i="20"/>
  <c r="AG357" i="20" s="1"/>
  <c r="AA524" i="20"/>
  <c r="AG524" i="20" s="1"/>
  <c r="AA535" i="20"/>
  <c r="AG535" i="20" s="1"/>
  <c r="AA496" i="20"/>
  <c r="L496" i="25" s="1"/>
  <c r="O496" i="25" s="1"/>
  <c r="AA494" i="20"/>
  <c r="AG494" i="20" s="1"/>
  <c r="AA558" i="20"/>
  <c r="AG558" i="20" s="1"/>
  <c r="AA553" i="20"/>
  <c r="AA538" i="20"/>
  <c r="L538" i="25" s="1"/>
  <c r="O538" i="25" s="1"/>
  <c r="AA531" i="20"/>
  <c r="L531" i="25" s="1"/>
  <c r="O531" i="25" s="1"/>
  <c r="AA517" i="20"/>
  <c r="AG517" i="20" s="1"/>
  <c r="AA383" i="20"/>
  <c r="AG383" i="20" s="1"/>
  <c r="AA382" i="20"/>
  <c r="AG382" i="20" s="1"/>
  <c r="AA371" i="20"/>
  <c r="AG371" i="20" s="1"/>
  <c r="AA200" i="21"/>
  <c r="AA216" i="21"/>
  <c r="AA207" i="21"/>
  <c r="AA261" i="20"/>
  <c r="AG261" i="20" s="1"/>
  <c r="AA252" i="20"/>
  <c r="AG252" i="20" s="1"/>
  <c r="AA114" i="21"/>
  <c r="AA565" i="20"/>
  <c r="AG565" i="20" s="1"/>
  <c r="AA435" i="20"/>
  <c r="AG435" i="20" s="1"/>
  <c r="AA578" i="20"/>
  <c r="AA217" i="20"/>
  <c r="AG217" i="20" s="1"/>
  <c r="AA112" i="21"/>
  <c r="AA219" i="20"/>
  <c r="AG219" i="20" s="1"/>
  <c r="AA572" i="20"/>
  <c r="AG572" i="20" s="1"/>
  <c r="AA223" i="20"/>
  <c r="AG223" i="20" s="1"/>
  <c r="AA113" i="21"/>
  <c r="AA118" i="21"/>
  <c r="AA221" i="21"/>
  <c r="AA570" i="20"/>
  <c r="AG570" i="20" s="1"/>
  <c r="AA440" i="20"/>
  <c r="L440" i="25" s="1"/>
  <c r="O440" i="25" s="1"/>
  <c r="AA584" i="20"/>
  <c r="AG584" i="20" s="1"/>
  <c r="AA76" i="21"/>
  <c r="AA116" i="21"/>
  <c r="AA74" i="21"/>
  <c r="AA574" i="20"/>
  <c r="AG574" i="20" s="1"/>
  <c r="AA433" i="20"/>
  <c r="AG433" i="20" s="1"/>
  <c r="AA117" i="21"/>
  <c r="AA218" i="20"/>
  <c r="AG218" i="20" s="1"/>
  <c r="AA179" i="20"/>
  <c r="AG179" i="20" s="1"/>
  <c r="AA448" i="20"/>
  <c r="L448" i="25" s="1"/>
  <c r="O448" i="25" s="1"/>
  <c r="AA486" i="20"/>
  <c r="L486" i="25" s="1"/>
  <c r="O486" i="25" s="1"/>
  <c r="AA490" i="20"/>
  <c r="L490" i="25" s="1"/>
  <c r="O490" i="25" s="1"/>
  <c r="AA582" i="20"/>
  <c r="L582" i="25" s="1"/>
  <c r="O582" i="25" s="1"/>
  <c r="AA111" i="21"/>
  <c r="AA84" i="21"/>
  <c r="AA81" i="21"/>
  <c r="AA186" i="20"/>
  <c r="AG186" i="20" s="1"/>
  <c r="AA77" i="21"/>
  <c r="AA110" i="21"/>
  <c r="AA228" i="21"/>
  <c r="AA571" i="20"/>
  <c r="AG571" i="20" s="1"/>
  <c r="AA222" i="21"/>
  <c r="AA439" i="20"/>
  <c r="L439" i="25" s="1"/>
  <c r="O439" i="25" s="1"/>
  <c r="AA431" i="20"/>
  <c r="AG431" i="20" s="1"/>
  <c r="AA441" i="20"/>
  <c r="L441" i="25" s="1"/>
  <c r="O441" i="25" s="1"/>
  <c r="AA443" i="20"/>
  <c r="AG443" i="20" s="1"/>
  <c r="AA585" i="20"/>
  <c r="AG585" i="20" s="1"/>
  <c r="AA190" i="20"/>
  <c r="AG190" i="20" s="1"/>
  <c r="AA185" i="20"/>
  <c r="AG185" i="20" s="1"/>
  <c r="AA188" i="20"/>
  <c r="AG188" i="20" s="1"/>
  <c r="AA80" i="21"/>
  <c r="AA115" i="21"/>
  <c r="AA82" i="21"/>
  <c r="AA573" i="20"/>
  <c r="AG573" i="20" s="1"/>
  <c r="AA226" i="21"/>
  <c r="AA229" i="21"/>
  <c r="AA480" i="20"/>
  <c r="L480" i="25" s="1"/>
  <c r="O480" i="25" s="1"/>
  <c r="AA444" i="20"/>
  <c r="L444" i="25" s="1"/>
  <c r="O444" i="25" s="1"/>
  <c r="AA481" i="20"/>
  <c r="AG481" i="20" s="1"/>
  <c r="AA483" i="20"/>
  <c r="AG483" i="20" s="1"/>
  <c r="AA487" i="20"/>
  <c r="AG487" i="20" s="1"/>
  <c r="AA432" i="20"/>
  <c r="AA489" i="20"/>
  <c r="AG489" i="20" s="1"/>
  <c r="AA491" i="20"/>
  <c r="AG491" i="20" s="1"/>
  <c r="AA576" i="20"/>
  <c r="L576" i="25" s="1"/>
  <c r="AA586" i="20"/>
  <c r="AG586" i="20" s="1"/>
  <c r="AA224" i="20"/>
  <c r="AG224" i="20" s="1"/>
  <c r="AA79" i="21"/>
  <c r="AA215" i="20"/>
  <c r="AG215" i="20" s="1"/>
  <c r="AA181" i="20"/>
  <c r="AG181" i="20" s="1"/>
  <c r="AA121" i="21"/>
  <c r="AA187" i="20"/>
  <c r="AG187" i="20" s="1"/>
  <c r="AA568" i="20"/>
  <c r="AG568" i="20" s="1"/>
  <c r="AA230" i="21"/>
  <c r="AA575" i="20"/>
  <c r="AG575" i="20" s="1"/>
  <c r="AA447" i="20"/>
  <c r="AG447" i="20" s="1"/>
  <c r="AA436" i="20"/>
  <c r="L436" i="25" s="1"/>
  <c r="O436" i="25" s="1"/>
  <c r="AA434" i="20"/>
  <c r="AA437" i="20"/>
  <c r="AG437" i="20" s="1"/>
  <c r="AA488" i="20"/>
  <c r="AG488" i="20" s="1"/>
  <c r="AA438" i="20"/>
  <c r="AG438" i="20" s="1"/>
  <c r="AA442" i="20"/>
  <c r="L442" i="25" s="1"/>
  <c r="O442" i="25" s="1"/>
  <c r="AA445" i="20"/>
  <c r="AG445" i="20" s="1"/>
  <c r="AA583" i="20"/>
  <c r="L583" i="25" s="1"/>
  <c r="O583" i="25" s="1"/>
  <c r="AA587" i="20"/>
  <c r="L587" i="25" s="1"/>
  <c r="O587" i="25" s="1"/>
  <c r="AA226" i="20"/>
  <c r="AG226" i="20" s="1"/>
  <c r="AA120" i="21"/>
  <c r="AA83" i="21"/>
  <c r="AA119" i="21"/>
  <c r="AA216" i="20"/>
  <c r="AG216" i="20" s="1"/>
  <c r="AA220" i="20"/>
  <c r="AG220" i="20" s="1"/>
  <c r="AA220" i="21"/>
  <c r="AA564" i="20"/>
  <c r="AG564" i="20" s="1"/>
  <c r="AA566" i="20"/>
  <c r="AG566" i="20" s="1"/>
  <c r="AA484" i="20"/>
  <c r="AG484" i="20" s="1"/>
  <c r="AA446" i="20"/>
  <c r="L446" i="25" s="1"/>
  <c r="O446" i="25" s="1"/>
  <c r="AA482" i="20"/>
  <c r="AG482" i="20" s="1"/>
  <c r="AA485" i="20"/>
  <c r="AG485" i="20" s="1"/>
  <c r="AA78" i="21"/>
  <c r="AG295" i="20"/>
  <c r="L295" i="25"/>
  <c r="O295" i="25" s="1"/>
  <c r="AG314" i="20"/>
  <c r="L314" i="25"/>
  <c r="O314" i="25" s="1"/>
  <c r="AG468" i="20"/>
  <c r="L468" i="25"/>
  <c r="O468" i="25" s="1"/>
  <c r="AG473" i="20"/>
  <c r="L398" i="25"/>
  <c r="O398" i="25" s="1"/>
  <c r="AG403" i="20"/>
  <c r="AG453" i="20"/>
  <c r="L453" i="25"/>
  <c r="O453" i="25" s="1"/>
  <c r="L135" i="25"/>
  <c r="O135" i="25" s="1"/>
  <c r="AG13" i="20"/>
  <c r="L13" i="25"/>
  <c r="O13" i="25" s="1"/>
  <c r="AG19" i="20"/>
  <c r="L19" i="25"/>
  <c r="O19" i="25" s="1"/>
  <c r="AG511" i="20"/>
  <c r="L511" i="25"/>
  <c r="O511" i="25" s="1"/>
  <c r="AG522" i="20"/>
  <c r="L522" i="25"/>
  <c r="O522" i="25" s="1"/>
  <c r="L251" i="25"/>
  <c r="AG582" i="20"/>
  <c r="AG318" i="20"/>
  <c r="L318" i="25"/>
  <c r="O318" i="25" s="1"/>
  <c r="AG296" i="20"/>
  <c r="L296" i="25"/>
  <c r="O296" i="25" s="1"/>
  <c r="AG289" i="20"/>
  <c r="L289" i="25"/>
  <c r="O289" i="25" s="1"/>
  <c r="AG479" i="20"/>
  <c r="AG297" i="20"/>
  <c r="L297" i="25"/>
  <c r="O297" i="25" s="1"/>
  <c r="AG291" i="20"/>
  <c r="L291" i="25"/>
  <c r="O291" i="25" s="1"/>
  <c r="AG267" i="20"/>
  <c r="L267" i="25"/>
  <c r="O267" i="25" s="1"/>
  <c r="AG428" i="20"/>
  <c r="L428" i="25"/>
  <c r="O428" i="25" s="1"/>
  <c r="AG407" i="20"/>
  <c r="L407" i="25"/>
  <c r="O407" i="25" s="1"/>
  <c r="L406" i="25"/>
  <c r="O406" i="25" s="1"/>
  <c r="AG394" i="20"/>
  <c r="L394" i="25"/>
  <c r="AG461" i="20"/>
  <c r="AG6" i="20"/>
  <c r="AG133" i="20"/>
  <c r="L133" i="25"/>
  <c r="O133" i="25" s="1"/>
  <c r="AG278" i="20"/>
  <c r="L278" i="25"/>
  <c r="O278" i="25" s="1"/>
  <c r="AG527" i="20"/>
  <c r="L527" i="25"/>
  <c r="O527" i="25" s="1"/>
  <c r="AG495" i="20"/>
  <c r="L495" i="25"/>
  <c r="O495" i="25" s="1"/>
  <c r="L560" i="25"/>
  <c r="O560" i="25" s="1"/>
  <c r="AG545" i="20"/>
  <c r="L545" i="25"/>
  <c r="O545" i="25" s="1"/>
  <c r="AG530" i="20"/>
  <c r="L530" i="25"/>
  <c r="O530" i="25" s="1"/>
  <c r="AG523" i="20"/>
  <c r="L523" i="25"/>
  <c r="O523" i="25" s="1"/>
  <c r="AG440" i="20"/>
  <c r="AG253" i="20"/>
  <c r="L253" i="25"/>
  <c r="O253" i="25" s="1"/>
  <c r="AG259" i="20"/>
  <c r="L259" i="25"/>
  <c r="O259" i="25" s="1"/>
  <c r="L577" i="25"/>
  <c r="O577" i="25" s="1"/>
  <c r="AG463" i="20"/>
  <c r="L463" i="25"/>
  <c r="O463" i="25" s="1"/>
  <c r="AG304" i="20"/>
  <c r="L304" i="25"/>
  <c r="O304" i="25" s="1"/>
  <c r="AG317" i="20"/>
  <c r="L317" i="25"/>
  <c r="O317" i="25" s="1"/>
  <c r="L266" i="25"/>
  <c r="O266" i="25" s="1"/>
  <c r="AG319" i="20"/>
  <c r="L319" i="25"/>
  <c r="O319" i="25" s="1"/>
  <c r="AG300" i="20"/>
  <c r="L300" i="25"/>
  <c r="O300" i="25" s="1"/>
  <c r="AG287" i="20"/>
  <c r="L390" i="25"/>
  <c r="O390" i="25" s="1"/>
  <c r="L386" i="25"/>
  <c r="L382" i="25"/>
  <c r="L378" i="25"/>
  <c r="L374" i="25"/>
  <c r="L370" i="25"/>
  <c r="L393" i="25"/>
  <c r="O393" i="25" s="1"/>
  <c r="L389" i="25"/>
  <c r="L385" i="25"/>
  <c r="O385" i="25" s="1"/>
  <c r="L381" i="25"/>
  <c r="L377" i="25"/>
  <c r="L387" i="25"/>
  <c r="L379" i="25"/>
  <c r="L392" i="25"/>
  <c r="L384" i="25"/>
  <c r="L376" i="25"/>
  <c r="O376" i="25" s="1"/>
  <c r="L372" i="25"/>
  <c r="L391" i="25"/>
  <c r="L383" i="25"/>
  <c r="L380" i="25"/>
  <c r="L375" i="25"/>
  <c r="L287" i="25"/>
  <c r="O287" i="25" s="1"/>
  <c r="L388" i="25"/>
  <c r="O388" i="25" s="1"/>
  <c r="L373" i="25"/>
  <c r="L371" i="25"/>
  <c r="AG305" i="20"/>
  <c r="L305" i="25"/>
  <c r="O305" i="25" s="1"/>
  <c r="AG299" i="20"/>
  <c r="L299" i="25"/>
  <c r="O299" i="25" s="1"/>
  <c r="AG263" i="20"/>
  <c r="AG268" i="20"/>
  <c r="AG477" i="20"/>
  <c r="AG400" i="20"/>
  <c r="L400" i="25"/>
  <c r="O400" i="25" s="1"/>
  <c r="L402" i="25"/>
  <c r="O402" i="25" s="1"/>
  <c r="AG451" i="20"/>
  <c r="L8" i="25"/>
  <c r="O8" i="25" s="1"/>
  <c r="L2" i="25"/>
  <c r="AG286" i="20"/>
  <c r="L286" i="25"/>
  <c r="O286" i="25" s="1"/>
  <c r="L528" i="25"/>
  <c r="O528" i="25" s="1"/>
  <c r="AG516" i="20"/>
  <c r="AG553" i="20"/>
  <c r="L553" i="25"/>
  <c r="O553" i="25" s="1"/>
  <c r="AG538" i="20"/>
  <c r="AG439" i="20"/>
  <c r="L261" i="25"/>
  <c r="O261" i="25" s="1"/>
  <c r="AG265" i="20"/>
  <c r="AG320" i="20"/>
  <c r="L320" i="25"/>
  <c r="O320" i="25" s="1"/>
  <c r="AG307" i="20"/>
  <c r="L307" i="25"/>
  <c r="O307" i="25" s="1"/>
  <c r="AG472" i="20"/>
  <c r="L472" i="25"/>
  <c r="O472" i="25" s="1"/>
  <c r="AG464" i="20"/>
  <c r="AG408" i="20"/>
  <c r="AG462" i="20"/>
  <c r="L7" i="25"/>
  <c r="O7" i="25" s="1"/>
  <c r="AG16" i="20"/>
  <c r="L16" i="25"/>
  <c r="O16" i="25" s="1"/>
  <c r="AG281" i="20"/>
  <c r="L281" i="25"/>
  <c r="O281" i="25" s="1"/>
  <c r="AG551" i="20"/>
  <c r="L551" i="25"/>
  <c r="O551" i="25" s="1"/>
  <c r="L518" i="25"/>
  <c r="O518" i="25" s="1"/>
  <c r="AG561" i="20"/>
  <c r="L561" i="25"/>
  <c r="O561" i="25" s="1"/>
  <c r="AG546" i="20"/>
  <c r="L546" i="25"/>
  <c r="O546" i="25" s="1"/>
  <c r="L539" i="25"/>
  <c r="O539" i="25" s="1"/>
  <c r="AG256" i="20"/>
  <c r="L256" i="25"/>
  <c r="O256" i="25" s="1"/>
  <c r="AG260" i="20"/>
  <c r="L260" i="25"/>
  <c r="O260" i="25" s="1"/>
  <c r="AG578" i="20"/>
  <c r="L578" i="25"/>
  <c r="O578" i="25" s="1"/>
  <c r="AG311" i="20"/>
  <c r="L311" i="25"/>
  <c r="O311" i="25" s="1"/>
  <c r="AG424" i="20"/>
  <c r="L424" i="25"/>
  <c r="O424" i="25" s="1"/>
  <c r="AG413" i="20"/>
  <c r="L413" i="25"/>
  <c r="O413" i="25" s="1"/>
  <c r="AG308" i="20"/>
  <c r="L308" i="25"/>
  <c r="O308" i="25" s="1"/>
  <c r="AG313" i="20"/>
  <c r="L313" i="25"/>
  <c r="O313" i="25" s="1"/>
  <c r="L269" i="25"/>
  <c r="O269" i="25" s="1"/>
  <c r="AG430" i="20"/>
  <c r="L430" i="25"/>
  <c r="O430" i="25" s="1"/>
  <c r="AG312" i="20"/>
  <c r="L312" i="25"/>
  <c r="O312" i="25" s="1"/>
  <c r="AG294" i="20"/>
  <c r="L294" i="25"/>
  <c r="O294" i="25" s="1"/>
  <c r="AG321" i="20"/>
  <c r="L321" i="25"/>
  <c r="O321" i="25" s="1"/>
  <c r="L315" i="25"/>
  <c r="O315" i="25" s="1"/>
  <c r="AG273" i="20"/>
  <c r="L273" i="25"/>
  <c r="O273" i="25" s="1"/>
  <c r="AG476" i="20"/>
  <c r="AG470" i="20"/>
  <c r="AG450" i="20"/>
  <c r="AG467" i="20"/>
  <c r="L467" i="25"/>
  <c r="O467" i="25" s="1"/>
  <c r="AG14" i="20"/>
  <c r="L14" i="25"/>
  <c r="O14" i="25" s="1"/>
  <c r="AG505" i="20"/>
  <c r="AG554" i="20"/>
  <c r="L554" i="25"/>
  <c r="O554" i="25" s="1"/>
  <c r="L547" i="25"/>
  <c r="O547" i="25" s="1"/>
  <c r="AG432" i="20"/>
  <c r="L432" i="25"/>
  <c r="O432" i="25" s="1"/>
  <c r="L489" i="25"/>
  <c r="O489" i="25" s="1"/>
  <c r="AG316" i="20"/>
  <c r="L316" i="25"/>
  <c r="O316" i="25" s="1"/>
  <c r="AG290" i="20"/>
  <c r="L290" i="25"/>
  <c r="O290" i="25" s="1"/>
  <c r="AG274" i="20"/>
  <c r="AG420" i="20"/>
  <c r="L420" i="25"/>
  <c r="O420" i="25" s="1"/>
  <c r="L427" i="25"/>
  <c r="O427" i="25" s="1"/>
  <c r="AG412" i="20"/>
  <c r="L412" i="25"/>
  <c r="O412" i="25" s="1"/>
  <c r="AG409" i="20"/>
  <c r="L409" i="25"/>
  <c r="O409" i="25" s="1"/>
  <c r="AG458" i="20"/>
  <c r="L458" i="25"/>
  <c r="O458" i="25" s="1"/>
  <c r="AG134" i="20"/>
  <c r="L134" i="25"/>
  <c r="O134" i="25" s="1"/>
  <c r="L138" i="25"/>
  <c r="O138" i="25" s="1"/>
  <c r="AG136" i="20"/>
  <c r="AG276" i="20"/>
  <c r="L276" i="25"/>
  <c r="O276" i="25" s="1"/>
  <c r="AG275" i="20"/>
  <c r="AG544" i="20"/>
  <c r="AG512" i="20"/>
  <c r="L512" i="25"/>
  <c r="O512" i="25" s="1"/>
  <c r="L504" i="25"/>
  <c r="O504" i="25" s="1"/>
  <c r="AG498" i="20"/>
  <c r="AG562" i="20"/>
  <c r="L562" i="25"/>
  <c r="O562" i="25" s="1"/>
  <c r="AG555" i="20"/>
  <c r="L555" i="25"/>
  <c r="O555" i="25" s="1"/>
  <c r="AG533" i="20"/>
  <c r="AG436" i="20"/>
  <c r="AG434" i="20"/>
  <c r="L434" i="25"/>
  <c r="O434" i="25" s="1"/>
  <c r="L437" i="25"/>
  <c r="O437" i="25" s="1"/>
  <c r="AG255" i="20"/>
  <c r="L255" i="25"/>
  <c r="O255" i="25" s="1"/>
  <c r="L580" i="25"/>
  <c r="O580" i="25" s="1"/>
  <c r="AG288" i="20"/>
  <c r="L288" i="25"/>
  <c r="O288" i="25" s="1"/>
  <c r="AG303" i="20"/>
  <c r="L303" i="25"/>
  <c r="O303" i="25" s="1"/>
  <c r="AG310" i="20"/>
  <c r="L310" i="25"/>
  <c r="O310" i="25" s="1"/>
  <c r="AG298" i="20"/>
  <c r="L298" i="25"/>
  <c r="O298" i="25" s="1"/>
  <c r="AG301" i="20"/>
  <c r="L301" i="25"/>
  <c r="O301" i="25" s="1"/>
  <c r="AG264" i="20"/>
  <c r="L264" i="25"/>
  <c r="O264" i="25" s="1"/>
  <c r="L475" i="25"/>
  <c r="O475" i="25" s="1"/>
  <c r="AG399" i="20"/>
  <c r="L399" i="25"/>
  <c r="O399" i="25" s="1"/>
  <c r="AG466" i="20"/>
  <c r="L466" i="25"/>
  <c r="O466" i="25" s="1"/>
  <c r="AG279" i="20"/>
  <c r="L279" i="25"/>
  <c r="O279" i="25" s="1"/>
  <c r="AG283" i="20"/>
  <c r="L345" i="25"/>
  <c r="O345" i="25" s="1"/>
  <c r="L365" i="25"/>
  <c r="O365" i="25" s="1"/>
  <c r="L323" i="25"/>
  <c r="O323" i="25" s="1"/>
  <c r="L348" i="25"/>
  <c r="O348" i="25" s="1"/>
  <c r="L368" i="25"/>
  <c r="O368" i="25" s="1"/>
  <c r="L325" i="25"/>
  <c r="O325" i="25" s="1"/>
  <c r="AG521" i="20"/>
  <c r="AG506" i="20"/>
  <c r="AG563" i="20"/>
  <c r="L563" i="25"/>
  <c r="O563" i="25" s="1"/>
  <c r="AG541" i="20"/>
  <c r="AG587" i="20"/>
  <c r="AG306" i="20"/>
  <c r="L306" i="25"/>
  <c r="O306" i="25" s="1"/>
  <c r="AG425" i="20"/>
  <c r="L425" i="25"/>
  <c r="O425" i="25" s="1"/>
  <c r="AG280" i="20"/>
  <c r="L280" i="25"/>
  <c r="O280" i="25" s="1"/>
  <c r="AG277" i="20"/>
  <c r="L277" i="25"/>
  <c r="O277" i="25" s="1"/>
  <c r="AG548" i="20"/>
  <c r="L548" i="25"/>
  <c r="O548" i="25" s="1"/>
  <c r="AG519" i="20"/>
  <c r="L519" i="25"/>
  <c r="O519" i="25" s="1"/>
  <c r="AG550" i="20"/>
  <c r="L550" i="25"/>
  <c r="O550" i="25" s="1"/>
  <c r="AG514" i="20"/>
  <c r="AG258" i="20"/>
  <c r="L258" i="25"/>
  <c r="O258" i="25" s="1"/>
  <c r="L584" i="25"/>
  <c r="O584" i="25" s="1"/>
  <c r="Y5" i="17"/>
  <c r="X43" i="17"/>
  <c r="Y5" i="16"/>
  <c r="X43" i="16"/>
  <c r="L293" i="25" l="1"/>
  <c r="O293" i="25" s="1"/>
  <c r="L487" i="25"/>
  <c r="O487" i="25" s="1"/>
  <c r="L292" i="25"/>
  <c r="O292" i="25" s="1"/>
  <c r="AG480" i="20"/>
  <c r="L302" i="25"/>
  <c r="O302" i="25" s="1"/>
  <c r="AG460" i="20"/>
  <c r="AG309" i="20"/>
  <c r="AP3" i="20" s="1"/>
  <c r="L513" i="25"/>
  <c r="O513" i="25" s="1"/>
  <c r="L431" i="25"/>
  <c r="O431" i="25" s="1"/>
  <c r="L218" i="25"/>
  <c r="O218" i="25" s="1"/>
  <c r="AG131" i="20"/>
  <c r="L491" i="25"/>
  <c r="O491" i="25" s="1"/>
  <c r="AG531" i="20"/>
  <c r="AG469" i="20"/>
  <c r="L418" i="25"/>
  <c r="O418" i="25" s="1"/>
  <c r="L3" i="25"/>
  <c r="O3" i="25" s="1"/>
  <c r="AG583" i="20"/>
  <c r="AG395" i="20"/>
  <c r="AG556" i="20"/>
  <c r="L534" i="25"/>
  <c r="O534" i="25" s="1"/>
  <c r="L272" i="25"/>
  <c r="O272" i="25" s="1"/>
  <c r="L18" i="25"/>
  <c r="O18" i="25" s="1"/>
  <c r="L497" i="25"/>
  <c r="O497" i="25" s="1"/>
  <c r="L552" i="25"/>
  <c r="O552" i="25" s="1"/>
  <c r="O389" i="25"/>
  <c r="L501" i="25"/>
  <c r="O501" i="25" s="1"/>
  <c r="L502" i="25"/>
  <c r="O502" i="25" s="1"/>
  <c r="L411" i="25"/>
  <c r="O411" i="25" s="1"/>
  <c r="AG490" i="20"/>
  <c r="L543" i="25"/>
  <c r="O543" i="25" s="1"/>
  <c r="L449" i="25"/>
  <c r="O449" i="25" s="1"/>
  <c r="L271" i="25"/>
  <c r="O271" i="25" s="1"/>
  <c r="L270" i="25"/>
  <c r="O270" i="25" s="1"/>
  <c r="L585" i="25"/>
  <c r="O585" i="25" s="1"/>
  <c r="O374" i="25"/>
  <c r="L537" i="25"/>
  <c r="O537" i="25" s="1"/>
  <c r="L581" i="25"/>
  <c r="O581" i="25" s="1"/>
  <c r="L435" i="25"/>
  <c r="O435" i="25" s="1"/>
  <c r="L558" i="25"/>
  <c r="O558" i="25" s="1"/>
  <c r="O391" i="25"/>
  <c r="O386" i="25"/>
  <c r="AG10" i="20"/>
  <c r="L397" i="25"/>
  <c r="O397" i="25" s="1"/>
  <c r="L457" i="25"/>
  <c r="O457" i="25" s="1"/>
  <c r="L443" i="25"/>
  <c r="O443" i="25" s="1"/>
  <c r="AG579" i="20"/>
  <c r="L503" i="25"/>
  <c r="O503" i="25" s="1"/>
  <c r="O373" i="25"/>
  <c r="L478" i="25"/>
  <c r="O478" i="25" s="1"/>
  <c r="AG525" i="20"/>
  <c r="L557" i="25"/>
  <c r="O557" i="25" s="1"/>
  <c r="O379" i="25"/>
  <c r="AP4" i="20"/>
  <c r="AQ4" i="20" s="1"/>
  <c r="L529" i="25"/>
  <c r="O529" i="25" s="1"/>
  <c r="L186" i="25"/>
  <c r="O186" i="25" s="1"/>
  <c r="L500" i="25"/>
  <c r="O500" i="25" s="1"/>
  <c r="L396" i="25"/>
  <c r="O396" i="25" s="1"/>
  <c r="L4" i="25"/>
  <c r="O4" i="25" s="1"/>
  <c r="L509" i="25"/>
  <c r="O509" i="25" s="1"/>
  <c r="L226" i="25"/>
  <c r="O226" i="25" s="1"/>
  <c r="L183" i="25"/>
  <c r="O183" i="25" s="1"/>
  <c r="L129" i="25"/>
  <c r="O129" i="25" s="1"/>
  <c r="AG576" i="20"/>
  <c r="AP6" i="20" s="1"/>
  <c r="AQ6" i="20" s="1"/>
  <c r="L517" i="25"/>
  <c r="O517" i="25" s="1"/>
  <c r="L252" i="25"/>
  <c r="O252" i="25" s="1"/>
  <c r="L414" i="25"/>
  <c r="O414" i="25" s="1"/>
  <c r="L429" i="25"/>
  <c r="O429" i="25" s="1"/>
  <c r="L415" i="25"/>
  <c r="O415" i="25" s="1"/>
  <c r="L187" i="25"/>
  <c r="O187" i="25" s="1"/>
  <c r="L492" i="25"/>
  <c r="O492" i="25" s="1"/>
  <c r="L17" i="25"/>
  <c r="O17" i="25" s="1"/>
  <c r="L419" i="25"/>
  <c r="O419" i="25" s="1"/>
  <c r="L459" i="25"/>
  <c r="O459" i="25" s="1"/>
  <c r="AG442" i="20"/>
  <c r="AC10" i="25"/>
  <c r="L219" i="25"/>
  <c r="O219" i="25" s="1"/>
  <c r="L5" i="25"/>
  <c r="O5" i="25" s="1"/>
  <c r="L485" i="25"/>
  <c r="O485" i="25" s="1"/>
  <c r="AG11" i="20"/>
  <c r="L405" i="25"/>
  <c r="O405" i="25" s="1"/>
  <c r="L132" i="25"/>
  <c r="O132" i="25" s="1"/>
  <c r="L410" i="25"/>
  <c r="O410" i="25" s="1"/>
  <c r="L284" i="25"/>
  <c r="O284" i="25" s="1"/>
  <c r="L499" i="25"/>
  <c r="O499" i="25" s="1"/>
  <c r="L524" i="25"/>
  <c r="O524" i="25" s="1"/>
  <c r="AG526" i="20"/>
  <c r="AG12" i="20"/>
  <c r="O375" i="25"/>
  <c r="L484" i="25"/>
  <c r="O484" i="25" s="1"/>
  <c r="L455" i="25"/>
  <c r="O455" i="25" s="1"/>
  <c r="L515" i="25"/>
  <c r="O515" i="25" s="1"/>
  <c r="O381" i="25"/>
  <c r="L433" i="25"/>
  <c r="O433" i="25" s="1"/>
  <c r="L254" i="25"/>
  <c r="O254" i="25" s="1"/>
  <c r="L15" i="25"/>
  <c r="O15" i="25" s="1"/>
  <c r="L536" i="25"/>
  <c r="O536" i="25" s="1"/>
  <c r="L474" i="25"/>
  <c r="O474" i="25" s="1"/>
  <c r="AG262" i="20"/>
  <c r="O570" i="25"/>
  <c r="O340" i="25"/>
  <c r="L454" i="25"/>
  <c r="O454" i="25" s="1"/>
  <c r="O384" i="25"/>
  <c r="L331" i="25"/>
  <c r="O331" i="25" s="1"/>
  <c r="L328" i="25"/>
  <c r="O328" i="25" s="1"/>
  <c r="L351" i="25"/>
  <c r="O351" i="25" s="1"/>
  <c r="AG496" i="20"/>
  <c r="L342" i="25"/>
  <c r="O342" i="25" s="1"/>
  <c r="L333" i="25"/>
  <c r="O333" i="25" s="1"/>
  <c r="L9" i="25"/>
  <c r="O9" i="25" s="1"/>
  <c r="L421" i="25"/>
  <c r="O421" i="25" s="1"/>
  <c r="L493" i="25"/>
  <c r="O493" i="25" s="1"/>
  <c r="L285" i="25"/>
  <c r="O285" i="25" s="1"/>
  <c r="L404" i="25"/>
  <c r="O404" i="25" s="1"/>
  <c r="L574" i="25"/>
  <c r="O574" i="25" s="1"/>
  <c r="L336" i="25"/>
  <c r="O336" i="25" s="1"/>
  <c r="L359" i="25"/>
  <c r="O359" i="25" s="1"/>
  <c r="L350" i="25"/>
  <c r="O350" i="25" s="1"/>
  <c r="L356" i="25"/>
  <c r="O356" i="25" s="1"/>
  <c r="L215" i="25"/>
  <c r="O215" i="25" s="1"/>
  <c r="L188" i="25"/>
  <c r="O188" i="25" s="1"/>
  <c r="L185" i="25"/>
  <c r="O185" i="25" s="1"/>
  <c r="L257" i="25"/>
  <c r="O257" i="25" s="1"/>
  <c r="L568" i="25"/>
  <c r="O568" i="25" s="1"/>
  <c r="L564" i="25"/>
  <c r="O564" i="25" s="1"/>
  <c r="L535" i="25"/>
  <c r="O535" i="25" s="1"/>
  <c r="L341" i="25"/>
  <c r="O341" i="25" s="1"/>
  <c r="L358" i="25"/>
  <c r="O358" i="25" s="1"/>
  <c r="L364" i="25"/>
  <c r="O364" i="25" s="1"/>
  <c r="L339" i="25"/>
  <c r="O339" i="25" s="1"/>
  <c r="L366" i="25"/>
  <c r="O366" i="25" s="1"/>
  <c r="L361" i="25"/>
  <c r="O361" i="25" s="1"/>
  <c r="L223" i="25"/>
  <c r="O223" i="25" s="1"/>
  <c r="L220" i="25"/>
  <c r="O220" i="25" s="1"/>
  <c r="L217" i="25"/>
  <c r="O217" i="25" s="1"/>
  <c r="L520" i="25"/>
  <c r="O520" i="25" s="1"/>
  <c r="O392" i="25"/>
  <c r="L326" i="25"/>
  <c r="O326" i="25" s="1"/>
  <c r="L569" i="25"/>
  <c r="O569" i="25" s="1"/>
  <c r="L572" i="25"/>
  <c r="O572" i="25" s="1"/>
  <c r="L347" i="25"/>
  <c r="O347" i="25" s="1"/>
  <c r="L327" i="25"/>
  <c r="O327" i="25" s="1"/>
  <c r="L369" i="25"/>
  <c r="O369" i="25" s="1"/>
  <c r="L344" i="25"/>
  <c r="O344" i="25" s="1"/>
  <c r="L324" i="25"/>
  <c r="O324" i="25" s="1"/>
  <c r="L367" i="25"/>
  <c r="O367" i="25" s="1"/>
  <c r="L140" i="25"/>
  <c r="O140" i="25" s="1"/>
  <c r="L182" i="25"/>
  <c r="O182" i="25" s="1"/>
  <c r="L181" i="25"/>
  <c r="O181" i="25" s="1"/>
  <c r="L225" i="25"/>
  <c r="O225" i="25" s="1"/>
  <c r="L423" i="25"/>
  <c r="O423" i="25" s="1"/>
  <c r="L282" i="25"/>
  <c r="O282" i="25" s="1"/>
  <c r="L130" i="25"/>
  <c r="O130" i="25" s="1"/>
  <c r="L422" i="25"/>
  <c r="O422" i="25" s="1"/>
  <c r="L540" i="25"/>
  <c r="O540" i="25" s="1"/>
  <c r="L334" i="25"/>
  <c r="O334" i="25" s="1"/>
  <c r="L507" i="25"/>
  <c r="O507" i="25" s="1"/>
  <c r="L445" i="25"/>
  <c r="O445" i="25" s="1"/>
  <c r="L571" i="25"/>
  <c r="O571" i="25" s="1"/>
  <c r="L567" i="25"/>
  <c r="O567" i="25" s="1"/>
  <c r="L362" i="25"/>
  <c r="O362" i="25" s="1"/>
  <c r="L352" i="25"/>
  <c r="O352" i="25" s="1"/>
  <c r="L332" i="25"/>
  <c r="O332" i="25" s="1"/>
  <c r="L322" i="25"/>
  <c r="O322" i="25" s="1"/>
  <c r="L349" i="25"/>
  <c r="O349" i="25" s="1"/>
  <c r="L329" i="25"/>
  <c r="O329" i="25" s="1"/>
  <c r="AG358" i="20"/>
  <c r="L180" i="25"/>
  <c r="O180" i="25" s="1"/>
  <c r="L190" i="25"/>
  <c r="O190" i="25" s="1"/>
  <c r="L189" i="25"/>
  <c r="O189" i="25" s="1"/>
  <c r="AG140" i="20"/>
  <c r="O380" i="25"/>
  <c r="O387" i="25"/>
  <c r="O378" i="25"/>
  <c r="L565" i="25"/>
  <c r="O565" i="25" s="1"/>
  <c r="L575" i="25"/>
  <c r="O575" i="25" s="1"/>
  <c r="L330" i="25"/>
  <c r="O330" i="25" s="1"/>
  <c r="L357" i="25"/>
  <c r="O357" i="25" s="1"/>
  <c r="L337" i="25"/>
  <c r="O337" i="25" s="1"/>
  <c r="L338" i="25"/>
  <c r="O338" i="25" s="1"/>
  <c r="L355" i="25"/>
  <c r="O355" i="25" s="1"/>
  <c r="L335" i="25"/>
  <c r="O335" i="25" s="1"/>
  <c r="L184" i="25"/>
  <c r="O184" i="25" s="1"/>
  <c r="L216" i="25"/>
  <c r="O216" i="25" s="1"/>
  <c r="L221" i="25"/>
  <c r="O221" i="25" s="1"/>
  <c r="L137" i="25"/>
  <c r="O137" i="25" s="1"/>
  <c r="L416" i="25"/>
  <c r="O416" i="25" s="1"/>
  <c r="L559" i="25"/>
  <c r="O559" i="25" s="1"/>
  <c r="L452" i="25"/>
  <c r="O452" i="25" s="1"/>
  <c r="L456" i="25"/>
  <c r="O456" i="25" s="1"/>
  <c r="L471" i="25"/>
  <c r="O471" i="25" s="1"/>
  <c r="O383" i="25"/>
  <c r="O377" i="25"/>
  <c r="O382" i="25"/>
  <c r="AG486" i="20"/>
  <c r="L508" i="25"/>
  <c r="O508" i="25" s="1"/>
  <c r="L566" i="25"/>
  <c r="O566" i="25" s="1"/>
  <c r="L353" i="25"/>
  <c r="O353" i="25" s="1"/>
  <c r="L573" i="25"/>
  <c r="O573" i="25" s="1"/>
  <c r="L346" i="25"/>
  <c r="O346" i="25" s="1"/>
  <c r="L363" i="25"/>
  <c r="O363" i="25" s="1"/>
  <c r="L343" i="25"/>
  <c r="O343" i="25" s="1"/>
  <c r="L354" i="25"/>
  <c r="O354" i="25" s="1"/>
  <c r="L360" i="25"/>
  <c r="O360" i="25" s="1"/>
  <c r="L222" i="25"/>
  <c r="O222" i="25" s="1"/>
  <c r="L224" i="25"/>
  <c r="O224" i="25" s="1"/>
  <c r="AG448" i="20"/>
  <c r="L128" i="25"/>
  <c r="O128" i="25" s="1"/>
  <c r="L426" i="25"/>
  <c r="O426" i="25" s="1"/>
  <c r="L532" i="25"/>
  <c r="O532" i="25" s="1"/>
  <c r="K11" i="30"/>
  <c r="M11" i="30" s="1"/>
  <c r="L482" i="25"/>
  <c r="O482" i="25" s="1"/>
  <c r="L447" i="25"/>
  <c r="O447" i="25" s="1"/>
  <c r="K7" i="30"/>
  <c r="M7" i="30" s="1"/>
  <c r="M13" i="30" s="1"/>
  <c r="L438" i="25"/>
  <c r="O438" i="25" s="1"/>
  <c r="L542" i="25"/>
  <c r="O542" i="25" s="1"/>
  <c r="L401" i="25"/>
  <c r="O401" i="25" s="1"/>
  <c r="L465" i="25"/>
  <c r="O465" i="25" s="1"/>
  <c r="L139" i="25"/>
  <c r="O139" i="25" s="1"/>
  <c r="L417" i="25"/>
  <c r="O417" i="25" s="1"/>
  <c r="L510" i="25"/>
  <c r="O510" i="25" s="1"/>
  <c r="L549" i="25"/>
  <c r="O549" i="25" s="1"/>
  <c r="L494" i="25"/>
  <c r="O494" i="25" s="1"/>
  <c r="O371" i="25"/>
  <c r="O372" i="25"/>
  <c r="AG446" i="20"/>
  <c r="AG441" i="20"/>
  <c r="L488" i="25"/>
  <c r="O488" i="25" s="1"/>
  <c r="L483" i="25"/>
  <c r="O483" i="25" s="1"/>
  <c r="L586" i="25"/>
  <c r="O586" i="25" s="1"/>
  <c r="O179" i="25"/>
  <c r="L481" i="25"/>
  <c r="O481" i="25" s="1"/>
  <c r="M9" i="30"/>
  <c r="K15" i="30"/>
  <c r="K14" i="30"/>
  <c r="AG444" i="20"/>
  <c r="O2" i="25"/>
  <c r="O394" i="25"/>
  <c r="O251" i="25"/>
  <c r="T10" i="25"/>
  <c r="O370" i="25"/>
  <c r="O576" i="25"/>
  <c r="AC12" i="25"/>
  <c r="Y43" i="16"/>
  <c r="AB5" i="16"/>
  <c r="AB43" i="16" s="1"/>
  <c r="Y43" i="17"/>
  <c r="AB5" i="17"/>
  <c r="W12" i="25" l="1"/>
  <c r="G5" i="32"/>
  <c r="G10" i="32"/>
  <c r="AC9" i="25"/>
  <c r="T12" i="25"/>
  <c r="Z12" i="25" s="1"/>
  <c r="AH12" i="25" s="1"/>
  <c r="T9" i="25"/>
  <c r="AC11" i="25"/>
  <c r="K13" i="30"/>
  <c r="T11" i="25"/>
  <c r="AP5" i="20"/>
  <c r="AQ5" i="20" s="1"/>
  <c r="W10" i="25"/>
  <c r="Z10" i="25" s="1"/>
  <c r="AH10" i="25" s="1"/>
  <c r="W9" i="25"/>
  <c r="W11" i="25"/>
  <c r="Z11" i="25" s="1"/>
  <c r="AH11" i="25" s="1"/>
  <c r="AQ3" i="20"/>
  <c r="M15" i="30"/>
  <c r="M14" i="30"/>
  <c r="AA249" i="20"/>
  <c r="AG249" i="20" s="1"/>
  <c r="AA241" i="20"/>
  <c r="AG241" i="20" s="1"/>
  <c r="AA211" i="20"/>
  <c r="AG211" i="20" s="1"/>
  <c r="AA203" i="20"/>
  <c r="AG203" i="20" s="1"/>
  <c r="AA143" i="21"/>
  <c r="AA137" i="21"/>
  <c r="AA134" i="21"/>
  <c r="AA207" i="20"/>
  <c r="AG207" i="20" s="1"/>
  <c r="AA246" i="20"/>
  <c r="AG246" i="20" s="1"/>
  <c r="AA208" i="20"/>
  <c r="AG208" i="20" s="1"/>
  <c r="AA109" i="21"/>
  <c r="AA100" i="21"/>
  <c r="AA245" i="20"/>
  <c r="AG245" i="20" s="1"/>
  <c r="AA107" i="21"/>
  <c r="AA243" i="20"/>
  <c r="AG243" i="20" s="1"/>
  <c r="AA213" i="20"/>
  <c r="AG213" i="20" s="1"/>
  <c r="AA205" i="20"/>
  <c r="AG205" i="20" s="1"/>
  <c r="AA141" i="21"/>
  <c r="AA106" i="21"/>
  <c r="AA103" i="21"/>
  <c r="AA248" i="20"/>
  <c r="AG248" i="20" s="1"/>
  <c r="AA240" i="20"/>
  <c r="AG240" i="20" s="1"/>
  <c r="AA210" i="20"/>
  <c r="AG210" i="20" s="1"/>
  <c r="AA144" i="21"/>
  <c r="AA138" i="21"/>
  <c r="AA135" i="21"/>
  <c r="AA101" i="21"/>
  <c r="AA250" i="20"/>
  <c r="AG250" i="20" s="1"/>
  <c r="AA242" i="20"/>
  <c r="AG242" i="20" s="1"/>
  <c r="AA212" i="20"/>
  <c r="AA204" i="20"/>
  <c r="AG204" i="20" s="1"/>
  <c r="AA145" i="21"/>
  <c r="AA142" i="21"/>
  <c r="AA139" i="21"/>
  <c r="AA104" i="21"/>
  <c r="AA98" i="21"/>
  <c r="AA105" i="21"/>
  <c r="AA247" i="20"/>
  <c r="AG247" i="20" s="1"/>
  <c r="AA239" i="20"/>
  <c r="AG239" i="20" s="1"/>
  <c r="AA209" i="20"/>
  <c r="AG209" i="20" s="1"/>
  <c r="AA136" i="21"/>
  <c r="AA108" i="21"/>
  <c r="AA244" i="20"/>
  <c r="AG244" i="20" s="1"/>
  <c r="AA214" i="20"/>
  <c r="AG214" i="20" s="1"/>
  <c r="AA206" i="20"/>
  <c r="AG206" i="20" s="1"/>
  <c r="AA140" i="21"/>
  <c r="AA102" i="21"/>
  <c r="AA99" i="21"/>
  <c r="AB43" i="17"/>
  <c r="AA172" i="20"/>
  <c r="AA164" i="20"/>
  <c r="AA53" i="20"/>
  <c r="AA45" i="20"/>
  <c r="AA55" i="20"/>
  <c r="AA171" i="20"/>
  <c r="AA52" i="20"/>
  <c r="AA44" i="20"/>
  <c r="AA175" i="20"/>
  <c r="AA48" i="20"/>
  <c r="AA166" i="20"/>
  <c r="AA178" i="20"/>
  <c r="AA170" i="20"/>
  <c r="AA51" i="20"/>
  <c r="AA43" i="20"/>
  <c r="AA177" i="20"/>
  <c r="AA169" i="20"/>
  <c r="AA50" i="20"/>
  <c r="AA42" i="20"/>
  <c r="AA47" i="20"/>
  <c r="AG212" i="20"/>
  <c r="AA176" i="20"/>
  <c r="AA168" i="20"/>
  <c r="AA49" i="20"/>
  <c r="AA41" i="20"/>
  <c r="AA174" i="20"/>
  <c r="AA39" i="20"/>
  <c r="AA173" i="20"/>
  <c r="AA165" i="20"/>
  <c r="AA54" i="20"/>
  <c r="AA46" i="20"/>
  <c r="AA38" i="20"/>
  <c r="AA167" i="20"/>
  <c r="AA40" i="20"/>
  <c r="Z9" i="25" l="1"/>
  <c r="AH9" i="25" s="1"/>
  <c r="AP8" i="20"/>
  <c r="AQ8" i="20" s="1"/>
  <c r="AG167" i="20"/>
  <c r="L167" i="25"/>
  <c r="O167" i="25" s="1"/>
  <c r="AG55" i="20"/>
  <c r="L55" i="25"/>
  <c r="O55" i="25" s="1"/>
  <c r="AG38" i="20"/>
  <c r="L38" i="25"/>
  <c r="AG174" i="20"/>
  <c r="L174" i="25"/>
  <c r="O174" i="25" s="1"/>
  <c r="AG47" i="20"/>
  <c r="L47" i="25"/>
  <c r="O47" i="25" s="1"/>
  <c r="AG43" i="20"/>
  <c r="L43" i="25"/>
  <c r="O43" i="25" s="1"/>
  <c r="AG166" i="20"/>
  <c r="L166" i="25"/>
  <c r="O166" i="25" s="1"/>
  <c r="AG171" i="20"/>
  <c r="L171" i="25"/>
  <c r="O171" i="25" s="1"/>
  <c r="AG42" i="20"/>
  <c r="L42" i="25"/>
  <c r="O42" i="25" s="1"/>
  <c r="AG51" i="20"/>
  <c r="L51" i="25"/>
  <c r="O51" i="25" s="1"/>
  <c r="AG54" i="20"/>
  <c r="L54" i="25"/>
  <c r="O54" i="25" s="1"/>
  <c r="AG49" i="20"/>
  <c r="L49" i="25"/>
  <c r="O49" i="25" s="1"/>
  <c r="AG50" i="20"/>
  <c r="L50" i="25"/>
  <c r="O50" i="25" s="1"/>
  <c r="AG170" i="20"/>
  <c r="L170" i="25"/>
  <c r="O170" i="25" s="1"/>
  <c r="AG175" i="20"/>
  <c r="L175" i="25"/>
  <c r="O175" i="25" s="1"/>
  <c r="AG45" i="20"/>
  <c r="L45" i="25"/>
  <c r="O45" i="25" s="1"/>
  <c r="AG40" i="20"/>
  <c r="L40" i="25"/>
  <c r="O40" i="25" s="1"/>
  <c r="AG172" i="20"/>
  <c r="L172" i="25"/>
  <c r="O172" i="25" s="1"/>
  <c r="AG41" i="20"/>
  <c r="L41" i="25"/>
  <c r="O41" i="25" s="1"/>
  <c r="AG48" i="20"/>
  <c r="L48" i="25"/>
  <c r="O48" i="25" s="1"/>
  <c r="AG165" i="20"/>
  <c r="L165" i="25"/>
  <c r="O165" i="25" s="1"/>
  <c r="AG168" i="20"/>
  <c r="L168" i="25"/>
  <c r="O168" i="25" s="1"/>
  <c r="AG169" i="20"/>
  <c r="L169" i="25"/>
  <c r="O169" i="25" s="1"/>
  <c r="AG178" i="20"/>
  <c r="L249" i="25"/>
  <c r="O249" i="25" s="1"/>
  <c r="L241" i="25"/>
  <c r="O241" i="25" s="1"/>
  <c r="L209" i="25"/>
  <c r="O209" i="25" s="1"/>
  <c r="L246" i="25"/>
  <c r="O246" i="25" s="1"/>
  <c r="L243" i="25"/>
  <c r="O243" i="25" s="1"/>
  <c r="L211" i="25"/>
  <c r="O211" i="25" s="1"/>
  <c r="L203" i="25"/>
  <c r="O203" i="25" s="1"/>
  <c r="L245" i="25"/>
  <c r="O245" i="25" s="1"/>
  <c r="L213" i="25"/>
  <c r="O213" i="25" s="1"/>
  <c r="L205" i="25"/>
  <c r="O205" i="25" s="1"/>
  <c r="L244" i="25"/>
  <c r="O244" i="25" s="1"/>
  <c r="L212" i="25"/>
  <c r="O212" i="25" s="1"/>
  <c r="L204" i="25"/>
  <c r="O204" i="25" s="1"/>
  <c r="L240" i="25"/>
  <c r="O240" i="25" s="1"/>
  <c r="L208" i="25"/>
  <c r="O208" i="25" s="1"/>
  <c r="L248" i="25"/>
  <c r="O248" i="25" s="1"/>
  <c r="L239" i="25"/>
  <c r="O239" i="25" s="1"/>
  <c r="L207" i="25"/>
  <c r="O207" i="25" s="1"/>
  <c r="L247" i="25"/>
  <c r="O247" i="25" s="1"/>
  <c r="L242" i="25"/>
  <c r="O242" i="25" s="1"/>
  <c r="L210" i="25"/>
  <c r="O210" i="25" s="1"/>
  <c r="L214" i="25"/>
  <c r="O214" i="25" s="1"/>
  <c r="L206" i="25"/>
  <c r="O206" i="25" s="1"/>
  <c r="L250" i="25"/>
  <c r="O250" i="25" s="1"/>
  <c r="L178" i="25"/>
  <c r="O178" i="25" s="1"/>
  <c r="AG44" i="20"/>
  <c r="L44" i="25"/>
  <c r="O44" i="25" s="1"/>
  <c r="AG53" i="20"/>
  <c r="L53" i="25"/>
  <c r="O53" i="25" s="1"/>
  <c r="AG39" i="20"/>
  <c r="L39" i="25"/>
  <c r="O39" i="25" s="1"/>
  <c r="AG46" i="20"/>
  <c r="L46" i="25"/>
  <c r="O46" i="25" s="1"/>
  <c r="AG173" i="20"/>
  <c r="L173" i="25"/>
  <c r="O173" i="25" s="1"/>
  <c r="AG176" i="20"/>
  <c r="L176" i="25"/>
  <c r="O176" i="25" s="1"/>
  <c r="AG177" i="20"/>
  <c r="L177" i="25"/>
  <c r="O177" i="25" s="1"/>
  <c r="AG52" i="20"/>
  <c r="L52" i="25"/>
  <c r="O52" i="25" s="1"/>
  <c r="AG164" i="20"/>
  <c r="L164" i="25"/>
  <c r="O164" i="25" s="1"/>
  <c r="AP2" i="20"/>
  <c r="AQ2" i="20" s="1"/>
  <c r="AC7" i="25" l="1"/>
  <c r="O38" i="25"/>
  <c r="W7" i="25" s="1"/>
  <c r="T7" i="25"/>
  <c r="AP7" i="20"/>
  <c r="AQ7" i="20" s="1"/>
  <c r="Z7" i="25" l="1"/>
  <c r="AH7" i="25" s="1"/>
  <c r="AP9" i="20"/>
  <c r="AQ9" i="20" s="1"/>
  <c r="K2" i="25" l="1"/>
  <c r="N2" i="25"/>
  <c r="K3" i="25"/>
  <c r="N3" i="25"/>
  <c r="K4" i="25"/>
  <c r="N4" i="25"/>
  <c r="K5" i="25"/>
  <c r="N5" i="25"/>
  <c r="K6" i="25"/>
  <c r="N6" i="25"/>
  <c r="K7" i="25"/>
  <c r="N7" i="25"/>
  <c r="R7" i="25"/>
  <c r="S7" i="25"/>
  <c r="U7" i="25"/>
  <c r="V7" i="25"/>
  <c r="X7" i="25"/>
  <c r="Y7" i="25"/>
  <c r="AA7" i="25"/>
  <c r="AB7" i="25"/>
  <c r="AD7" i="25"/>
  <c r="AE7" i="25"/>
  <c r="AF7" i="25"/>
  <c r="AG7" i="25"/>
  <c r="AI7" i="25"/>
  <c r="AJ7" i="25"/>
  <c r="K8" i="25"/>
  <c r="N8" i="25"/>
  <c r="K9" i="25"/>
  <c r="N9" i="25"/>
  <c r="S9" i="25"/>
  <c r="V9" i="25"/>
  <c r="Y9" i="25"/>
  <c r="AB9" i="25"/>
  <c r="AE9" i="25"/>
  <c r="AG9" i="25"/>
  <c r="AJ9" i="25"/>
  <c r="K10" i="25"/>
  <c r="N10" i="25"/>
  <c r="S10" i="25"/>
  <c r="V10" i="25"/>
  <c r="Y10" i="25"/>
  <c r="AB10" i="25"/>
  <c r="AE10" i="25"/>
  <c r="AG10" i="25"/>
  <c r="AJ10" i="25"/>
  <c r="K11" i="25"/>
  <c r="N11" i="25"/>
  <c r="S11" i="25"/>
  <c r="V11" i="25"/>
  <c r="Y11" i="25"/>
  <c r="AB11" i="25"/>
  <c r="AE11" i="25"/>
  <c r="AG11" i="25"/>
  <c r="AJ11" i="25"/>
  <c r="K12" i="25"/>
  <c r="N12" i="25"/>
  <c r="S12" i="25"/>
  <c r="V12" i="25"/>
  <c r="Y12" i="25"/>
  <c r="AB12" i="25"/>
  <c r="AG12" i="25"/>
  <c r="AJ12" i="25"/>
  <c r="K13" i="25"/>
  <c r="N13" i="25"/>
  <c r="K14" i="25"/>
  <c r="N14" i="25"/>
  <c r="K15" i="25"/>
  <c r="N15" i="25"/>
  <c r="K16" i="25"/>
  <c r="N16" i="25"/>
  <c r="K17" i="25"/>
  <c r="N17" i="25"/>
  <c r="K18" i="25"/>
  <c r="N18" i="25"/>
  <c r="K19" i="25"/>
  <c r="N19" i="25"/>
  <c r="J20" i="25"/>
  <c r="M20" i="25"/>
  <c r="J21" i="25"/>
  <c r="M21" i="25"/>
  <c r="J22" i="25"/>
  <c r="M22" i="25"/>
  <c r="J23" i="25"/>
  <c r="M23" i="25"/>
  <c r="J24" i="25"/>
  <c r="M24" i="25"/>
  <c r="J25" i="25"/>
  <c r="M25" i="25"/>
  <c r="J26" i="25"/>
  <c r="M26" i="25"/>
  <c r="J27" i="25"/>
  <c r="M27" i="25"/>
  <c r="J28" i="25"/>
  <c r="M28" i="25"/>
  <c r="J29" i="25"/>
  <c r="M29" i="25"/>
  <c r="J30" i="25"/>
  <c r="M30" i="25"/>
  <c r="J31" i="25"/>
  <c r="M31" i="25"/>
  <c r="J32" i="25"/>
  <c r="M32" i="25"/>
  <c r="J33" i="25"/>
  <c r="M33" i="25"/>
  <c r="J34" i="25"/>
  <c r="M34" i="25"/>
  <c r="J35" i="25"/>
  <c r="M35" i="25"/>
  <c r="J36" i="25"/>
  <c r="M36" i="25"/>
  <c r="J37" i="25"/>
  <c r="M37" i="25"/>
  <c r="K38" i="25"/>
  <c r="N38" i="25"/>
  <c r="K39" i="25"/>
  <c r="N39" i="25"/>
  <c r="K40" i="25"/>
  <c r="N40" i="25"/>
  <c r="K41" i="25"/>
  <c r="N41" i="25"/>
  <c r="K42" i="25"/>
  <c r="N42" i="25"/>
  <c r="K43" i="25"/>
  <c r="N43" i="25"/>
  <c r="K44" i="25"/>
  <c r="N44" i="25"/>
  <c r="K45" i="25"/>
  <c r="N45" i="25"/>
  <c r="K46" i="25"/>
  <c r="N46" i="25"/>
  <c r="K47" i="25"/>
  <c r="N47" i="25"/>
  <c r="K48" i="25"/>
  <c r="N48" i="25"/>
  <c r="K49" i="25"/>
  <c r="N49" i="25"/>
  <c r="K50" i="25"/>
  <c r="N50" i="25"/>
  <c r="K51" i="25"/>
  <c r="N51" i="25"/>
  <c r="K52" i="25"/>
  <c r="N52" i="25"/>
  <c r="K53" i="25"/>
  <c r="N53" i="25"/>
  <c r="K54" i="25"/>
  <c r="N54" i="25"/>
  <c r="K55" i="25"/>
  <c r="N55" i="25"/>
  <c r="K56" i="25"/>
  <c r="N56" i="25"/>
  <c r="K57" i="25"/>
  <c r="N57" i="25"/>
  <c r="K58" i="25"/>
  <c r="N58" i="25"/>
  <c r="K59" i="25"/>
  <c r="N59" i="25"/>
  <c r="K60" i="25"/>
  <c r="N60" i="25"/>
  <c r="K61" i="25"/>
  <c r="N61" i="25"/>
  <c r="K62" i="25"/>
  <c r="N62" i="25"/>
  <c r="K63" i="25"/>
  <c r="N63" i="25"/>
  <c r="K64" i="25"/>
  <c r="N64" i="25"/>
  <c r="K65" i="25"/>
  <c r="N65" i="25"/>
  <c r="K66" i="25"/>
  <c r="N66" i="25"/>
  <c r="K67" i="25"/>
  <c r="N67" i="25"/>
  <c r="K68" i="25"/>
  <c r="N68" i="25"/>
  <c r="K69" i="25"/>
  <c r="N69" i="25"/>
  <c r="K70" i="25"/>
  <c r="N70" i="25"/>
  <c r="K71" i="25"/>
  <c r="N71" i="25"/>
  <c r="K72" i="25"/>
  <c r="N72" i="25"/>
  <c r="K73" i="25"/>
  <c r="N73" i="25"/>
  <c r="K74" i="25"/>
  <c r="N74" i="25"/>
  <c r="K75" i="25"/>
  <c r="N75" i="25"/>
  <c r="K76" i="25"/>
  <c r="N76" i="25"/>
  <c r="K77" i="25"/>
  <c r="N77" i="25"/>
  <c r="K78" i="25"/>
  <c r="N78" i="25"/>
  <c r="K79" i="25"/>
  <c r="N79" i="25"/>
  <c r="J80" i="25"/>
  <c r="M80" i="25"/>
  <c r="J81" i="25"/>
  <c r="M81" i="25"/>
  <c r="J82" i="25"/>
  <c r="M82" i="25"/>
  <c r="J83" i="25"/>
  <c r="M83" i="25"/>
  <c r="J84" i="25"/>
  <c r="M84" i="25"/>
  <c r="J85" i="25"/>
  <c r="M85" i="25"/>
  <c r="J86" i="25"/>
  <c r="M86" i="25"/>
  <c r="J87" i="25"/>
  <c r="M87" i="25"/>
  <c r="J88" i="25"/>
  <c r="M88" i="25"/>
  <c r="J89" i="25"/>
  <c r="M89" i="25"/>
  <c r="J90" i="25"/>
  <c r="M90" i="25"/>
  <c r="J91" i="25"/>
  <c r="M91" i="25"/>
  <c r="J92" i="25"/>
  <c r="M92" i="25"/>
  <c r="J93" i="25"/>
  <c r="M93" i="25"/>
  <c r="J94" i="25"/>
  <c r="M94" i="25"/>
  <c r="J95" i="25"/>
  <c r="M95" i="25"/>
  <c r="J96" i="25"/>
  <c r="M96" i="25"/>
  <c r="J97" i="25"/>
  <c r="M97" i="25"/>
  <c r="J98" i="25"/>
  <c r="M98" i="25"/>
  <c r="J99" i="25"/>
  <c r="M99" i="25"/>
  <c r="J100" i="25"/>
  <c r="M100" i="25"/>
  <c r="J101" i="25"/>
  <c r="M101" i="25"/>
  <c r="J102" i="25"/>
  <c r="M102" i="25"/>
  <c r="J103" i="25"/>
  <c r="M103" i="25"/>
  <c r="K104" i="25"/>
  <c r="N104" i="25"/>
  <c r="K105" i="25"/>
  <c r="N105" i="25"/>
  <c r="K106" i="25"/>
  <c r="N106" i="25"/>
  <c r="K107" i="25"/>
  <c r="N107" i="25"/>
  <c r="K108" i="25"/>
  <c r="N108" i="25"/>
  <c r="K109" i="25"/>
  <c r="N109" i="25"/>
  <c r="K110" i="25"/>
  <c r="N110" i="25"/>
  <c r="K111" i="25"/>
  <c r="N111" i="25"/>
  <c r="K112" i="25"/>
  <c r="N112" i="25"/>
  <c r="K113" i="25"/>
  <c r="N113" i="25"/>
  <c r="K114" i="25"/>
  <c r="N114" i="25"/>
  <c r="K115" i="25"/>
  <c r="N115" i="25"/>
  <c r="K116" i="25"/>
  <c r="N116" i="25"/>
  <c r="K117" i="25"/>
  <c r="N117" i="25"/>
  <c r="K118" i="25"/>
  <c r="N118" i="25"/>
  <c r="K119" i="25"/>
  <c r="N119" i="25"/>
  <c r="K120" i="25"/>
  <c r="N120" i="25"/>
  <c r="K121" i="25"/>
  <c r="N121" i="25"/>
  <c r="K122" i="25"/>
  <c r="N122" i="25"/>
  <c r="K123" i="25"/>
  <c r="N123" i="25"/>
  <c r="K124" i="25"/>
  <c r="N124" i="25"/>
  <c r="K125" i="25"/>
  <c r="N125" i="25"/>
  <c r="K126" i="25"/>
  <c r="N126" i="25"/>
  <c r="K127" i="25"/>
  <c r="N127" i="25"/>
  <c r="K128" i="25"/>
  <c r="N128" i="25"/>
  <c r="K129" i="25"/>
  <c r="N129" i="25"/>
  <c r="K130" i="25"/>
  <c r="N130" i="25"/>
  <c r="K131" i="25"/>
  <c r="N131" i="25"/>
  <c r="K132" i="25"/>
  <c r="N132" i="25"/>
  <c r="K133" i="25"/>
  <c r="N133" i="25"/>
  <c r="K134" i="25"/>
  <c r="N134" i="25"/>
  <c r="K135" i="25"/>
  <c r="N135" i="25"/>
  <c r="K136" i="25"/>
  <c r="N136" i="25"/>
  <c r="K137" i="25"/>
  <c r="N137" i="25"/>
  <c r="K138" i="25"/>
  <c r="N138" i="25"/>
  <c r="K139" i="25"/>
  <c r="N139" i="25"/>
  <c r="K140" i="25"/>
  <c r="N140" i="25"/>
  <c r="J141" i="25"/>
  <c r="M141" i="25"/>
  <c r="J142" i="25"/>
  <c r="M142" i="25"/>
  <c r="J143" i="25"/>
  <c r="M143" i="25"/>
  <c r="J144" i="25"/>
  <c r="M144" i="25"/>
  <c r="J145" i="25"/>
  <c r="M145" i="25"/>
  <c r="J146" i="25"/>
  <c r="M146" i="25"/>
  <c r="J147" i="25"/>
  <c r="M147" i="25"/>
  <c r="J148" i="25"/>
  <c r="M148" i="25"/>
  <c r="J149" i="25"/>
  <c r="M149" i="25"/>
  <c r="J150" i="25"/>
  <c r="M150" i="25"/>
  <c r="J151" i="25"/>
  <c r="M151" i="25"/>
  <c r="J152" i="25"/>
  <c r="M152" i="25"/>
  <c r="J153" i="25"/>
  <c r="M153" i="25"/>
  <c r="J154" i="25"/>
  <c r="M154" i="25"/>
  <c r="J155" i="25"/>
  <c r="M155" i="25"/>
  <c r="J156" i="25"/>
  <c r="M156" i="25"/>
  <c r="J157" i="25"/>
  <c r="M157" i="25"/>
  <c r="J158" i="25"/>
  <c r="M158" i="25"/>
  <c r="J159" i="25"/>
  <c r="M159" i="25"/>
  <c r="J160" i="25"/>
  <c r="M160" i="25"/>
  <c r="J161" i="25"/>
  <c r="M161" i="25"/>
  <c r="J162" i="25"/>
  <c r="M162" i="25"/>
  <c r="J163" i="25"/>
  <c r="M163" i="25"/>
  <c r="K164" i="25"/>
  <c r="N164" i="25"/>
  <c r="K165" i="25"/>
  <c r="N165" i="25"/>
  <c r="K166" i="25"/>
  <c r="N166" i="25"/>
  <c r="K167" i="25"/>
  <c r="N167" i="25"/>
  <c r="K168" i="25"/>
  <c r="N168" i="25"/>
  <c r="K169" i="25"/>
  <c r="N169" i="25"/>
  <c r="K170" i="25"/>
  <c r="N170" i="25"/>
  <c r="K171" i="25"/>
  <c r="N171" i="25"/>
  <c r="K172" i="25"/>
  <c r="N172" i="25"/>
  <c r="K173" i="25"/>
  <c r="N173" i="25"/>
  <c r="K174" i="25"/>
  <c r="N174" i="25"/>
  <c r="K175" i="25"/>
  <c r="N175" i="25"/>
  <c r="K176" i="25"/>
  <c r="N176" i="25"/>
  <c r="K177" i="25"/>
  <c r="N177" i="25"/>
  <c r="K178" i="25"/>
  <c r="N178" i="25"/>
  <c r="K179" i="25"/>
  <c r="N179" i="25"/>
  <c r="K180" i="25"/>
  <c r="N180" i="25"/>
  <c r="K181" i="25"/>
  <c r="N181" i="25"/>
  <c r="K182" i="25"/>
  <c r="N182" i="25"/>
  <c r="K183" i="25"/>
  <c r="N183" i="25"/>
  <c r="K184" i="25"/>
  <c r="N184" i="25"/>
  <c r="K185" i="25"/>
  <c r="N185" i="25"/>
  <c r="K186" i="25"/>
  <c r="N186" i="25"/>
  <c r="K187" i="25"/>
  <c r="N187" i="25"/>
  <c r="K188" i="25"/>
  <c r="N188" i="25"/>
  <c r="K189" i="25"/>
  <c r="N189" i="25"/>
  <c r="K190" i="25"/>
  <c r="N190" i="25"/>
  <c r="J191" i="25"/>
  <c r="M191" i="25"/>
  <c r="J192" i="25"/>
  <c r="M192" i="25"/>
  <c r="J193" i="25"/>
  <c r="M193" i="25"/>
  <c r="J194" i="25"/>
  <c r="M194" i="25"/>
  <c r="J195" i="25"/>
  <c r="M195" i="25"/>
  <c r="J196" i="25"/>
  <c r="M196" i="25"/>
  <c r="J197" i="25"/>
  <c r="M197" i="25"/>
  <c r="J198" i="25"/>
  <c r="M198" i="25"/>
  <c r="J199" i="25"/>
  <c r="M199" i="25"/>
  <c r="J200" i="25"/>
  <c r="M200" i="25"/>
  <c r="J201" i="25"/>
  <c r="M201" i="25"/>
  <c r="J202" i="25"/>
  <c r="M202" i="25"/>
  <c r="K203" i="25"/>
  <c r="N203" i="25"/>
  <c r="K204" i="25"/>
  <c r="N204" i="25"/>
  <c r="K205" i="25"/>
  <c r="N205" i="25"/>
  <c r="K206" i="25"/>
  <c r="N206" i="25"/>
  <c r="K207" i="25"/>
  <c r="N207" i="25"/>
  <c r="K208" i="25"/>
  <c r="N208" i="25"/>
  <c r="K209" i="25"/>
  <c r="N209" i="25"/>
  <c r="K210" i="25"/>
  <c r="N210" i="25"/>
  <c r="K211" i="25"/>
  <c r="N211" i="25"/>
  <c r="K212" i="25"/>
  <c r="N212" i="25"/>
  <c r="K213" i="25"/>
  <c r="N213" i="25"/>
  <c r="K214" i="25"/>
  <c r="N214" i="25"/>
  <c r="K215" i="25"/>
  <c r="N215" i="25"/>
  <c r="K216" i="25"/>
  <c r="N216" i="25"/>
  <c r="K217" i="25"/>
  <c r="N217" i="25"/>
  <c r="K218" i="25"/>
  <c r="N218" i="25"/>
  <c r="K219" i="25"/>
  <c r="N219" i="25"/>
  <c r="K220" i="25"/>
  <c r="N220" i="25"/>
  <c r="K221" i="25"/>
  <c r="N221" i="25"/>
  <c r="K222" i="25"/>
  <c r="N222" i="25"/>
  <c r="K223" i="25"/>
  <c r="N223" i="25"/>
  <c r="K224" i="25"/>
  <c r="N224" i="25"/>
  <c r="K225" i="25"/>
  <c r="N225" i="25"/>
  <c r="K226" i="25"/>
  <c r="N226" i="25"/>
  <c r="J227" i="25"/>
  <c r="M227" i="25"/>
  <c r="J228" i="25"/>
  <c r="M228" i="25"/>
  <c r="J229" i="25"/>
  <c r="M229" i="25"/>
  <c r="J230" i="25"/>
  <c r="M230" i="25"/>
  <c r="J231" i="25"/>
  <c r="M231" i="25"/>
  <c r="J232" i="25"/>
  <c r="M232" i="25"/>
  <c r="J233" i="25"/>
  <c r="M233" i="25"/>
  <c r="J234" i="25"/>
  <c r="M234" i="25"/>
  <c r="J235" i="25"/>
  <c r="M235" i="25"/>
  <c r="J236" i="25"/>
  <c r="M236" i="25"/>
  <c r="J237" i="25"/>
  <c r="M237" i="25"/>
  <c r="J238" i="25"/>
  <c r="M238" i="25"/>
  <c r="K239" i="25"/>
  <c r="N239" i="25"/>
  <c r="K240" i="25"/>
  <c r="N240" i="25"/>
  <c r="K241" i="25"/>
  <c r="N241" i="25"/>
  <c r="K242" i="25"/>
  <c r="N242" i="25"/>
  <c r="K243" i="25"/>
  <c r="N243" i="25"/>
  <c r="K244" i="25"/>
  <c r="N244" i="25"/>
  <c r="K245" i="25"/>
  <c r="N245" i="25"/>
  <c r="K246" i="25"/>
  <c r="N246" i="25"/>
  <c r="K247" i="25"/>
  <c r="N247" i="25"/>
  <c r="K248" i="25"/>
  <c r="N248" i="25"/>
  <c r="K249" i="25"/>
  <c r="N249" i="25"/>
  <c r="K250" i="25"/>
  <c r="N250" i="25"/>
  <c r="K251" i="25"/>
  <c r="N251" i="25"/>
  <c r="K252" i="25"/>
  <c r="N252" i="25"/>
  <c r="K253" i="25"/>
  <c r="N253" i="25"/>
  <c r="K254" i="25"/>
  <c r="N254" i="25"/>
  <c r="K255" i="25"/>
  <c r="N255" i="25"/>
  <c r="K256" i="25"/>
  <c r="N256" i="25"/>
  <c r="K257" i="25"/>
  <c r="N257" i="25"/>
  <c r="K258" i="25"/>
  <c r="N258" i="25"/>
  <c r="K259" i="25"/>
  <c r="N259" i="25"/>
  <c r="K260" i="25"/>
  <c r="N260" i="25"/>
  <c r="K261" i="25"/>
  <c r="N261" i="25"/>
  <c r="K262" i="25"/>
  <c r="N262" i="25"/>
  <c r="K263" i="25"/>
  <c r="N263" i="25"/>
  <c r="K264" i="25"/>
  <c r="N264" i="25"/>
  <c r="K265" i="25"/>
  <c r="N265" i="25"/>
  <c r="K266" i="25"/>
  <c r="N266" i="25"/>
  <c r="K267" i="25"/>
  <c r="N267" i="25"/>
  <c r="K268" i="25"/>
  <c r="N268" i="25"/>
  <c r="K269" i="25"/>
  <c r="N269" i="25"/>
  <c r="K270" i="25"/>
  <c r="N270" i="25"/>
  <c r="K271" i="25"/>
  <c r="N271" i="25"/>
  <c r="K272" i="25"/>
  <c r="N272" i="25"/>
  <c r="K273" i="25"/>
  <c r="N273" i="25"/>
  <c r="K274" i="25"/>
  <c r="N274" i="25"/>
  <c r="K275" i="25"/>
  <c r="N275" i="25"/>
  <c r="K276" i="25"/>
  <c r="N276" i="25"/>
  <c r="K277" i="25"/>
  <c r="N277" i="25"/>
  <c r="K278" i="25"/>
  <c r="N278" i="25"/>
  <c r="K279" i="25"/>
  <c r="N279" i="25"/>
  <c r="K280" i="25"/>
  <c r="N280" i="25"/>
  <c r="K281" i="25"/>
  <c r="N281" i="25"/>
  <c r="K282" i="25"/>
  <c r="N282" i="25"/>
  <c r="K283" i="25"/>
  <c r="N283" i="25"/>
  <c r="K284" i="25"/>
  <c r="N284" i="25"/>
  <c r="K285" i="25"/>
  <c r="N285" i="25"/>
  <c r="K286" i="25"/>
  <c r="N286" i="25"/>
  <c r="K287" i="25"/>
  <c r="N287" i="25"/>
  <c r="K288" i="25"/>
  <c r="N288" i="25"/>
  <c r="K289" i="25"/>
  <c r="N289" i="25"/>
  <c r="K290" i="25"/>
  <c r="N290" i="25"/>
  <c r="K291" i="25"/>
  <c r="N291" i="25"/>
  <c r="K292" i="25"/>
  <c r="N292" i="25"/>
  <c r="K293" i="25"/>
  <c r="N293" i="25"/>
  <c r="K294" i="25"/>
  <c r="N294" i="25"/>
  <c r="K295" i="25"/>
  <c r="N295" i="25"/>
  <c r="K296" i="25"/>
  <c r="N296" i="25"/>
  <c r="K297" i="25"/>
  <c r="N297" i="25"/>
  <c r="K298" i="25"/>
  <c r="N298" i="25"/>
  <c r="K299" i="25"/>
  <c r="N299" i="25"/>
  <c r="K300" i="25"/>
  <c r="N300" i="25"/>
  <c r="K301" i="25"/>
  <c r="N301" i="25"/>
  <c r="K302" i="25"/>
  <c r="N302" i="25"/>
  <c r="K303" i="25"/>
  <c r="N303" i="25"/>
  <c r="K304" i="25"/>
  <c r="N304" i="25"/>
  <c r="K305" i="25"/>
  <c r="N305" i="25"/>
  <c r="K306" i="25"/>
  <c r="N306" i="25"/>
  <c r="K307" i="25"/>
  <c r="N307" i="25"/>
  <c r="K308" i="25"/>
  <c r="N308" i="25"/>
  <c r="K309" i="25"/>
  <c r="N309" i="25"/>
  <c r="K310" i="25"/>
  <c r="N310" i="25"/>
  <c r="K311" i="25"/>
  <c r="N311" i="25"/>
  <c r="K312" i="25"/>
  <c r="N312" i="25"/>
  <c r="K313" i="25"/>
  <c r="N313" i="25"/>
  <c r="K314" i="25"/>
  <c r="N314" i="25"/>
  <c r="K315" i="25"/>
  <c r="N315" i="25"/>
  <c r="K316" i="25"/>
  <c r="N316" i="25"/>
  <c r="K317" i="25"/>
  <c r="N317" i="25"/>
  <c r="K318" i="25"/>
  <c r="N318" i="25"/>
  <c r="K319" i="25"/>
  <c r="N319" i="25"/>
  <c r="K320" i="25"/>
  <c r="N320" i="25"/>
  <c r="K321" i="25"/>
  <c r="N321" i="25"/>
  <c r="K322" i="25"/>
  <c r="N322" i="25"/>
  <c r="K323" i="25"/>
  <c r="N323" i="25"/>
  <c r="K324" i="25"/>
  <c r="N324" i="25"/>
  <c r="K325" i="25"/>
  <c r="N325" i="25"/>
  <c r="K326" i="25"/>
  <c r="N326" i="25"/>
  <c r="K327" i="25"/>
  <c r="N327" i="25"/>
  <c r="K328" i="25"/>
  <c r="N328" i="25"/>
  <c r="K329" i="25"/>
  <c r="N329" i="25"/>
  <c r="K330" i="25"/>
  <c r="N330" i="25"/>
  <c r="K331" i="25"/>
  <c r="N331" i="25"/>
  <c r="K332" i="25"/>
  <c r="N332" i="25"/>
  <c r="K333" i="25"/>
  <c r="N333" i="25"/>
  <c r="K334" i="25"/>
  <c r="N334" i="25"/>
  <c r="K335" i="25"/>
  <c r="N335" i="25"/>
  <c r="K336" i="25"/>
  <c r="N336" i="25"/>
  <c r="K337" i="25"/>
  <c r="N337" i="25"/>
  <c r="K338" i="25"/>
  <c r="N338" i="25"/>
  <c r="K339" i="25"/>
  <c r="N339" i="25"/>
  <c r="K340" i="25"/>
  <c r="N340" i="25"/>
  <c r="K341" i="25"/>
  <c r="N341" i="25"/>
  <c r="K342" i="25"/>
  <c r="N342" i="25"/>
  <c r="K343" i="25"/>
  <c r="N343" i="25"/>
  <c r="K344" i="25"/>
  <c r="N344" i="25"/>
  <c r="K345" i="25"/>
  <c r="N345" i="25"/>
  <c r="K346" i="25"/>
  <c r="N346" i="25"/>
  <c r="K347" i="25"/>
  <c r="N347" i="25"/>
  <c r="K348" i="25"/>
  <c r="N348" i="25"/>
  <c r="K349" i="25"/>
  <c r="N349" i="25"/>
  <c r="K350" i="25"/>
  <c r="N350" i="25"/>
  <c r="K351" i="25"/>
  <c r="N351" i="25"/>
  <c r="K352" i="25"/>
  <c r="N352" i="25"/>
  <c r="K353" i="25"/>
  <c r="N353" i="25"/>
  <c r="K354" i="25"/>
  <c r="N354" i="25"/>
  <c r="K355" i="25"/>
  <c r="N355" i="25"/>
  <c r="K356" i="25"/>
  <c r="N356" i="25"/>
  <c r="K357" i="25"/>
  <c r="N357" i="25"/>
  <c r="K358" i="25"/>
  <c r="N358" i="25"/>
  <c r="K359" i="25"/>
  <c r="N359" i="25"/>
  <c r="K360" i="25"/>
  <c r="N360" i="25"/>
  <c r="K361" i="25"/>
  <c r="N361" i="25"/>
  <c r="K362" i="25"/>
  <c r="N362" i="25"/>
  <c r="K363" i="25"/>
  <c r="N363" i="25"/>
  <c r="K364" i="25"/>
  <c r="N364" i="25"/>
  <c r="K365" i="25"/>
  <c r="N365" i="25"/>
  <c r="K366" i="25"/>
  <c r="N366" i="25"/>
  <c r="K367" i="25"/>
  <c r="N367" i="25"/>
  <c r="K368" i="25"/>
  <c r="N368" i="25"/>
  <c r="K369" i="25"/>
  <c r="N369" i="25"/>
  <c r="K370" i="25"/>
  <c r="N370" i="25"/>
  <c r="K371" i="25"/>
  <c r="N371" i="25"/>
  <c r="K372" i="25"/>
  <c r="N372" i="25"/>
  <c r="K373" i="25"/>
  <c r="N373" i="25"/>
  <c r="K374" i="25"/>
  <c r="N374" i="25"/>
  <c r="K375" i="25"/>
  <c r="N375" i="25"/>
  <c r="K376" i="25"/>
  <c r="N376" i="25"/>
  <c r="K377" i="25"/>
  <c r="N377" i="25"/>
  <c r="K378" i="25"/>
  <c r="N378" i="25"/>
  <c r="K379" i="25"/>
  <c r="N379" i="25"/>
  <c r="K380" i="25"/>
  <c r="N380" i="25"/>
  <c r="K381" i="25"/>
  <c r="N381" i="25"/>
  <c r="K382" i="25"/>
  <c r="N382" i="25"/>
  <c r="K383" i="25"/>
  <c r="N383" i="25"/>
  <c r="K384" i="25"/>
  <c r="N384" i="25"/>
  <c r="K385" i="25"/>
  <c r="N385" i="25"/>
  <c r="K386" i="25"/>
  <c r="N386" i="25"/>
  <c r="K387" i="25"/>
  <c r="N387" i="25"/>
  <c r="K388" i="25"/>
  <c r="N388" i="25"/>
  <c r="K389" i="25"/>
  <c r="N389" i="25"/>
  <c r="K390" i="25"/>
  <c r="N390" i="25"/>
  <c r="K391" i="25"/>
  <c r="N391" i="25"/>
  <c r="K392" i="25"/>
  <c r="N392" i="25"/>
  <c r="K393" i="25"/>
  <c r="N393" i="25"/>
  <c r="K394" i="25"/>
  <c r="N394" i="25"/>
  <c r="K395" i="25"/>
  <c r="N395" i="25"/>
  <c r="K396" i="25"/>
  <c r="N396" i="25"/>
  <c r="K397" i="25"/>
  <c r="N397" i="25"/>
  <c r="K398" i="25"/>
  <c r="N398" i="25"/>
  <c r="K399" i="25"/>
  <c r="N399" i="25"/>
  <c r="K400" i="25"/>
  <c r="N400" i="25"/>
  <c r="K401" i="25"/>
  <c r="N401" i="25"/>
  <c r="K402" i="25"/>
  <c r="N402" i="25"/>
  <c r="K403" i="25"/>
  <c r="N403" i="25"/>
  <c r="K404" i="25"/>
  <c r="N404" i="25"/>
  <c r="K405" i="25"/>
  <c r="N405" i="25"/>
  <c r="K406" i="25"/>
  <c r="N406" i="25"/>
  <c r="K407" i="25"/>
  <c r="N407" i="25"/>
  <c r="K408" i="25"/>
  <c r="N408" i="25"/>
  <c r="K409" i="25"/>
  <c r="N409" i="25"/>
  <c r="K410" i="25"/>
  <c r="N410" i="25"/>
  <c r="K411" i="25"/>
  <c r="N411" i="25"/>
  <c r="K412" i="25"/>
  <c r="N412" i="25"/>
  <c r="K413" i="25"/>
  <c r="N413" i="25"/>
  <c r="K414" i="25"/>
  <c r="N414" i="25"/>
  <c r="K415" i="25"/>
  <c r="N415" i="25"/>
  <c r="K416" i="25"/>
  <c r="N416" i="25"/>
  <c r="K417" i="25"/>
  <c r="N417" i="25"/>
  <c r="K418" i="25"/>
  <c r="N418" i="25"/>
  <c r="K419" i="25"/>
  <c r="N419" i="25"/>
  <c r="K420" i="25"/>
  <c r="N420" i="25"/>
  <c r="K421" i="25"/>
  <c r="N421" i="25"/>
  <c r="K422" i="25"/>
  <c r="N422" i="25"/>
  <c r="K423" i="25"/>
  <c r="N423" i="25"/>
  <c r="K424" i="25"/>
  <c r="N424" i="25"/>
  <c r="K425" i="25"/>
  <c r="N425" i="25"/>
  <c r="K426" i="25"/>
  <c r="N426" i="25"/>
  <c r="K427" i="25"/>
  <c r="N427" i="25"/>
  <c r="K428" i="25"/>
  <c r="N428" i="25"/>
  <c r="K429" i="25"/>
  <c r="N429" i="25"/>
  <c r="K430" i="25"/>
  <c r="N430" i="25"/>
  <c r="K431" i="25"/>
  <c r="N431" i="25"/>
  <c r="K432" i="25"/>
  <c r="N432" i="25"/>
  <c r="K433" i="25"/>
  <c r="N433" i="25"/>
  <c r="K434" i="25"/>
  <c r="N434" i="25"/>
  <c r="K435" i="25"/>
  <c r="N435" i="25"/>
  <c r="K436" i="25"/>
  <c r="N436" i="25"/>
  <c r="K437" i="25"/>
  <c r="N437" i="25"/>
  <c r="K438" i="25"/>
  <c r="N438" i="25"/>
  <c r="K439" i="25"/>
  <c r="N439" i="25"/>
  <c r="K440" i="25"/>
  <c r="N440" i="25"/>
  <c r="K441" i="25"/>
  <c r="N441" i="25"/>
  <c r="K442" i="25"/>
  <c r="N442" i="25"/>
  <c r="K443" i="25"/>
  <c r="N443" i="25"/>
  <c r="K444" i="25"/>
  <c r="N444" i="25"/>
  <c r="K445" i="25"/>
  <c r="N445" i="25"/>
  <c r="K446" i="25"/>
  <c r="N446" i="25"/>
  <c r="K447" i="25"/>
  <c r="N447" i="25"/>
  <c r="K448" i="25"/>
  <c r="N448" i="25"/>
  <c r="K449" i="25"/>
  <c r="N449" i="25"/>
  <c r="K450" i="25"/>
  <c r="N450" i="25"/>
  <c r="K451" i="25"/>
  <c r="N451" i="25"/>
  <c r="K452" i="25"/>
  <c r="N452" i="25"/>
  <c r="K453" i="25"/>
  <c r="N453" i="25"/>
  <c r="K454" i="25"/>
  <c r="N454" i="25"/>
  <c r="K455" i="25"/>
  <c r="N455" i="25"/>
  <c r="K456" i="25"/>
  <c r="N456" i="25"/>
  <c r="K457" i="25"/>
  <c r="N457" i="25"/>
  <c r="K458" i="25"/>
  <c r="N458" i="25"/>
  <c r="K459" i="25"/>
  <c r="N459" i="25"/>
  <c r="K460" i="25"/>
  <c r="N460" i="25"/>
  <c r="K461" i="25"/>
  <c r="N461" i="25"/>
  <c r="K462" i="25"/>
  <c r="N462" i="25"/>
  <c r="K463" i="25"/>
  <c r="N463" i="25"/>
  <c r="K464" i="25"/>
  <c r="N464" i="25"/>
  <c r="K465" i="25"/>
  <c r="N465" i="25"/>
  <c r="K466" i="25"/>
  <c r="N466" i="25"/>
  <c r="K467" i="25"/>
  <c r="N467" i="25"/>
  <c r="K468" i="25"/>
  <c r="N468" i="25"/>
  <c r="K469" i="25"/>
  <c r="N469" i="25"/>
  <c r="K470" i="25"/>
  <c r="N470" i="25"/>
  <c r="K471" i="25"/>
  <c r="N471" i="25"/>
  <c r="K472" i="25"/>
  <c r="N472" i="25"/>
  <c r="K473" i="25"/>
  <c r="N473" i="25"/>
  <c r="K474" i="25"/>
  <c r="N474" i="25"/>
  <c r="K475" i="25"/>
  <c r="N475" i="25"/>
  <c r="K476" i="25"/>
  <c r="N476" i="25"/>
  <c r="K477" i="25"/>
  <c r="N477" i="25"/>
  <c r="K478" i="25"/>
  <c r="N478" i="25"/>
  <c r="K479" i="25"/>
  <c r="N479" i="25"/>
  <c r="K480" i="25"/>
  <c r="N480" i="25"/>
  <c r="K481" i="25"/>
  <c r="N481" i="25"/>
  <c r="K482" i="25"/>
  <c r="N482" i="25"/>
  <c r="K483" i="25"/>
  <c r="N483" i="25"/>
  <c r="K484" i="25"/>
  <c r="N484" i="25"/>
  <c r="K485" i="25"/>
  <c r="N485" i="25"/>
  <c r="K486" i="25"/>
  <c r="N486" i="25"/>
  <c r="K487" i="25"/>
  <c r="N487" i="25"/>
  <c r="K488" i="25"/>
  <c r="N488" i="25"/>
  <c r="K489" i="25"/>
  <c r="N489" i="25"/>
  <c r="K490" i="25"/>
  <c r="N490" i="25"/>
  <c r="K491" i="25"/>
  <c r="N491" i="25"/>
  <c r="K492" i="25"/>
  <c r="N492" i="25"/>
  <c r="K493" i="25"/>
  <c r="N493" i="25"/>
  <c r="K494" i="25"/>
  <c r="N494" i="25"/>
  <c r="K495" i="25"/>
  <c r="N495" i="25"/>
  <c r="K496" i="25"/>
  <c r="N496" i="25"/>
  <c r="K497" i="25"/>
  <c r="N497" i="25"/>
  <c r="K498" i="25"/>
  <c r="N498" i="25"/>
  <c r="K499" i="25"/>
  <c r="N499" i="25"/>
  <c r="K500" i="25"/>
  <c r="N500" i="25"/>
  <c r="K501" i="25"/>
  <c r="N501" i="25"/>
  <c r="K502" i="25"/>
  <c r="N502" i="25"/>
  <c r="K503" i="25"/>
  <c r="N503" i="25"/>
  <c r="K504" i="25"/>
  <c r="N504" i="25"/>
  <c r="K505" i="25"/>
  <c r="N505" i="25"/>
  <c r="K506" i="25"/>
  <c r="N506" i="25"/>
  <c r="K507" i="25"/>
  <c r="N507" i="25"/>
  <c r="K508" i="25"/>
  <c r="N508" i="25"/>
  <c r="K509" i="25"/>
  <c r="N509" i="25"/>
  <c r="K510" i="25"/>
  <c r="N510" i="25"/>
  <c r="K511" i="25"/>
  <c r="N511" i="25"/>
  <c r="K512" i="25"/>
  <c r="N512" i="25"/>
  <c r="K513" i="25"/>
  <c r="N513" i="25"/>
  <c r="K514" i="25"/>
  <c r="N514" i="25"/>
  <c r="K515" i="25"/>
  <c r="N515" i="25"/>
  <c r="K516" i="25"/>
  <c r="N516" i="25"/>
  <c r="K517" i="25"/>
  <c r="N517" i="25"/>
  <c r="K518" i="25"/>
  <c r="N518" i="25"/>
  <c r="K519" i="25"/>
  <c r="N519" i="25"/>
  <c r="K520" i="25"/>
  <c r="N520" i="25"/>
  <c r="K521" i="25"/>
  <c r="N521" i="25"/>
  <c r="K522" i="25"/>
  <c r="N522" i="25"/>
  <c r="K523" i="25"/>
  <c r="N523" i="25"/>
  <c r="K524" i="25"/>
  <c r="N524" i="25"/>
  <c r="K525" i="25"/>
  <c r="N525" i="25"/>
  <c r="K526" i="25"/>
  <c r="N526" i="25"/>
  <c r="K527" i="25"/>
  <c r="N527" i="25"/>
  <c r="K528" i="25"/>
  <c r="N528" i="25"/>
  <c r="K529" i="25"/>
  <c r="N529" i="25"/>
  <c r="K530" i="25"/>
  <c r="N530" i="25"/>
  <c r="K531" i="25"/>
  <c r="N531" i="25"/>
  <c r="K532" i="25"/>
  <c r="N532" i="25"/>
  <c r="K533" i="25"/>
  <c r="N533" i="25"/>
  <c r="K534" i="25"/>
  <c r="N534" i="25"/>
  <c r="K535" i="25"/>
  <c r="N535" i="25"/>
  <c r="K536" i="25"/>
  <c r="N536" i="25"/>
  <c r="K537" i="25"/>
  <c r="N537" i="25"/>
  <c r="K538" i="25"/>
  <c r="N538" i="25"/>
  <c r="K539" i="25"/>
  <c r="N539" i="25"/>
  <c r="K540" i="25"/>
  <c r="N540" i="25"/>
  <c r="K541" i="25"/>
  <c r="N541" i="25"/>
  <c r="K542" i="25"/>
  <c r="N542" i="25"/>
  <c r="K543" i="25"/>
  <c r="N543" i="25"/>
  <c r="K544" i="25"/>
  <c r="N544" i="25"/>
  <c r="K545" i="25"/>
  <c r="N545" i="25"/>
  <c r="K546" i="25"/>
  <c r="N546" i="25"/>
  <c r="K547" i="25"/>
  <c r="N547" i="25"/>
  <c r="K548" i="25"/>
  <c r="N548" i="25"/>
  <c r="K549" i="25"/>
  <c r="N549" i="25"/>
  <c r="K550" i="25"/>
  <c r="N550" i="25"/>
  <c r="K551" i="25"/>
  <c r="N551" i="25"/>
  <c r="K552" i="25"/>
  <c r="N552" i="25"/>
  <c r="K553" i="25"/>
  <c r="N553" i="25"/>
  <c r="K554" i="25"/>
  <c r="N554" i="25"/>
  <c r="K555" i="25"/>
  <c r="N555" i="25"/>
  <c r="K556" i="25"/>
  <c r="N556" i="25"/>
  <c r="K557" i="25"/>
  <c r="N557" i="25"/>
  <c r="K558" i="25"/>
  <c r="N558" i="25"/>
  <c r="K559" i="25"/>
  <c r="N559" i="25"/>
  <c r="K560" i="25"/>
  <c r="N560" i="25"/>
  <c r="K561" i="25"/>
  <c r="N561" i="25"/>
  <c r="K562" i="25"/>
  <c r="N562" i="25"/>
  <c r="K563" i="25"/>
  <c r="N563" i="25"/>
  <c r="K564" i="25"/>
  <c r="N564" i="25"/>
  <c r="K565" i="25"/>
  <c r="N565" i="25"/>
  <c r="K566" i="25"/>
  <c r="N566" i="25"/>
  <c r="K567" i="25"/>
  <c r="N567" i="25"/>
  <c r="K568" i="25"/>
  <c r="N568" i="25"/>
  <c r="K569" i="25"/>
  <c r="N569" i="25"/>
  <c r="K570" i="25"/>
  <c r="N570" i="25"/>
  <c r="K571" i="25"/>
  <c r="N571" i="25"/>
  <c r="K572" i="25"/>
  <c r="N572" i="25"/>
  <c r="K573" i="25"/>
  <c r="N573" i="25"/>
  <c r="K574" i="25"/>
  <c r="N574" i="25"/>
  <c r="K575" i="25"/>
  <c r="N575" i="25"/>
  <c r="K576" i="25"/>
  <c r="N576" i="25"/>
  <c r="K577" i="25"/>
  <c r="N577" i="25"/>
  <c r="K578" i="25"/>
  <c r="N578" i="25"/>
  <c r="K579" i="25"/>
  <c r="N579" i="25"/>
  <c r="K580" i="25"/>
  <c r="N580" i="25"/>
  <c r="K581" i="25"/>
  <c r="N581" i="25"/>
  <c r="K582" i="25"/>
  <c r="N582" i="25"/>
  <c r="K583" i="25"/>
  <c r="N583" i="25"/>
  <c r="K584" i="25"/>
  <c r="N584" i="25"/>
  <c r="K585" i="25"/>
  <c r="N585" i="25"/>
  <c r="K586" i="25"/>
  <c r="N586" i="25"/>
  <c r="K587" i="25"/>
  <c r="N587" i="25"/>
  <c r="D48" i="9"/>
  <c r="E48" i="9"/>
  <c r="F48" i="9"/>
  <c r="G48" i="9"/>
  <c r="D49" i="9"/>
  <c r="E49" i="9"/>
  <c r="F49" i="9"/>
  <c r="G49" i="9"/>
  <c r="D52" i="9"/>
  <c r="E52" i="9"/>
  <c r="Z2" i="20"/>
  <c r="AF2" i="20"/>
  <c r="AK2" i="20"/>
  <c r="AL2" i="20"/>
  <c r="AU2" i="20"/>
  <c r="AV2" i="20"/>
  <c r="Z3" i="20"/>
  <c r="AF3" i="20"/>
  <c r="AK3" i="20"/>
  <c r="AL3" i="20"/>
  <c r="AU3" i="20"/>
  <c r="AV3" i="20"/>
  <c r="Z4" i="20"/>
  <c r="AF4" i="20"/>
  <c r="AK4" i="20"/>
  <c r="AL4" i="20"/>
  <c r="AU4" i="20"/>
  <c r="AV4" i="20"/>
  <c r="Z5" i="20"/>
  <c r="AF5" i="20"/>
  <c r="AK5" i="20"/>
  <c r="AL5" i="20"/>
  <c r="AU5" i="20"/>
  <c r="AV5" i="20"/>
  <c r="Z6" i="20"/>
  <c r="AF6" i="20"/>
  <c r="AK6" i="20"/>
  <c r="AL6" i="20"/>
  <c r="AU6" i="20"/>
  <c r="AV6" i="20"/>
  <c r="Z7" i="20"/>
  <c r="AF7" i="20"/>
  <c r="AK7" i="20"/>
  <c r="AL7" i="20"/>
  <c r="AU7" i="20"/>
  <c r="AV7" i="20"/>
  <c r="Z8" i="20"/>
  <c r="AF8" i="20"/>
  <c r="AK8" i="20"/>
  <c r="AL8" i="20"/>
  <c r="AU8" i="20"/>
  <c r="AV8" i="20"/>
  <c r="Z9" i="20"/>
  <c r="AF9" i="20"/>
  <c r="AK9" i="20"/>
  <c r="AL9" i="20"/>
  <c r="AU9" i="20"/>
  <c r="AV9" i="20"/>
  <c r="Z10" i="20"/>
  <c r="AF10" i="20"/>
  <c r="Z11" i="20"/>
  <c r="AF11" i="20"/>
  <c r="Z12" i="20"/>
  <c r="AF12" i="20"/>
  <c r="Z13" i="20"/>
  <c r="AF13" i="20"/>
  <c r="Z14" i="20"/>
  <c r="AF14" i="20"/>
  <c r="Z15" i="20"/>
  <c r="AF15" i="20"/>
  <c r="Z16" i="20"/>
  <c r="AF16" i="20"/>
  <c r="Z17" i="20"/>
  <c r="AF17" i="20"/>
  <c r="Z18" i="20"/>
  <c r="AF18" i="20"/>
  <c r="Z19" i="20"/>
  <c r="AF19" i="20"/>
  <c r="Y20" i="20"/>
  <c r="AE20" i="20"/>
  <c r="Y21" i="20"/>
  <c r="AE21" i="20"/>
  <c r="Y22" i="20"/>
  <c r="AE22" i="20"/>
  <c r="Y23" i="20"/>
  <c r="AE23" i="20"/>
  <c r="Y24" i="20"/>
  <c r="AE24" i="20"/>
  <c r="Y25" i="20"/>
  <c r="AE25" i="20"/>
  <c r="Y26" i="20"/>
  <c r="AE26" i="20"/>
  <c r="Y27" i="20"/>
  <c r="AE27" i="20"/>
  <c r="Y28" i="20"/>
  <c r="AE28" i="20"/>
  <c r="Y29" i="20"/>
  <c r="AE29" i="20"/>
  <c r="Y30" i="20"/>
  <c r="AE30" i="20"/>
  <c r="Y31" i="20"/>
  <c r="AE31" i="20"/>
  <c r="Y32" i="20"/>
  <c r="AE32" i="20"/>
  <c r="Y33" i="20"/>
  <c r="AE33" i="20"/>
  <c r="Y34" i="20"/>
  <c r="AE34" i="20"/>
  <c r="Y35" i="20"/>
  <c r="AE35" i="20"/>
  <c r="Y36" i="20"/>
  <c r="AE36" i="20"/>
  <c r="Y37" i="20"/>
  <c r="AE37" i="20"/>
  <c r="Z38" i="20"/>
  <c r="AF38" i="20"/>
  <c r="Z39" i="20"/>
  <c r="AF39" i="20"/>
  <c r="Z40" i="20"/>
  <c r="AF40" i="20"/>
  <c r="Z41" i="20"/>
  <c r="AF41" i="20"/>
  <c r="Z42" i="20"/>
  <c r="AF42" i="20"/>
  <c r="Z43" i="20"/>
  <c r="AF43" i="20"/>
  <c r="Z44" i="20"/>
  <c r="AF44" i="20"/>
  <c r="Z45" i="20"/>
  <c r="AF45" i="20"/>
  <c r="Z46" i="20"/>
  <c r="AF46" i="20"/>
  <c r="Z47" i="20"/>
  <c r="AF47" i="20"/>
  <c r="Z48" i="20"/>
  <c r="AF48" i="20"/>
  <c r="Z49" i="20"/>
  <c r="AF49" i="20"/>
  <c r="Z50" i="20"/>
  <c r="AF50" i="20"/>
  <c r="Z51" i="20"/>
  <c r="AF51" i="20"/>
  <c r="Z52" i="20"/>
  <c r="AF52" i="20"/>
  <c r="Z53" i="20"/>
  <c r="AF53" i="20"/>
  <c r="Z54" i="20"/>
  <c r="AF54" i="20"/>
  <c r="Z55" i="20"/>
  <c r="AF55" i="20"/>
  <c r="Z56" i="20"/>
  <c r="AF56" i="20"/>
  <c r="Z57" i="20"/>
  <c r="AF57" i="20"/>
  <c r="Z58" i="20"/>
  <c r="AF58" i="20"/>
  <c r="Z59" i="20"/>
  <c r="AF59" i="20"/>
  <c r="Z60" i="20"/>
  <c r="AF60" i="20"/>
  <c r="Z61" i="20"/>
  <c r="AF61" i="20"/>
  <c r="Z62" i="20"/>
  <c r="AF62" i="20"/>
  <c r="Z63" i="20"/>
  <c r="AF63" i="20"/>
  <c r="Z64" i="20"/>
  <c r="AF64" i="20"/>
  <c r="Z65" i="20"/>
  <c r="AF65" i="20"/>
  <c r="Z66" i="20"/>
  <c r="AF66" i="20"/>
  <c r="Z67" i="20"/>
  <c r="AF67" i="20"/>
  <c r="Z68" i="20"/>
  <c r="AF68" i="20"/>
  <c r="Z69" i="20"/>
  <c r="AF69" i="20"/>
  <c r="Z70" i="20"/>
  <c r="AF70" i="20"/>
  <c r="Z71" i="20"/>
  <c r="AF71" i="20"/>
  <c r="Z72" i="20"/>
  <c r="AF72" i="20"/>
  <c r="Z73" i="20"/>
  <c r="AF73" i="20"/>
  <c r="Z74" i="20"/>
  <c r="AF74" i="20"/>
  <c r="Z75" i="20"/>
  <c r="AF75" i="20"/>
  <c r="Z76" i="20"/>
  <c r="AF76" i="20"/>
  <c r="Z77" i="20"/>
  <c r="AF77" i="20"/>
  <c r="Z78" i="20"/>
  <c r="AF78" i="20"/>
  <c r="Z79" i="20"/>
  <c r="AF79" i="20"/>
  <c r="Y80" i="20"/>
  <c r="AE80" i="20"/>
  <c r="Y81" i="20"/>
  <c r="AE81" i="20"/>
  <c r="Y82" i="20"/>
  <c r="AE82" i="20"/>
  <c r="Y83" i="20"/>
  <c r="AE83" i="20"/>
  <c r="Y84" i="20"/>
  <c r="AE84" i="20"/>
  <c r="Y85" i="20"/>
  <c r="AE85" i="20"/>
  <c r="Y86" i="20"/>
  <c r="AE86" i="20"/>
  <c r="Y87" i="20"/>
  <c r="AE87" i="20"/>
  <c r="Y88" i="20"/>
  <c r="AE88" i="20"/>
  <c r="Y89" i="20"/>
  <c r="AE89" i="20"/>
  <c r="Y90" i="20"/>
  <c r="AE90" i="20"/>
  <c r="Y91" i="20"/>
  <c r="AE91" i="20"/>
  <c r="Y92" i="20"/>
  <c r="AE92" i="20"/>
  <c r="Y93" i="20"/>
  <c r="AE93" i="20"/>
  <c r="Y94" i="20"/>
  <c r="AE94" i="20"/>
  <c r="Y95" i="20"/>
  <c r="AE95" i="20"/>
  <c r="Y96" i="20"/>
  <c r="AE96" i="20"/>
  <c r="Y97" i="20"/>
  <c r="AE97" i="20"/>
  <c r="Y98" i="20"/>
  <c r="AE98" i="20"/>
  <c r="Y99" i="20"/>
  <c r="AE99" i="20"/>
  <c r="Y100" i="20"/>
  <c r="AE100" i="20"/>
  <c r="Y101" i="20"/>
  <c r="AE101" i="20"/>
  <c r="Y102" i="20"/>
  <c r="AE102" i="20"/>
  <c r="Y103" i="20"/>
  <c r="AE103" i="20"/>
  <c r="Z104" i="20"/>
  <c r="AF104" i="20"/>
  <c r="Z105" i="20"/>
  <c r="AF105" i="20"/>
  <c r="Z106" i="20"/>
  <c r="AF106" i="20"/>
  <c r="Z107" i="20"/>
  <c r="AF107" i="20"/>
  <c r="Z108" i="20"/>
  <c r="AF108" i="20"/>
  <c r="Z109" i="20"/>
  <c r="AF109" i="20"/>
  <c r="Z110" i="20"/>
  <c r="AF110" i="20"/>
  <c r="Z111" i="20"/>
  <c r="AF111" i="20"/>
  <c r="Z112" i="20"/>
  <c r="AF112" i="20"/>
  <c r="Z113" i="20"/>
  <c r="AF113" i="20"/>
  <c r="Z114" i="20"/>
  <c r="AF114" i="20"/>
  <c r="Z115" i="20"/>
  <c r="AF115" i="20"/>
  <c r="Z116" i="20"/>
  <c r="AF116" i="20"/>
  <c r="Z117" i="20"/>
  <c r="AF117" i="20"/>
  <c r="Z118" i="20"/>
  <c r="AF118" i="20"/>
  <c r="Z119" i="20"/>
  <c r="AF119" i="20"/>
  <c r="Z120" i="20"/>
  <c r="AF120" i="20"/>
  <c r="Z121" i="20"/>
  <c r="AF121" i="20"/>
  <c r="Z122" i="20"/>
  <c r="AF122" i="20"/>
  <c r="Z123" i="20"/>
  <c r="AF123" i="20"/>
  <c r="Z124" i="20"/>
  <c r="AF124" i="20"/>
  <c r="Z125" i="20"/>
  <c r="AF125" i="20"/>
  <c r="Z126" i="20"/>
  <c r="AF126" i="20"/>
  <c r="Z127" i="20"/>
  <c r="AF127" i="20"/>
  <c r="Z128" i="20"/>
  <c r="AF128" i="20"/>
  <c r="Z129" i="20"/>
  <c r="AF129" i="20"/>
  <c r="Z130" i="20"/>
  <c r="AF130" i="20"/>
  <c r="Z131" i="20"/>
  <c r="AF131" i="20"/>
  <c r="Z132" i="20"/>
  <c r="AF132" i="20"/>
  <c r="Z133" i="20"/>
  <c r="AF133" i="20"/>
  <c r="Z134" i="20"/>
  <c r="AF134" i="20"/>
  <c r="Z135" i="20"/>
  <c r="AF135" i="20"/>
  <c r="Z136" i="20"/>
  <c r="AF136" i="20"/>
  <c r="Z137" i="20"/>
  <c r="AF137" i="20"/>
  <c r="Z138" i="20"/>
  <c r="AF138" i="20"/>
  <c r="Z139" i="20"/>
  <c r="AF139" i="20"/>
  <c r="Z140" i="20"/>
  <c r="AF140" i="20"/>
  <c r="Y141" i="20"/>
  <c r="AE141" i="20"/>
  <c r="Y142" i="20"/>
  <c r="AE142" i="20"/>
  <c r="Y143" i="20"/>
  <c r="AE143" i="20"/>
  <c r="Y144" i="20"/>
  <c r="AE144" i="20"/>
  <c r="Y145" i="20"/>
  <c r="AE145" i="20"/>
  <c r="Y146" i="20"/>
  <c r="AE146" i="20"/>
  <c r="Y147" i="20"/>
  <c r="AE147" i="20"/>
  <c r="Y148" i="20"/>
  <c r="AE148" i="20"/>
  <c r="Y149" i="20"/>
  <c r="AE149" i="20"/>
  <c r="Y150" i="20"/>
  <c r="AE150" i="20"/>
  <c r="Y151" i="20"/>
  <c r="AE151" i="20"/>
  <c r="Y152" i="20"/>
  <c r="AE152" i="20"/>
  <c r="Y153" i="20"/>
  <c r="AE153" i="20"/>
  <c r="Y154" i="20"/>
  <c r="AE154" i="20"/>
  <c r="Y155" i="20"/>
  <c r="AE155" i="20"/>
  <c r="Y156" i="20"/>
  <c r="AE156" i="20"/>
  <c r="Y157" i="20"/>
  <c r="AE157" i="20"/>
  <c r="Y158" i="20"/>
  <c r="AE158" i="20"/>
  <c r="Y159" i="20"/>
  <c r="AE159" i="20"/>
  <c r="Y160" i="20"/>
  <c r="AE160" i="20"/>
  <c r="Y161" i="20"/>
  <c r="AE161" i="20"/>
  <c r="Y162" i="20"/>
  <c r="AE162" i="20"/>
  <c r="Y163" i="20"/>
  <c r="AE163" i="20"/>
  <c r="Z164" i="20"/>
  <c r="AF164" i="20"/>
  <c r="Z165" i="20"/>
  <c r="AF165" i="20"/>
  <c r="Z166" i="20"/>
  <c r="AF166" i="20"/>
  <c r="Z167" i="20"/>
  <c r="AF167" i="20"/>
  <c r="Z168" i="20"/>
  <c r="AF168" i="20"/>
  <c r="Z169" i="20"/>
  <c r="AF169" i="20"/>
  <c r="Z170" i="20"/>
  <c r="AF170" i="20"/>
  <c r="Z171" i="20"/>
  <c r="AF171" i="20"/>
  <c r="Z172" i="20"/>
  <c r="AF172" i="20"/>
  <c r="Z173" i="20"/>
  <c r="AF173" i="20"/>
  <c r="Z174" i="20"/>
  <c r="AF174" i="20"/>
  <c r="Z175" i="20"/>
  <c r="AF175" i="20"/>
  <c r="Z176" i="20"/>
  <c r="AF176" i="20"/>
  <c r="Z177" i="20"/>
  <c r="AF177" i="20"/>
  <c r="Z178" i="20"/>
  <c r="AF178" i="20"/>
  <c r="Z179" i="20"/>
  <c r="AF179" i="20"/>
  <c r="Z180" i="20"/>
  <c r="AF180" i="20"/>
  <c r="Z181" i="20"/>
  <c r="AF181" i="20"/>
  <c r="Z182" i="20"/>
  <c r="AF182" i="20"/>
  <c r="Z183" i="20"/>
  <c r="AF183" i="20"/>
  <c r="Z184" i="20"/>
  <c r="AF184" i="20"/>
  <c r="Z185" i="20"/>
  <c r="AF185" i="20"/>
  <c r="Z186" i="20"/>
  <c r="AF186" i="20"/>
  <c r="Z187" i="20"/>
  <c r="AF187" i="20"/>
  <c r="Z188" i="20"/>
  <c r="AF188" i="20"/>
  <c r="Z189" i="20"/>
  <c r="AF189" i="20"/>
  <c r="Z190" i="20"/>
  <c r="AF190" i="20"/>
  <c r="Y191" i="20"/>
  <c r="AE191" i="20"/>
  <c r="Y192" i="20"/>
  <c r="AE192" i="20"/>
  <c r="Y193" i="20"/>
  <c r="AE193" i="20"/>
  <c r="Y194" i="20"/>
  <c r="AE194" i="20"/>
  <c r="Y195" i="20"/>
  <c r="AE195" i="20"/>
  <c r="Y196" i="20"/>
  <c r="AE196" i="20"/>
  <c r="Y197" i="20"/>
  <c r="AE197" i="20"/>
  <c r="Y198" i="20"/>
  <c r="AE198" i="20"/>
  <c r="Y199" i="20"/>
  <c r="AE199" i="20"/>
  <c r="Y200" i="20"/>
  <c r="AE200" i="20"/>
  <c r="Y201" i="20"/>
  <c r="AE201" i="20"/>
  <c r="Y202" i="20"/>
  <c r="AE202" i="20"/>
  <c r="Z203" i="20"/>
  <c r="AF203" i="20"/>
  <c r="Z204" i="20"/>
  <c r="AF204" i="20"/>
  <c r="Z205" i="20"/>
  <c r="AF205" i="20"/>
  <c r="Z206" i="20"/>
  <c r="AF206" i="20"/>
  <c r="Z207" i="20"/>
  <c r="AF207" i="20"/>
  <c r="Z208" i="20"/>
  <c r="AF208" i="20"/>
  <c r="Z209" i="20"/>
  <c r="AF209" i="20"/>
  <c r="Z210" i="20"/>
  <c r="AF210" i="20"/>
  <c r="Z211" i="20"/>
  <c r="AF211" i="20"/>
  <c r="Z212" i="20"/>
  <c r="AF212" i="20"/>
  <c r="Z213" i="20"/>
  <c r="AF213" i="20"/>
  <c r="Z214" i="20"/>
  <c r="AF214" i="20"/>
  <c r="Z215" i="20"/>
  <c r="AF215" i="20"/>
  <c r="Z216" i="20"/>
  <c r="AF216" i="20"/>
  <c r="Z217" i="20"/>
  <c r="AF217" i="20"/>
  <c r="Z218" i="20"/>
  <c r="AF218" i="20"/>
  <c r="Z219" i="20"/>
  <c r="AF219" i="20"/>
  <c r="Z220" i="20"/>
  <c r="AF220" i="20"/>
  <c r="Z221" i="20"/>
  <c r="AF221" i="20"/>
  <c r="Z222" i="20"/>
  <c r="AF222" i="20"/>
  <c r="Z223" i="20"/>
  <c r="AF223" i="20"/>
  <c r="Z224" i="20"/>
  <c r="AF224" i="20"/>
  <c r="Z225" i="20"/>
  <c r="AF225" i="20"/>
  <c r="Z226" i="20"/>
  <c r="AF226" i="20"/>
  <c r="Y227" i="20"/>
  <c r="AE227" i="20"/>
  <c r="Y228" i="20"/>
  <c r="AE228" i="20"/>
  <c r="Y229" i="20"/>
  <c r="AE229" i="20"/>
  <c r="Y230" i="20"/>
  <c r="AE230" i="20"/>
  <c r="Y231" i="20"/>
  <c r="AE231" i="20"/>
  <c r="Y232" i="20"/>
  <c r="AE232" i="20"/>
  <c r="Y233" i="20"/>
  <c r="AE233" i="20"/>
  <c r="Y234" i="20"/>
  <c r="AE234" i="20"/>
  <c r="Y235" i="20"/>
  <c r="AE235" i="20"/>
  <c r="Y236" i="20"/>
  <c r="AE236" i="20"/>
  <c r="Y237" i="20"/>
  <c r="AE237" i="20"/>
  <c r="Y238" i="20"/>
  <c r="AE238" i="20"/>
  <c r="Z239" i="20"/>
  <c r="AF239" i="20"/>
  <c r="Z240" i="20"/>
  <c r="AF240" i="20"/>
  <c r="Z241" i="20"/>
  <c r="AF241" i="20"/>
  <c r="Z242" i="20"/>
  <c r="AF242" i="20"/>
  <c r="Z243" i="20"/>
  <c r="AF243" i="20"/>
  <c r="Z244" i="20"/>
  <c r="AF244" i="20"/>
  <c r="Z245" i="20"/>
  <c r="AF245" i="20"/>
  <c r="Z246" i="20"/>
  <c r="AF246" i="20"/>
  <c r="Z247" i="20"/>
  <c r="AF247" i="20"/>
  <c r="Z248" i="20"/>
  <c r="AF248" i="20"/>
  <c r="Z249" i="20"/>
  <c r="AF249" i="20"/>
  <c r="Z250" i="20"/>
  <c r="AF250" i="20"/>
  <c r="Z251" i="20"/>
  <c r="AF251" i="20"/>
  <c r="Z252" i="20"/>
  <c r="AF252" i="20"/>
  <c r="Z253" i="20"/>
  <c r="AF253" i="20"/>
  <c r="Z254" i="20"/>
  <c r="AF254" i="20"/>
  <c r="Z255" i="20"/>
  <c r="AF255" i="20"/>
  <c r="Z256" i="20"/>
  <c r="AF256" i="20"/>
  <c r="Z257" i="20"/>
  <c r="AF257" i="20"/>
  <c r="Z258" i="20"/>
  <c r="AF258" i="20"/>
  <c r="Z259" i="20"/>
  <c r="AF259" i="20"/>
  <c r="Z260" i="20"/>
  <c r="AF260" i="20"/>
  <c r="Z261" i="20"/>
  <c r="AF261" i="20"/>
  <c r="Z262" i="20"/>
  <c r="AF262" i="20"/>
  <c r="Z263" i="20"/>
  <c r="AF263" i="20"/>
  <c r="Z264" i="20"/>
  <c r="AF264" i="20"/>
  <c r="Z265" i="20"/>
  <c r="AF265" i="20"/>
  <c r="Z266" i="20"/>
  <c r="AF266" i="20"/>
  <c r="Z267" i="20"/>
  <c r="AF267" i="20"/>
  <c r="Z268" i="20"/>
  <c r="AF268" i="20"/>
  <c r="Z269" i="20"/>
  <c r="AF269" i="20"/>
  <c r="Z270" i="20"/>
  <c r="AF270" i="20"/>
  <c r="Z271" i="20"/>
  <c r="AF271" i="20"/>
  <c r="Z272" i="20"/>
  <c r="AF272" i="20"/>
  <c r="Z273" i="20"/>
  <c r="AF273" i="20"/>
  <c r="Z274" i="20"/>
  <c r="AF274" i="20"/>
  <c r="Z275" i="20"/>
  <c r="AF275" i="20"/>
  <c r="Z276" i="20"/>
  <c r="AF276" i="20"/>
  <c r="Z277" i="20"/>
  <c r="AF277" i="20"/>
  <c r="Z278" i="20"/>
  <c r="AF278" i="20"/>
  <c r="Z279" i="20"/>
  <c r="AF279" i="20"/>
  <c r="Z280" i="20"/>
  <c r="AF280" i="20"/>
  <c r="Z281" i="20"/>
  <c r="AF281" i="20"/>
  <c r="Z282" i="20"/>
  <c r="AF282" i="20"/>
  <c r="Z283" i="20"/>
  <c r="AF283" i="20"/>
  <c r="Z284" i="20"/>
  <c r="AF284" i="20"/>
  <c r="Z285" i="20"/>
  <c r="AF285" i="20"/>
  <c r="Z286" i="20"/>
  <c r="AF286" i="20"/>
  <c r="Z287" i="20"/>
  <c r="AF287" i="20"/>
  <c r="Z288" i="20"/>
  <c r="AF288" i="20"/>
  <c r="Z289" i="20"/>
  <c r="AF289" i="20"/>
  <c r="Z290" i="20"/>
  <c r="AF290" i="20"/>
  <c r="Z291" i="20"/>
  <c r="AF291" i="20"/>
  <c r="Z292" i="20"/>
  <c r="AF292" i="20"/>
  <c r="Z293" i="20"/>
  <c r="AF293" i="20"/>
  <c r="Z294" i="20"/>
  <c r="AF294" i="20"/>
  <c r="Z295" i="20"/>
  <c r="AF295" i="20"/>
  <c r="Z296" i="20"/>
  <c r="AF296" i="20"/>
  <c r="Z297" i="20"/>
  <c r="AF297" i="20"/>
  <c r="Z298" i="20"/>
  <c r="AF298" i="20"/>
  <c r="Z299" i="20"/>
  <c r="AF299" i="20"/>
  <c r="Z300" i="20"/>
  <c r="AF300" i="20"/>
  <c r="Z301" i="20"/>
  <c r="AF301" i="20"/>
  <c r="Z302" i="20"/>
  <c r="AF302" i="20"/>
  <c r="Z303" i="20"/>
  <c r="AF303" i="20"/>
  <c r="Z304" i="20"/>
  <c r="AF304" i="20"/>
  <c r="Z305" i="20"/>
  <c r="AF305" i="20"/>
  <c r="Z306" i="20"/>
  <c r="AF306" i="20"/>
  <c r="Z307" i="20"/>
  <c r="AF307" i="20"/>
  <c r="Z308" i="20"/>
  <c r="AF308" i="20"/>
  <c r="Z309" i="20"/>
  <c r="AF309" i="20"/>
  <c r="Z310" i="20"/>
  <c r="AF310" i="20"/>
  <c r="Z311" i="20"/>
  <c r="AF311" i="20"/>
  <c r="Z312" i="20"/>
  <c r="AF312" i="20"/>
  <c r="Z313" i="20"/>
  <c r="AF313" i="20"/>
  <c r="Z314" i="20"/>
  <c r="AF314" i="20"/>
  <c r="Z315" i="20"/>
  <c r="AF315" i="20"/>
  <c r="Z316" i="20"/>
  <c r="AF316" i="20"/>
  <c r="Z317" i="20"/>
  <c r="AF317" i="20"/>
  <c r="Z318" i="20"/>
  <c r="AF318" i="20"/>
  <c r="Z319" i="20"/>
  <c r="AF319" i="20"/>
  <c r="Z320" i="20"/>
  <c r="AF320" i="20"/>
  <c r="Z321" i="20"/>
  <c r="AF321" i="20"/>
  <c r="Z322" i="20"/>
  <c r="AF322" i="20"/>
  <c r="Z323" i="20"/>
  <c r="AF323" i="20"/>
  <c r="Z324" i="20"/>
  <c r="AF324" i="20"/>
  <c r="Z325" i="20"/>
  <c r="AF325" i="20"/>
  <c r="Z326" i="20"/>
  <c r="AF326" i="20"/>
  <c r="Z327" i="20"/>
  <c r="AF327" i="20"/>
  <c r="Z328" i="20"/>
  <c r="AF328" i="20"/>
  <c r="Z329" i="20"/>
  <c r="AF329" i="20"/>
  <c r="Z330" i="20"/>
  <c r="AF330" i="20"/>
  <c r="Z331" i="20"/>
  <c r="AF331" i="20"/>
  <c r="Z332" i="20"/>
  <c r="AF332" i="20"/>
  <c r="Z333" i="20"/>
  <c r="AF333" i="20"/>
  <c r="Z334" i="20"/>
  <c r="AF334" i="20"/>
  <c r="Z335" i="20"/>
  <c r="AF335" i="20"/>
  <c r="Z336" i="20"/>
  <c r="AF336" i="20"/>
  <c r="Z337" i="20"/>
  <c r="AF337" i="20"/>
  <c r="Z338" i="20"/>
  <c r="AF338" i="20"/>
  <c r="Z339" i="20"/>
  <c r="AF339" i="20"/>
  <c r="Z340" i="20"/>
  <c r="AF340" i="20"/>
  <c r="Z341" i="20"/>
  <c r="AF341" i="20"/>
  <c r="Z342" i="20"/>
  <c r="AF342" i="20"/>
  <c r="Z343" i="20"/>
  <c r="AF343" i="20"/>
  <c r="Z344" i="20"/>
  <c r="AF344" i="20"/>
  <c r="Z345" i="20"/>
  <c r="AF345" i="20"/>
  <c r="Z346" i="20"/>
  <c r="AF346" i="20"/>
  <c r="Z347" i="20"/>
  <c r="AF347" i="20"/>
  <c r="Z348" i="20"/>
  <c r="AF348" i="20"/>
  <c r="Z349" i="20"/>
  <c r="AF349" i="20"/>
  <c r="Z350" i="20"/>
  <c r="AF350" i="20"/>
  <c r="Z351" i="20"/>
  <c r="AF351" i="20"/>
  <c r="Z352" i="20"/>
  <c r="AF352" i="20"/>
  <c r="Z353" i="20"/>
  <c r="AF353" i="20"/>
  <c r="Z354" i="20"/>
  <c r="AF354" i="20"/>
  <c r="Z355" i="20"/>
  <c r="AF355" i="20"/>
  <c r="Z356" i="20"/>
  <c r="AF356" i="20"/>
  <c r="Z357" i="20"/>
  <c r="AF357" i="20"/>
  <c r="Z358" i="20"/>
  <c r="AF358" i="20"/>
  <c r="Z359" i="20"/>
  <c r="AF359" i="20"/>
  <c r="Z360" i="20"/>
  <c r="AF360" i="20"/>
  <c r="Z361" i="20"/>
  <c r="AF361" i="20"/>
  <c r="Z362" i="20"/>
  <c r="AF362" i="20"/>
  <c r="Z363" i="20"/>
  <c r="AF363" i="20"/>
  <c r="Z364" i="20"/>
  <c r="AF364" i="20"/>
  <c r="Z365" i="20"/>
  <c r="AF365" i="20"/>
  <c r="Z366" i="20"/>
  <c r="AF366" i="20"/>
  <c r="Z367" i="20"/>
  <c r="AF367" i="20"/>
  <c r="Z368" i="20"/>
  <c r="AF368" i="20"/>
  <c r="Z369" i="20"/>
  <c r="AF369" i="20"/>
  <c r="Z370" i="20"/>
  <c r="AF370" i="20"/>
  <c r="Z371" i="20"/>
  <c r="AF371" i="20"/>
  <c r="Z372" i="20"/>
  <c r="AF372" i="20"/>
  <c r="Z373" i="20"/>
  <c r="AF373" i="20"/>
  <c r="Z374" i="20"/>
  <c r="AF374" i="20"/>
  <c r="Z375" i="20"/>
  <c r="AF375" i="20"/>
  <c r="Z376" i="20"/>
  <c r="AF376" i="20"/>
  <c r="Z377" i="20"/>
  <c r="AF377" i="20"/>
  <c r="Z378" i="20"/>
  <c r="AF378" i="20"/>
  <c r="Z379" i="20"/>
  <c r="AF379" i="20"/>
  <c r="Z380" i="20"/>
  <c r="AF380" i="20"/>
  <c r="Z381" i="20"/>
  <c r="AF381" i="20"/>
  <c r="Z382" i="20"/>
  <c r="AF382" i="20"/>
  <c r="Z383" i="20"/>
  <c r="AF383" i="20"/>
  <c r="Z384" i="20"/>
  <c r="AF384" i="20"/>
  <c r="Z385" i="20"/>
  <c r="AF385" i="20"/>
  <c r="Z386" i="20"/>
  <c r="AF386" i="20"/>
  <c r="Z387" i="20"/>
  <c r="AF387" i="20"/>
  <c r="Z388" i="20"/>
  <c r="AF388" i="20"/>
  <c r="Z389" i="20"/>
  <c r="AF389" i="20"/>
  <c r="Z390" i="20"/>
  <c r="AF390" i="20"/>
  <c r="Z391" i="20"/>
  <c r="AF391" i="20"/>
  <c r="Z392" i="20"/>
  <c r="AF392" i="20"/>
  <c r="Z393" i="20"/>
  <c r="AF393" i="20"/>
  <c r="Z394" i="20"/>
  <c r="AF394" i="20"/>
  <c r="Z395" i="20"/>
  <c r="AF395" i="20"/>
  <c r="Z396" i="20"/>
  <c r="AF396" i="20"/>
  <c r="Z397" i="20"/>
  <c r="AF397" i="20"/>
  <c r="Z398" i="20"/>
  <c r="AF398" i="20"/>
  <c r="Z399" i="20"/>
  <c r="AF399" i="20"/>
  <c r="Z400" i="20"/>
  <c r="AF400" i="20"/>
  <c r="Z401" i="20"/>
  <c r="AF401" i="20"/>
  <c r="Z402" i="20"/>
  <c r="AF402" i="20"/>
  <c r="Z403" i="20"/>
  <c r="AF403" i="20"/>
  <c r="Z404" i="20"/>
  <c r="AF404" i="20"/>
  <c r="Z405" i="20"/>
  <c r="AF405" i="20"/>
  <c r="Z406" i="20"/>
  <c r="AF406" i="20"/>
  <c r="Z407" i="20"/>
  <c r="AF407" i="20"/>
  <c r="Z408" i="20"/>
  <c r="AF408" i="20"/>
  <c r="Z409" i="20"/>
  <c r="AF409" i="20"/>
  <c r="Z410" i="20"/>
  <c r="AF410" i="20"/>
  <c r="Z411" i="20"/>
  <c r="AF411" i="20"/>
  <c r="Z412" i="20"/>
  <c r="AF412" i="20"/>
  <c r="Z413" i="20"/>
  <c r="AF413" i="20"/>
  <c r="Z414" i="20"/>
  <c r="AF414" i="20"/>
  <c r="Z415" i="20"/>
  <c r="AF415" i="20"/>
  <c r="Z416" i="20"/>
  <c r="AF416" i="20"/>
  <c r="Z417" i="20"/>
  <c r="AF417" i="20"/>
  <c r="Z418" i="20"/>
  <c r="AF418" i="20"/>
  <c r="Z419" i="20"/>
  <c r="AF419" i="20"/>
  <c r="Z420" i="20"/>
  <c r="AF420" i="20"/>
  <c r="Z421" i="20"/>
  <c r="AF421" i="20"/>
  <c r="Z422" i="20"/>
  <c r="AF422" i="20"/>
  <c r="Z423" i="20"/>
  <c r="AF423" i="20"/>
  <c r="Z424" i="20"/>
  <c r="AF424" i="20"/>
  <c r="Z425" i="20"/>
  <c r="AF425" i="20"/>
  <c r="Z426" i="20"/>
  <c r="AF426" i="20"/>
  <c r="Z427" i="20"/>
  <c r="AF427" i="20"/>
  <c r="Z428" i="20"/>
  <c r="AF428" i="20"/>
  <c r="Z429" i="20"/>
  <c r="AF429" i="20"/>
  <c r="Z430" i="20"/>
  <c r="AF430" i="20"/>
  <c r="Z431" i="20"/>
  <c r="AF431" i="20"/>
  <c r="Z432" i="20"/>
  <c r="AF432" i="20"/>
  <c r="Z433" i="20"/>
  <c r="AF433" i="20"/>
  <c r="Z434" i="20"/>
  <c r="AF434" i="20"/>
  <c r="Z435" i="20"/>
  <c r="AF435" i="20"/>
  <c r="Z436" i="20"/>
  <c r="AF436" i="20"/>
  <c r="Z437" i="20"/>
  <c r="AF437" i="20"/>
  <c r="Z438" i="20"/>
  <c r="AF438" i="20"/>
  <c r="Z439" i="20"/>
  <c r="AF439" i="20"/>
  <c r="Z440" i="20"/>
  <c r="AF440" i="20"/>
  <c r="Z441" i="20"/>
  <c r="AF441" i="20"/>
  <c r="Z442" i="20"/>
  <c r="AF442" i="20"/>
  <c r="Z443" i="20"/>
  <c r="AF443" i="20"/>
  <c r="Z444" i="20"/>
  <c r="AF444" i="20"/>
  <c r="Z445" i="20"/>
  <c r="AF445" i="20"/>
  <c r="Z446" i="20"/>
  <c r="AF446" i="20"/>
  <c r="Z447" i="20"/>
  <c r="AF447" i="20"/>
  <c r="Z448" i="20"/>
  <c r="AF448" i="20"/>
  <c r="Z449" i="20"/>
  <c r="AF449" i="20"/>
  <c r="Z450" i="20"/>
  <c r="AF450" i="20"/>
  <c r="Z451" i="20"/>
  <c r="AF451" i="20"/>
  <c r="Z452" i="20"/>
  <c r="AF452" i="20"/>
  <c r="Z453" i="20"/>
  <c r="AF453" i="20"/>
  <c r="Z454" i="20"/>
  <c r="AF454" i="20"/>
  <c r="Z455" i="20"/>
  <c r="AF455" i="20"/>
  <c r="Z456" i="20"/>
  <c r="AF456" i="20"/>
  <c r="Z457" i="20"/>
  <c r="AF457" i="20"/>
  <c r="Z458" i="20"/>
  <c r="AF458" i="20"/>
  <c r="Z459" i="20"/>
  <c r="AF459" i="20"/>
  <c r="Z460" i="20"/>
  <c r="AF460" i="20"/>
  <c r="Z461" i="20"/>
  <c r="AF461" i="20"/>
  <c r="Z462" i="20"/>
  <c r="AF462" i="20"/>
  <c r="Z463" i="20"/>
  <c r="AF463" i="20"/>
  <c r="Z464" i="20"/>
  <c r="AF464" i="20"/>
  <c r="Z465" i="20"/>
  <c r="AF465" i="20"/>
  <c r="Z466" i="20"/>
  <c r="AF466" i="20"/>
  <c r="Z467" i="20"/>
  <c r="AF467" i="20"/>
  <c r="Z468" i="20"/>
  <c r="AF468" i="20"/>
  <c r="Z469" i="20"/>
  <c r="AF469" i="20"/>
  <c r="Z470" i="20"/>
  <c r="AF470" i="20"/>
  <c r="Z471" i="20"/>
  <c r="AF471" i="20"/>
  <c r="Z472" i="20"/>
  <c r="AF472" i="20"/>
  <c r="Z473" i="20"/>
  <c r="AF473" i="20"/>
  <c r="Z474" i="20"/>
  <c r="AF474" i="20"/>
  <c r="Z475" i="20"/>
  <c r="AF475" i="20"/>
  <c r="Z476" i="20"/>
  <c r="AF476" i="20"/>
  <c r="Z477" i="20"/>
  <c r="AF477" i="20"/>
  <c r="Z478" i="20"/>
  <c r="AF478" i="20"/>
  <c r="Z479" i="20"/>
  <c r="AF479" i="20"/>
  <c r="Z480" i="20"/>
  <c r="AF480" i="20"/>
  <c r="Z481" i="20"/>
  <c r="AF481" i="20"/>
  <c r="Z482" i="20"/>
  <c r="AF482" i="20"/>
  <c r="Z483" i="20"/>
  <c r="AF483" i="20"/>
  <c r="Z484" i="20"/>
  <c r="AF484" i="20"/>
  <c r="Z485" i="20"/>
  <c r="AF485" i="20"/>
  <c r="Z486" i="20"/>
  <c r="AF486" i="20"/>
  <c r="Z487" i="20"/>
  <c r="AF487" i="20"/>
  <c r="Z488" i="20"/>
  <c r="AF488" i="20"/>
  <c r="Z489" i="20"/>
  <c r="AF489" i="20"/>
  <c r="Z490" i="20"/>
  <c r="AF490" i="20"/>
  <c r="Z491" i="20"/>
  <c r="AF491" i="20"/>
  <c r="Z492" i="20"/>
  <c r="AF492" i="20"/>
  <c r="Z493" i="20"/>
  <c r="AF493" i="20"/>
  <c r="Z494" i="20"/>
  <c r="AF494" i="20"/>
  <c r="Z495" i="20"/>
  <c r="AF495" i="20"/>
  <c r="Z496" i="20"/>
  <c r="AF496" i="20"/>
  <c r="Z497" i="20"/>
  <c r="AF497" i="20"/>
  <c r="Z498" i="20"/>
  <c r="AF498" i="20"/>
  <c r="Z499" i="20"/>
  <c r="AF499" i="20"/>
  <c r="Z500" i="20"/>
  <c r="AF500" i="20"/>
  <c r="Z501" i="20"/>
  <c r="AF501" i="20"/>
  <c r="Z502" i="20"/>
  <c r="AF502" i="20"/>
  <c r="Z503" i="20"/>
  <c r="AF503" i="20"/>
  <c r="Z504" i="20"/>
  <c r="AF504" i="20"/>
  <c r="Z505" i="20"/>
  <c r="AF505" i="20"/>
  <c r="Z506" i="20"/>
  <c r="AF506" i="20"/>
  <c r="Z507" i="20"/>
  <c r="AF507" i="20"/>
  <c r="Z508" i="20"/>
  <c r="AF508" i="20"/>
  <c r="Z509" i="20"/>
  <c r="AF509" i="20"/>
  <c r="Z510" i="20"/>
  <c r="AF510" i="20"/>
  <c r="Z511" i="20"/>
  <c r="AF511" i="20"/>
  <c r="Z512" i="20"/>
  <c r="AF512" i="20"/>
  <c r="Z513" i="20"/>
  <c r="AF513" i="20"/>
  <c r="Z514" i="20"/>
  <c r="AF514" i="20"/>
  <c r="Z515" i="20"/>
  <c r="AF515" i="20"/>
  <c r="Z516" i="20"/>
  <c r="AF516" i="20"/>
  <c r="Z517" i="20"/>
  <c r="AF517" i="20"/>
  <c r="Z518" i="20"/>
  <c r="AF518" i="20"/>
  <c r="Z519" i="20"/>
  <c r="AF519" i="20"/>
  <c r="Z520" i="20"/>
  <c r="AF520" i="20"/>
  <c r="Z521" i="20"/>
  <c r="AF521" i="20"/>
  <c r="Z522" i="20"/>
  <c r="AF522" i="20"/>
  <c r="Z523" i="20"/>
  <c r="AF523" i="20"/>
  <c r="Z524" i="20"/>
  <c r="AF524" i="20"/>
  <c r="Z525" i="20"/>
  <c r="AF525" i="20"/>
  <c r="Z526" i="20"/>
  <c r="AF526" i="20"/>
  <c r="Z527" i="20"/>
  <c r="AF527" i="20"/>
  <c r="Z528" i="20"/>
  <c r="AF528" i="20"/>
  <c r="Z529" i="20"/>
  <c r="AF529" i="20"/>
  <c r="Z530" i="20"/>
  <c r="AF530" i="20"/>
  <c r="Z531" i="20"/>
  <c r="AF531" i="20"/>
  <c r="Z532" i="20"/>
  <c r="AF532" i="20"/>
  <c r="Z533" i="20"/>
  <c r="AF533" i="20"/>
  <c r="Z534" i="20"/>
  <c r="AF534" i="20"/>
  <c r="Z535" i="20"/>
  <c r="AF535" i="20"/>
  <c r="Z536" i="20"/>
  <c r="AF536" i="20"/>
  <c r="Z537" i="20"/>
  <c r="AF537" i="20"/>
  <c r="Z538" i="20"/>
  <c r="AF538" i="20"/>
  <c r="Z539" i="20"/>
  <c r="AF539" i="20"/>
  <c r="Z540" i="20"/>
  <c r="AF540" i="20"/>
  <c r="Z541" i="20"/>
  <c r="AF541" i="20"/>
  <c r="Z542" i="20"/>
  <c r="AF542" i="20"/>
  <c r="Z543" i="20"/>
  <c r="AF543" i="20"/>
  <c r="Z544" i="20"/>
  <c r="AF544" i="20"/>
  <c r="Z545" i="20"/>
  <c r="AF545" i="20"/>
  <c r="Z546" i="20"/>
  <c r="AF546" i="20"/>
  <c r="Z547" i="20"/>
  <c r="AF547" i="20"/>
  <c r="Z548" i="20"/>
  <c r="AF548" i="20"/>
  <c r="Z549" i="20"/>
  <c r="AF549" i="20"/>
  <c r="Z550" i="20"/>
  <c r="AF550" i="20"/>
  <c r="Z551" i="20"/>
  <c r="AF551" i="20"/>
  <c r="Z552" i="20"/>
  <c r="AF552" i="20"/>
  <c r="Z553" i="20"/>
  <c r="AF553" i="20"/>
  <c r="Z554" i="20"/>
  <c r="AF554" i="20"/>
  <c r="Z555" i="20"/>
  <c r="AF555" i="20"/>
  <c r="Z556" i="20"/>
  <c r="AF556" i="20"/>
  <c r="Z557" i="20"/>
  <c r="AF557" i="20"/>
  <c r="Z558" i="20"/>
  <c r="AF558" i="20"/>
  <c r="Z559" i="20"/>
  <c r="AF559" i="20"/>
  <c r="Z560" i="20"/>
  <c r="AF560" i="20"/>
  <c r="Z561" i="20"/>
  <c r="AF561" i="20"/>
  <c r="Z562" i="20"/>
  <c r="AF562" i="20"/>
  <c r="Z563" i="20"/>
  <c r="AF563" i="20"/>
  <c r="Z564" i="20"/>
  <c r="AF564" i="20"/>
  <c r="Z565" i="20"/>
  <c r="AF565" i="20"/>
  <c r="Z566" i="20"/>
  <c r="AF566" i="20"/>
  <c r="Z567" i="20"/>
  <c r="AF567" i="20"/>
  <c r="Z568" i="20"/>
  <c r="AF568" i="20"/>
  <c r="Z569" i="20"/>
  <c r="AF569" i="20"/>
  <c r="Z570" i="20"/>
  <c r="AF570" i="20"/>
  <c r="Z571" i="20"/>
  <c r="AF571" i="20"/>
  <c r="Z572" i="20"/>
  <c r="AF572" i="20"/>
  <c r="Z573" i="20"/>
  <c r="AF573" i="20"/>
  <c r="Z574" i="20"/>
  <c r="AF574" i="20"/>
  <c r="Z575" i="20"/>
  <c r="AF575" i="20"/>
  <c r="Z576" i="20"/>
  <c r="AF576" i="20"/>
  <c r="Z577" i="20"/>
  <c r="AF577" i="20"/>
  <c r="Z578" i="20"/>
  <c r="AF578" i="20"/>
  <c r="Z579" i="20"/>
  <c r="AF579" i="20"/>
  <c r="Z580" i="20"/>
  <c r="AF580" i="20"/>
  <c r="Z581" i="20"/>
  <c r="AF581" i="20"/>
  <c r="Z582" i="20"/>
  <c r="AF582" i="20"/>
  <c r="Z583" i="20"/>
  <c r="AF583" i="20"/>
  <c r="Z584" i="20"/>
  <c r="AF584" i="20"/>
  <c r="Z585" i="20"/>
  <c r="AF585" i="20"/>
  <c r="Z586" i="20"/>
  <c r="AF586" i="20"/>
  <c r="Z587" i="20"/>
  <c r="AF587" i="20"/>
  <c r="D7" i="29"/>
  <c r="R7" i="29"/>
  <c r="S7" i="29"/>
  <c r="V7" i="29"/>
  <c r="W7" i="29"/>
  <c r="X7" i="29"/>
  <c r="D9" i="29"/>
  <c r="R9" i="29"/>
  <c r="S9" i="29"/>
  <c r="V9" i="29"/>
  <c r="W9" i="29"/>
  <c r="X9" i="29"/>
  <c r="D11" i="29"/>
  <c r="R11" i="29"/>
  <c r="S11" i="29"/>
  <c r="V11" i="29"/>
  <c r="W11" i="29"/>
  <c r="X11" i="29"/>
  <c r="D13" i="29"/>
  <c r="R13" i="29"/>
  <c r="S13" i="29"/>
  <c r="V13" i="29"/>
  <c r="W13" i="29"/>
  <c r="X13" i="29"/>
  <c r="D14" i="29"/>
  <c r="R14" i="29"/>
  <c r="S14" i="29"/>
  <c r="V14" i="29"/>
  <c r="W14" i="29"/>
  <c r="X14" i="29"/>
  <c r="D15" i="29"/>
  <c r="R15" i="29"/>
  <c r="S15" i="29"/>
  <c r="V15" i="29"/>
  <c r="W15" i="29"/>
  <c r="X15" i="29"/>
  <c r="Z2" i="21"/>
  <c r="AE2" i="21"/>
  <c r="AJ2" i="21"/>
  <c r="Z3" i="21"/>
  <c r="AE3" i="21"/>
  <c r="Z4" i="21"/>
  <c r="AE4" i="21"/>
  <c r="Z5" i="21"/>
  <c r="AE5" i="21"/>
  <c r="AJ5" i="21"/>
  <c r="Z6" i="21"/>
  <c r="AE6" i="21"/>
  <c r="AJ6" i="21"/>
  <c r="Z7" i="21"/>
  <c r="AE7" i="21"/>
  <c r="Z8" i="21"/>
  <c r="AE8" i="21"/>
  <c r="AJ8" i="21"/>
  <c r="Z9" i="21"/>
  <c r="AE9" i="21"/>
  <c r="Z10" i="21"/>
  <c r="AE10" i="21"/>
  <c r="Z11" i="21"/>
  <c r="AE11" i="21"/>
  <c r="Z12" i="21"/>
  <c r="AE12" i="21"/>
  <c r="Z13" i="21"/>
  <c r="AE13" i="21"/>
  <c r="Z14" i="21"/>
  <c r="AE14" i="21"/>
  <c r="Z15" i="21"/>
  <c r="AE15" i="21"/>
  <c r="Z16" i="21"/>
  <c r="AE16" i="21"/>
  <c r="Z17" i="21"/>
  <c r="AE17" i="21"/>
  <c r="Z18" i="21"/>
  <c r="AE18" i="21"/>
  <c r="Z19" i="21"/>
  <c r="AE19" i="21"/>
  <c r="Z20" i="21"/>
  <c r="AE20" i="21"/>
  <c r="Z21" i="21"/>
  <c r="AE21" i="21"/>
  <c r="Z22" i="21"/>
  <c r="AE22" i="21"/>
  <c r="Z23" i="21"/>
  <c r="AE23" i="21"/>
  <c r="Z24" i="21"/>
  <c r="AE24" i="21"/>
  <c r="Z25" i="21"/>
  <c r="AE25" i="21"/>
  <c r="Y26" i="21"/>
  <c r="AD26" i="21"/>
  <c r="Y27" i="21"/>
  <c r="AD27" i="21"/>
  <c r="Y28" i="21"/>
  <c r="AD28" i="21"/>
  <c r="Y29" i="21"/>
  <c r="AD29" i="21"/>
  <c r="Y30" i="21"/>
  <c r="AD30" i="21"/>
  <c r="Y31" i="21"/>
  <c r="AD31" i="21"/>
  <c r="Y32" i="21"/>
  <c r="AD32" i="21"/>
  <c r="Y33" i="21"/>
  <c r="AD33" i="21"/>
  <c r="Y34" i="21"/>
  <c r="AD34" i="21"/>
  <c r="Y35" i="21"/>
  <c r="AD35" i="21"/>
  <c r="Y36" i="21"/>
  <c r="AD36" i="21"/>
  <c r="Y37" i="21"/>
  <c r="AD37" i="21"/>
  <c r="Y38" i="21"/>
  <c r="AD38" i="21"/>
  <c r="Y39" i="21"/>
  <c r="AD39" i="21"/>
  <c r="Y40" i="21"/>
  <c r="AD40" i="21"/>
  <c r="Y41" i="21"/>
  <c r="AD41" i="21"/>
  <c r="Y42" i="21"/>
  <c r="AD42" i="21"/>
  <c r="Y43" i="21"/>
  <c r="AD43" i="21"/>
  <c r="Y44" i="21"/>
  <c r="AD44" i="21"/>
  <c r="Y45" i="21"/>
  <c r="AD45" i="21"/>
  <c r="Y46" i="21"/>
  <c r="AD46" i="21"/>
  <c r="Y47" i="21"/>
  <c r="AD47" i="21"/>
  <c r="Y48" i="21"/>
  <c r="AD48" i="21"/>
  <c r="Y49" i="21"/>
  <c r="AD49" i="21"/>
  <c r="Z50" i="21"/>
  <c r="AE50" i="21"/>
  <c r="Z51" i="21"/>
  <c r="AE51" i="21"/>
  <c r="Z52" i="21"/>
  <c r="AE52" i="21"/>
  <c r="Z53" i="21"/>
  <c r="AE53" i="21"/>
  <c r="Z54" i="21"/>
  <c r="AE54" i="21"/>
  <c r="Z55" i="21"/>
  <c r="AE55" i="21"/>
  <c r="Z56" i="21"/>
  <c r="AE56" i="21"/>
  <c r="Z57" i="21"/>
  <c r="AE57" i="21"/>
  <c r="Z58" i="21"/>
  <c r="AE58" i="21"/>
  <c r="Z59" i="21"/>
  <c r="AE59" i="21"/>
  <c r="Z60" i="21"/>
  <c r="AE60" i="21"/>
  <c r="Z61" i="21"/>
  <c r="AE61" i="21"/>
  <c r="Z62" i="21"/>
  <c r="AE62" i="21"/>
  <c r="Z63" i="21"/>
  <c r="AE63" i="21"/>
  <c r="Z64" i="21"/>
  <c r="AE64" i="21"/>
  <c r="Z65" i="21"/>
  <c r="AE65" i="21"/>
  <c r="Z66" i="21"/>
  <c r="AE66" i="21"/>
  <c r="Z67" i="21"/>
  <c r="AE67" i="21"/>
  <c r="Z68" i="21"/>
  <c r="AE68" i="21"/>
  <c r="Z69" i="21"/>
  <c r="AE69" i="21"/>
  <c r="Z70" i="21"/>
  <c r="AE70" i="21"/>
  <c r="Z71" i="21"/>
  <c r="AE71" i="21"/>
  <c r="Z72" i="21"/>
  <c r="AE72" i="21"/>
  <c r="Z73" i="21"/>
  <c r="AE73" i="21"/>
  <c r="Z74" i="21"/>
  <c r="AE74" i="21"/>
  <c r="Z75" i="21"/>
  <c r="AE75" i="21"/>
  <c r="Z76" i="21"/>
  <c r="AE76" i="21"/>
  <c r="Z77" i="21"/>
  <c r="AE77" i="21"/>
  <c r="Z78" i="21"/>
  <c r="AE78" i="21"/>
  <c r="Z79" i="21"/>
  <c r="AE79" i="21"/>
  <c r="Z80" i="21"/>
  <c r="AE80" i="21"/>
  <c r="Z81" i="21"/>
  <c r="AE81" i="21"/>
  <c r="Z82" i="21"/>
  <c r="AE82" i="21"/>
  <c r="Z83" i="21"/>
  <c r="AE83" i="21"/>
  <c r="Z84" i="21"/>
  <c r="AE84" i="21"/>
  <c r="Z85" i="21"/>
  <c r="AE85" i="21"/>
  <c r="Y86" i="21"/>
  <c r="AD86" i="21"/>
  <c r="Y87" i="21"/>
  <c r="AD87" i="21"/>
  <c r="Y88" i="21"/>
  <c r="AD88" i="21"/>
  <c r="Y89" i="21"/>
  <c r="AD89" i="21"/>
  <c r="Y90" i="21"/>
  <c r="AD90" i="21"/>
  <c r="Y91" i="21"/>
  <c r="AD91" i="21"/>
  <c r="Y92" i="21"/>
  <c r="AD92" i="21"/>
  <c r="Y93" i="21"/>
  <c r="AD93" i="21"/>
  <c r="Y94" i="21"/>
  <c r="AD94" i="21"/>
  <c r="Y95" i="21"/>
  <c r="AD95" i="21"/>
  <c r="Y96" i="21"/>
  <c r="AD96" i="21"/>
  <c r="Y97" i="21"/>
  <c r="AD97" i="21"/>
  <c r="Z98" i="21"/>
  <c r="AE98" i="21"/>
  <c r="Z99" i="21"/>
  <c r="AE99" i="21"/>
  <c r="Z100" i="21"/>
  <c r="AE100" i="21"/>
  <c r="Z101" i="21"/>
  <c r="AE101" i="21"/>
  <c r="Z102" i="21"/>
  <c r="AE102" i="21"/>
  <c r="Z103" i="21"/>
  <c r="AE103" i="21"/>
  <c r="Z104" i="21"/>
  <c r="AE104" i="21"/>
  <c r="Z105" i="21"/>
  <c r="AE105" i="21"/>
  <c r="Z106" i="21"/>
  <c r="AE106" i="21"/>
  <c r="Z107" i="21"/>
  <c r="AE107" i="21"/>
  <c r="Z108" i="21"/>
  <c r="AE108" i="21"/>
  <c r="Z109" i="21"/>
  <c r="AE109" i="21"/>
  <c r="Z110" i="21"/>
  <c r="AE110" i="21"/>
  <c r="Z111" i="21"/>
  <c r="AE111" i="21"/>
  <c r="Z112" i="21"/>
  <c r="AE112" i="21"/>
  <c r="Z113" i="21"/>
  <c r="AE113" i="21"/>
  <c r="Z114" i="21"/>
  <c r="AE114" i="21"/>
  <c r="Z115" i="21"/>
  <c r="AE115" i="21"/>
  <c r="Z116" i="21"/>
  <c r="AE116" i="21"/>
  <c r="Z117" i="21"/>
  <c r="AE117" i="21"/>
  <c r="Z118" i="21"/>
  <c r="AE118" i="21"/>
  <c r="Z119" i="21"/>
  <c r="AE119" i="21"/>
  <c r="Z120" i="21"/>
  <c r="AE120" i="21"/>
  <c r="Z121" i="21"/>
  <c r="AE121" i="21"/>
  <c r="Y122" i="21"/>
  <c r="AD122" i="21"/>
  <c r="Y123" i="21"/>
  <c r="AD123" i="21"/>
  <c r="Y124" i="21"/>
  <c r="AD124" i="21"/>
  <c r="Y125" i="21"/>
  <c r="AD125" i="21"/>
  <c r="Y126" i="21"/>
  <c r="AD126" i="21"/>
  <c r="Y127" i="21"/>
  <c r="AD127" i="21"/>
  <c r="Y128" i="21"/>
  <c r="AD128" i="21"/>
  <c r="Y129" i="21"/>
  <c r="AD129" i="21"/>
  <c r="Y130" i="21"/>
  <c r="AD130" i="21"/>
  <c r="Y131" i="21"/>
  <c r="AD131" i="21"/>
  <c r="Y132" i="21"/>
  <c r="AD132" i="21"/>
  <c r="Y133" i="21"/>
  <c r="AD133" i="21"/>
  <c r="Z134" i="21"/>
  <c r="AE134" i="21"/>
  <c r="Z135" i="21"/>
  <c r="AE135" i="21"/>
  <c r="Z136" i="21"/>
  <c r="AE136" i="21"/>
  <c r="Z137" i="21"/>
  <c r="AE137" i="21"/>
  <c r="Z138" i="21"/>
  <c r="AE138" i="21"/>
  <c r="Z139" i="21"/>
  <c r="AE139" i="21"/>
  <c r="Z140" i="21"/>
  <c r="AE140" i="21"/>
  <c r="Z141" i="21"/>
  <c r="AE141" i="21"/>
  <c r="Z142" i="21"/>
  <c r="AE142" i="21"/>
  <c r="Z143" i="21"/>
  <c r="AE143" i="21"/>
  <c r="Z144" i="21"/>
  <c r="AE144" i="21"/>
  <c r="Z145" i="21"/>
  <c r="AE145" i="21"/>
  <c r="Z146" i="21"/>
  <c r="AE146" i="21"/>
  <c r="Z147" i="21"/>
  <c r="AE147" i="21"/>
  <c r="Z148" i="21"/>
  <c r="AE148" i="21"/>
  <c r="Z149" i="21"/>
  <c r="AE149" i="21"/>
  <c r="Z150" i="21"/>
  <c r="AE150" i="21"/>
  <c r="Z151" i="21"/>
  <c r="AE151" i="21"/>
  <c r="Z152" i="21"/>
  <c r="AE152" i="21"/>
  <c r="Z153" i="21"/>
  <c r="AE153" i="21"/>
  <c r="Z154" i="21"/>
  <c r="AE154" i="21"/>
  <c r="Z155" i="21"/>
  <c r="AE155" i="21"/>
  <c r="Z156" i="21"/>
  <c r="AE156" i="21"/>
  <c r="Z157" i="21"/>
  <c r="AE157" i="21"/>
  <c r="Z158" i="21"/>
  <c r="AE158" i="21"/>
  <c r="Z159" i="21"/>
  <c r="AE159" i="21"/>
  <c r="Z160" i="21"/>
  <c r="AE160" i="21"/>
  <c r="Z161" i="21"/>
  <c r="AE161" i="21"/>
  <c r="Z162" i="21"/>
  <c r="AE162" i="21"/>
  <c r="Z163" i="21"/>
  <c r="AE163" i="21"/>
  <c r="Z164" i="21"/>
  <c r="AE164" i="21"/>
  <c r="Z165" i="21"/>
  <c r="AE165" i="21"/>
  <c r="Z166" i="21"/>
  <c r="AE166" i="21"/>
  <c r="Z167" i="21"/>
  <c r="AE167" i="21"/>
  <c r="Z168" i="21"/>
  <c r="AE168" i="21"/>
  <c r="Z169" i="21"/>
  <c r="AE169" i="21"/>
  <c r="Z170" i="21"/>
  <c r="AE170" i="21"/>
  <c r="Z171" i="21"/>
  <c r="AE171" i="21"/>
  <c r="Z172" i="21"/>
  <c r="AE172" i="21"/>
  <c r="Z173" i="21"/>
  <c r="AE173" i="21"/>
  <c r="Z174" i="21"/>
  <c r="AE174" i="21"/>
  <c r="Z175" i="21"/>
  <c r="AE175" i="21"/>
  <c r="Z176" i="21"/>
  <c r="AE176" i="21"/>
  <c r="Z177" i="21"/>
  <c r="AE177" i="21"/>
  <c r="Z178" i="21"/>
  <c r="AE178" i="21"/>
  <c r="Z179" i="21"/>
  <c r="AE179" i="21"/>
  <c r="Z180" i="21"/>
  <c r="AE180" i="21"/>
  <c r="Z181" i="21"/>
  <c r="AE181" i="21"/>
  <c r="Z182" i="21"/>
  <c r="AE182" i="21"/>
  <c r="Z183" i="21"/>
  <c r="AE183" i="21"/>
  <c r="Z184" i="21"/>
  <c r="AE184" i="21"/>
  <c r="Z185" i="21"/>
  <c r="AE185" i="21"/>
  <c r="Z186" i="21"/>
  <c r="AE186" i="21"/>
  <c r="Z187" i="21"/>
  <c r="AE187" i="21"/>
  <c r="Z188" i="21"/>
  <c r="AE188" i="21"/>
  <c r="Z189" i="21"/>
  <c r="AE189" i="21"/>
  <c r="Z190" i="21"/>
  <c r="AE190" i="21"/>
  <c r="Z191" i="21"/>
  <c r="AE191" i="21"/>
  <c r="Z192" i="21"/>
  <c r="AE192" i="21"/>
  <c r="Z193" i="21"/>
  <c r="AE193" i="21"/>
  <c r="Z194" i="21"/>
  <c r="AE194" i="21"/>
  <c r="Z195" i="21"/>
  <c r="AE195" i="21"/>
  <c r="Z196" i="21"/>
  <c r="AE196" i="21"/>
  <c r="Z197" i="21"/>
  <c r="AE197" i="21"/>
  <c r="Z198" i="21"/>
  <c r="AE198" i="21"/>
  <c r="Z199" i="21"/>
  <c r="AE199" i="21"/>
  <c r="Z200" i="21"/>
  <c r="AE200" i="21"/>
  <c r="Z201" i="21"/>
  <c r="AE201" i="21"/>
  <c r="Z202" i="21"/>
  <c r="AE202" i="21"/>
  <c r="Z203" i="21"/>
  <c r="AE203" i="21"/>
  <c r="Z204" i="21"/>
  <c r="AE204" i="21"/>
  <c r="Z205" i="21"/>
  <c r="AE205" i="21"/>
  <c r="Z206" i="21"/>
  <c r="AE206" i="21"/>
  <c r="Z207" i="21"/>
  <c r="AE207" i="21"/>
  <c r="Z208" i="21"/>
  <c r="AE208" i="21"/>
  <c r="Z209" i="21"/>
  <c r="AE209" i="21"/>
  <c r="Z210" i="21"/>
  <c r="AE210" i="21"/>
  <c r="Z211" i="21"/>
  <c r="AE211" i="21"/>
  <c r="Z212" i="21"/>
  <c r="AE212" i="21"/>
  <c r="Z213" i="21"/>
  <c r="AE213" i="21"/>
  <c r="Z214" i="21"/>
  <c r="AE214" i="21"/>
  <c r="Z215" i="21"/>
  <c r="AE215" i="21"/>
  <c r="Z216" i="21"/>
  <c r="AE216" i="21"/>
  <c r="Z217" i="21"/>
  <c r="AE217" i="21"/>
  <c r="Z218" i="21"/>
  <c r="AE218" i="21"/>
  <c r="Z219" i="21"/>
  <c r="AE219" i="21"/>
  <c r="Z220" i="21"/>
  <c r="AE220" i="21"/>
  <c r="Z221" i="21"/>
  <c r="AE221" i="21"/>
  <c r="Z222" i="21"/>
  <c r="AE222" i="21"/>
  <c r="Z223" i="21"/>
  <c r="AE223" i="21"/>
  <c r="Z224" i="21"/>
  <c r="AE224" i="21"/>
  <c r="Z225" i="21"/>
  <c r="AE225" i="21"/>
  <c r="Z226" i="21"/>
  <c r="AE226" i="21"/>
  <c r="Z227" i="21"/>
  <c r="AE227" i="21"/>
  <c r="Z228" i="21"/>
  <c r="AE228" i="21"/>
  <c r="Z229" i="21"/>
  <c r="AE229" i="21"/>
  <c r="Z230" i="21"/>
  <c r="AE230" i="21"/>
  <c r="E5" i="32"/>
  <c r="F5" i="32"/>
  <c r="H5" i="32"/>
  <c r="I5" i="32"/>
  <c r="R5" i="32"/>
  <c r="U5" i="32"/>
  <c r="E6" i="32"/>
  <c r="F6" i="32"/>
  <c r="H6" i="32"/>
  <c r="I6" i="32"/>
  <c r="R6" i="32"/>
  <c r="U6" i="32"/>
  <c r="E7" i="32"/>
  <c r="F7" i="32"/>
  <c r="H7" i="32"/>
  <c r="I7" i="32"/>
  <c r="R7" i="32"/>
  <c r="U7" i="32"/>
  <c r="E8" i="32"/>
  <c r="F8" i="32"/>
  <c r="H8" i="32"/>
  <c r="I8" i="32"/>
  <c r="R8" i="32"/>
  <c r="U8" i="32"/>
  <c r="E9" i="32"/>
  <c r="H9" i="32"/>
  <c r="R9" i="32"/>
  <c r="U9" i="32"/>
  <c r="F10" i="32"/>
  <c r="I10" i="32"/>
  <c r="R10" i="32"/>
  <c r="U10" i="32"/>
  <c r="F11" i="32"/>
  <c r="I11" i="32"/>
  <c r="R11" i="32"/>
  <c r="U11" i="32"/>
  <c r="E12" i="32"/>
  <c r="H12" i="32"/>
  <c r="R12" i="32"/>
  <c r="U12" i="32"/>
  <c r="F13" i="32"/>
  <c r="I13" i="32"/>
  <c r="R13" i="32"/>
  <c r="U13" i="32"/>
  <c r="F14" i="32"/>
  <c r="I14" i="32"/>
  <c r="R14" i="32"/>
  <c r="U14" i="32"/>
  <c r="E15" i="32"/>
  <c r="H15" i="32"/>
  <c r="R15" i="32"/>
  <c r="U15" i="32"/>
  <c r="R16" i="32"/>
  <c r="U16" i="32"/>
  <c r="R17" i="32"/>
  <c r="U17" i="32"/>
  <c r="R18" i="32"/>
  <c r="U18" i="32"/>
  <c r="R19" i="32"/>
  <c r="U19" i="32"/>
  <c r="R20" i="32"/>
  <c r="U20" i="32"/>
  <c r="R21" i="32"/>
  <c r="U21" i="32"/>
  <c r="R22" i="32"/>
  <c r="U22" i="32"/>
  <c r="R23" i="32"/>
  <c r="U23" i="32"/>
  <c r="R24" i="32"/>
  <c r="U24" i="32"/>
  <c r="R25" i="32"/>
  <c r="U25" i="32"/>
  <c r="R26" i="32"/>
  <c r="U26" i="32"/>
  <c r="R27" i="32"/>
  <c r="U27" i="32"/>
  <c r="R28" i="32"/>
  <c r="U28" i="32"/>
  <c r="R29" i="32"/>
  <c r="U29" i="32"/>
  <c r="R30" i="32"/>
  <c r="U30" i="32"/>
  <c r="R31" i="32"/>
  <c r="U31" i="32"/>
  <c r="R32" i="32"/>
  <c r="U32" i="32"/>
  <c r="R33" i="32"/>
  <c r="U33" i="32"/>
  <c r="Q34" i="32"/>
  <c r="T34" i="32"/>
  <c r="Q35" i="32"/>
  <c r="T35" i="32"/>
  <c r="N7" i="10"/>
  <c r="AJ7" i="10"/>
  <c r="AK7" i="10"/>
  <c r="N8" i="10"/>
  <c r="AJ8" i="10"/>
  <c r="AK8" i="10"/>
  <c r="N11" i="10"/>
  <c r="AJ11" i="10"/>
  <c r="AK11" i="10"/>
  <c r="N12" i="10"/>
  <c r="AJ12" i="10"/>
  <c r="AK12" i="10"/>
  <c r="N13" i="10"/>
  <c r="AJ13" i="10"/>
  <c r="AK13" i="10"/>
  <c r="N14" i="10"/>
  <c r="AJ14" i="10"/>
  <c r="AK14" i="10"/>
  <c r="N17" i="10"/>
  <c r="AJ17" i="10"/>
  <c r="AK17" i="10"/>
  <c r="N18" i="10"/>
  <c r="AJ18" i="10"/>
  <c r="AK18" i="10"/>
  <c r="N19" i="10"/>
  <c r="AJ19" i="10"/>
  <c r="AK19" i="10"/>
  <c r="N20" i="10"/>
  <c r="AJ20" i="10"/>
  <c r="AK20" i="10"/>
  <c r="N21" i="10"/>
  <c r="AJ21" i="10"/>
  <c r="AK21" i="10"/>
  <c r="N22" i="10"/>
  <c r="AJ22" i="10"/>
  <c r="AK22" i="10"/>
  <c r="N23" i="10"/>
  <c r="AJ23" i="10"/>
  <c r="AK23" i="10"/>
  <c r="N24" i="10"/>
  <c r="AJ24" i="10"/>
  <c r="AK24" i="10"/>
  <c r="N25" i="10"/>
  <c r="AJ25" i="10"/>
  <c r="AK25" i="10"/>
  <c r="N26" i="10"/>
  <c r="AJ26" i="10"/>
  <c r="AK26" i="10"/>
  <c r="N27" i="10"/>
  <c r="AJ27" i="10"/>
  <c r="AK27" i="10"/>
  <c r="N28" i="10"/>
  <c r="AJ28" i="10"/>
  <c r="AK28" i="10"/>
  <c r="N29" i="10"/>
  <c r="AJ29" i="10"/>
  <c r="AK29" i="10"/>
  <c r="N30" i="10"/>
  <c r="AJ30" i="10"/>
  <c r="AK30" i="10"/>
  <c r="N31" i="10"/>
  <c r="AJ31" i="10"/>
  <c r="AK31" i="10"/>
  <c r="N32" i="10"/>
  <c r="AJ32" i="10"/>
  <c r="AK32" i="10"/>
  <c r="N33" i="10"/>
  <c r="AJ33" i="10"/>
  <c r="AK33" i="10"/>
  <c r="N34" i="10"/>
  <c r="AJ34" i="10"/>
  <c r="AK34" i="10"/>
  <c r="N35" i="10"/>
  <c r="AJ35" i="10"/>
  <c r="AK35" i="10"/>
  <c r="N36" i="10"/>
  <c r="AJ36" i="10"/>
  <c r="AK36" i="10"/>
  <c r="N37" i="10"/>
  <c r="AJ37" i="10"/>
  <c r="AK37" i="10"/>
  <c r="N38" i="10"/>
  <c r="AJ38" i="10"/>
  <c r="AK38" i="10"/>
  <c r="N39" i="10"/>
  <c r="AJ39" i="10"/>
  <c r="AK39" i="10"/>
  <c r="N40" i="10"/>
  <c r="AJ40" i="10"/>
  <c r="AK40" i="10"/>
  <c r="N41" i="10"/>
  <c r="AJ41" i="10"/>
  <c r="AK41" i="10"/>
  <c r="N42" i="10"/>
  <c r="AJ42" i="10"/>
  <c r="AK42" i="10"/>
  <c r="N43" i="10"/>
  <c r="AJ43" i="10"/>
  <c r="AK43" i="10"/>
  <c r="N44" i="10"/>
  <c r="AJ44" i="10"/>
  <c r="AK44" i="10"/>
  <c r="N45" i="10"/>
  <c r="AJ45" i="10"/>
  <c r="AK45" i="10"/>
  <c r="N46" i="10"/>
  <c r="AJ46" i="10"/>
  <c r="AK46" i="10"/>
  <c r="N47" i="10"/>
  <c r="AJ47" i="10"/>
  <c r="AK47" i="10"/>
  <c r="N48" i="10"/>
  <c r="AJ48" i="10"/>
  <c r="AK48" i="10"/>
  <c r="N49" i="10"/>
  <c r="AJ49" i="10"/>
  <c r="AK49" i="10"/>
  <c r="N50" i="10"/>
  <c r="AJ50" i="10"/>
  <c r="AK50" i="10"/>
  <c r="N51" i="10"/>
  <c r="AJ51" i="10"/>
  <c r="AK51" i="10"/>
  <c r="N55" i="10"/>
  <c r="AJ55" i="10"/>
  <c r="AK55" i="10"/>
  <c r="N60" i="10"/>
  <c r="AJ60" i="10"/>
  <c r="AK60" i="10"/>
  <c r="L63" i="10"/>
  <c r="N63" i="10"/>
  <c r="L64" i="10"/>
  <c r="N64" i="10"/>
  <c r="N65" i="10"/>
  <c r="L66" i="10"/>
  <c r="L67" i="10"/>
  <c r="L68" i="10"/>
  <c r="L69" i="10"/>
  <c r="L70" i="10"/>
  <c r="N5" i="27"/>
  <c r="AB5" i="27"/>
  <c r="AC5" i="27"/>
  <c r="AF5" i="27"/>
  <c r="AG5" i="27"/>
  <c r="N6" i="27"/>
  <c r="AB6" i="27"/>
  <c r="AC6" i="27"/>
  <c r="AF6" i="27"/>
  <c r="AG6" i="27"/>
  <c r="N7" i="27"/>
  <c r="AB7" i="27"/>
  <c r="AC7" i="27"/>
  <c r="AF7" i="27"/>
  <c r="AG7" i="27"/>
  <c r="N8" i="27"/>
  <c r="AB8" i="27"/>
  <c r="AC8" i="27"/>
  <c r="AF8" i="27"/>
  <c r="AG8" i="27"/>
  <c r="N9" i="27"/>
  <c r="AB9" i="27"/>
  <c r="AC9" i="27"/>
  <c r="AF9" i="27"/>
  <c r="AG9" i="27"/>
  <c r="N10" i="27"/>
  <c r="AB10" i="27"/>
  <c r="AC10" i="27"/>
  <c r="AF10" i="27"/>
  <c r="AG10" i="27"/>
  <c r="N11" i="27"/>
  <c r="AB11" i="27"/>
  <c r="AC11" i="27"/>
  <c r="AF11" i="27"/>
  <c r="AG11" i="27"/>
  <c r="N12" i="27"/>
  <c r="AB12" i="27"/>
  <c r="AC12" i="27"/>
  <c r="AF12" i="27"/>
  <c r="AG12" i="27"/>
  <c r="N13" i="27"/>
  <c r="AB13" i="27"/>
  <c r="AC13" i="27"/>
  <c r="AF13" i="27"/>
  <c r="AG13" i="27"/>
  <c r="N14" i="27"/>
  <c r="AB14" i="27"/>
  <c r="AC14" i="27"/>
  <c r="AF14" i="27"/>
  <c r="AG14" i="27"/>
  <c r="N15" i="27"/>
  <c r="AB15" i="27"/>
  <c r="AC15" i="27"/>
  <c r="AF15" i="27"/>
  <c r="AG15" i="27"/>
  <c r="N16" i="27"/>
  <c r="AB16" i="27"/>
  <c r="AC16" i="27"/>
  <c r="AF16" i="27"/>
  <c r="AG16" i="27"/>
  <c r="N17" i="27"/>
  <c r="AB17" i="27"/>
  <c r="AC17" i="27"/>
  <c r="AF17" i="27"/>
  <c r="AG17" i="27"/>
  <c r="N18" i="27"/>
  <c r="AB18" i="27"/>
  <c r="AC18" i="27"/>
  <c r="AF18" i="27"/>
  <c r="AG18" i="27"/>
  <c r="N19" i="27"/>
  <c r="AB19" i="27"/>
  <c r="AC19" i="27"/>
  <c r="AF19" i="27"/>
  <c r="AG19" i="27"/>
  <c r="N20" i="27"/>
  <c r="AB20" i="27"/>
  <c r="AC20" i="27"/>
  <c r="AF20" i="27"/>
  <c r="AG20" i="27"/>
  <c r="N21" i="27"/>
  <c r="AB21" i="27"/>
  <c r="AC21" i="27"/>
  <c r="AF21" i="27"/>
  <c r="AG21" i="27"/>
  <c r="N22" i="27"/>
  <c r="AB22" i="27"/>
  <c r="AC22" i="27"/>
  <c r="AF22" i="27"/>
  <c r="AG22" i="27"/>
  <c r="N23" i="27"/>
  <c r="AB23" i="27"/>
  <c r="AC23" i="27"/>
  <c r="AF23" i="27"/>
  <c r="AG23" i="27"/>
  <c r="N24" i="27"/>
  <c r="AB24" i="27"/>
  <c r="AC24" i="27"/>
  <c r="AF24" i="27"/>
  <c r="AG24" i="27"/>
  <c r="N25" i="27"/>
  <c r="AB25" i="27"/>
  <c r="AC25" i="27"/>
  <c r="AF25" i="27"/>
  <c r="AG25" i="27"/>
  <c r="N26" i="27"/>
  <c r="AB26" i="27"/>
  <c r="AC26" i="27"/>
  <c r="AF26" i="27"/>
  <c r="AG26" i="27"/>
  <c r="N27" i="27"/>
  <c r="AB27" i="27"/>
  <c r="AC27" i="27"/>
  <c r="AF27" i="27"/>
  <c r="AG27" i="27"/>
  <c r="N28" i="27"/>
  <c r="AB28" i="27"/>
  <c r="AC28" i="27"/>
  <c r="AF28" i="27"/>
  <c r="AG28" i="27"/>
  <c r="N29" i="27"/>
  <c r="AB29" i="27"/>
  <c r="AC29" i="27"/>
  <c r="AF29" i="27"/>
  <c r="AG29" i="27"/>
  <c r="N30" i="27"/>
  <c r="AB30" i="27"/>
  <c r="AC30" i="27"/>
  <c r="AF30" i="27"/>
  <c r="AG30" i="27"/>
  <c r="N31" i="27"/>
  <c r="AB31" i="27"/>
  <c r="AC31" i="27"/>
  <c r="AF31" i="27"/>
  <c r="AG31" i="27"/>
  <c r="N32" i="27"/>
  <c r="AB32" i="27"/>
  <c r="AC32" i="27"/>
  <c r="AF32" i="27"/>
  <c r="AG32" i="27"/>
  <c r="N33" i="27"/>
  <c r="AB33" i="27"/>
  <c r="AC33" i="27"/>
  <c r="AF33" i="27"/>
  <c r="AG33" i="27"/>
  <c r="N34" i="27"/>
  <c r="AB34" i="27"/>
  <c r="AC34" i="27"/>
  <c r="AF34" i="27"/>
  <c r="AG34" i="27"/>
  <c r="N35" i="27"/>
  <c r="AB35" i="27"/>
  <c r="AC35" i="27"/>
  <c r="AF35" i="27"/>
  <c r="AG35" i="27"/>
  <c r="N36" i="27"/>
  <c r="AB36" i="27"/>
  <c r="AC36" i="27"/>
  <c r="AF36" i="27"/>
  <c r="AG36" i="27"/>
  <c r="N37" i="27"/>
  <c r="AB37" i="27"/>
  <c r="AC37" i="27"/>
  <c r="AF37" i="27"/>
  <c r="AG37" i="27"/>
  <c r="N38" i="27"/>
  <c r="AB38" i="27"/>
  <c r="AC38" i="27"/>
  <c r="AF38" i="27"/>
  <c r="AG38" i="27"/>
  <c r="N39" i="27"/>
  <c r="AB39" i="27"/>
  <c r="AC39" i="27"/>
  <c r="AF39" i="27"/>
  <c r="AG39" i="27"/>
  <c r="N40" i="27"/>
  <c r="AB40" i="27"/>
  <c r="AC40" i="27"/>
  <c r="AF40" i="27"/>
  <c r="AG40" i="27"/>
  <c r="N41" i="27"/>
  <c r="AB41" i="27"/>
  <c r="AC41" i="27"/>
  <c r="AF41" i="27"/>
  <c r="AG41" i="27"/>
  <c r="N42" i="27"/>
  <c r="AB42" i="27"/>
  <c r="AC42" i="27"/>
  <c r="AF42" i="27"/>
  <c r="AG42" i="27"/>
  <c r="N43" i="27"/>
  <c r="AB43" i="27"/>
  <c r="AC43" i="27"/>
  <c r="AF43" i="27"/>
  <c r="AG43" i="27"/>
  <c r="N44" i="27"/>
  <c r="AB44" i="27"/>
  <c r="AC44" i="27"/>
  <c r="AF44" i="27"/>
  <c r="AG44" i="27"/>
  <c r="N45" i="27"/>
  <c r="AB45" i="27"/>
  <c r="AC45" i="27"/>
  <c r="AF45" i="27"/>
  <c r="AG45" i="27"/>
  <c r="N46" i="27"/>
  <c r="AB46" i="27"/>
  <c r="AC46" i="27"/>
  <c r="AF46" i="27"/>
  <c r="AG46" i="27"/>
  <c r="N47" i="27"/>
  <c r="AB47" i="27"/>
  <c r="AC47" i="27"/>
  <c r="AF47" i="27"/>
  <c r="AG47" i="27"/>
  <c r="N48" i="27"/>
  <c r="AB48" i="27"/>
  <c r="AC48" i="27"/>
  <c r="AF48" i="27"/>
  <c r="AG48" i="27"/>
  <c r="N49" i="27"/>
  <c r="AB49" i="27"/>
  <c r="AC49" i="27"/>
  <c r="AF49" i="27"/>
  <c r="AG49" i="27"/>
  <c r="N50" i="27"/>
  <c r="AB50" i="27"/>
  <c r="AC50" i="27"/>
  <c r="AF50" i="27"/>
  <c r="AG50" i="27"/>
  <c r="N51" i="27"/>
  <c r="AB51" i="27"/>
  <c r="AC51" i="27"/>
  <c r="AF51" i="27"/>
  <c r="AG51" i="27"/>
  <c r="N57" i="27"/>
  <c r="AB57" i="27"/>
  <c r="AC57" i="27"/>
  <c r="AF57" i="27"/>
  <c r="AG57" i="27"/>
  <c r="N58" i="27"/>
  <c r="AB58" i="27"/>
  <c r="AC58" i="27"/>
  <c r="AF58" i="27"/>
  <c r="AG58" i="27"/>
  <c r="N59" i="27"/>
  <c r="AB59" i="27"/>
  <c r="AC59" i="27"/>
  <c r="AF59" i="27"/>
  <c r="AG59" i="27"/>
  <c r="N60" i="27"/>
  <c r="AB60" i="27"/>
  <c r="AC60" i="27"/>
  <c r="AF60" i="27"/>
  <c r="AG60" i="27"/>
  <c r="N61" i="27"/>
  <c r="AB61" i="27"/>
  <c r="AC61" i="27"/>
  <c r="AF61" i="27"/>
  <c r="AG61" i="27"/>
  <c r="N62" i="27"/>
  <c r="AB62" i="27"/>
  <c r="AC62" i="27"/>
  <c r="AF62" i="27"/>
  <c r="AG62" i="27"/>
  <c r="N63" i="27"/>
  <c r="AB63" i="27"/>
  <c r="AC63" i="27"/>
  <c r="AF63" i="27"/>
  <c r="AG63" i="27"/>
  <c r="N64" i="27"/>
  <c r="AB64" i="27"/>
  <c r="AC64" i="27"/>
  <c r="AF64" i="27"/>
  <c r="AG64" i="27"/>
  <c r="N65" i="27"/>
  <c r="AB65" i="27"/>
  <c r="AC65" i="27"/>
  <c r="AF65" i="27"/>
  <c r="AG65" i="27"/>
  <c r="N66" i="27"/>
  <c r="AB66" i="27"/>
  <c r="AC66" i="27"/>
  <c r="AF66" i="27"/>
  <c r="AG66" i="27"/>
  <c r="N67" i="27"/>
  <c r="AB67" i="27"/>
  <c r="AC67" i="27"/>
  <c r="AF67" i="27"/>
  <c r="AG67" i="27"/>
  <c r="N68" i="27"/>
  <c r="AB68" i="27"/>
  <c r="AC68" i="27"/>
  <c r="AF68" i="27"/>
  <c r="AG68" i="27"/>
  <c r="N69" i="27"/>
  <c r="AB69" i="27"/>
  <c r="AC69" i="27"/>
  <c r="AF69" i="27"/>
  <c r="AG69" i="27"/>
  <c r="N70" i="27"/>
  <c r="AB70" i="27"/>
  <c r="AC70" i="27"/>
  <c r="AF70" i="27"/>
  <c r="AG70" i="27"/>
  <c r="N71" i="27"/>
  <c r="AB71" i="27"/>
  <c r="AC71" i="27"/>
  <c r="AF71" i="27"/>
  <c r="AG71" i="27"/>
  <c r="N72" i="27"/>
  <c r="AB72" i="27"/>
  <c r="AC72" i="27"/>
  <c r="AF72" i="27"/>
  <c r="AG72" i="27"/>
  <c r="N73" i="27"/>
  <c r="AB73" i="27"/>
  <c r="AC73" i="27"/>
  <c r="AF73" i="27"/>
  <c r="AG73" i="27"/>
  <c r="N74" i="27"/>
  <c r="AB74" i="27"/>
  <c r="AC74" i="27"/>
  <c r="AF74" i="27"/>
  <c r="AG74" i="27"/>
  <c r="N75" i="27"/>
  <c r="AB75" i="27"/>
  <c r="AC75" i="27"/>
  <c r="AF75" i="27"/>
  <c r="AG75" i="27"/>
  <c r="N76" i="27"/>
  <c r="AB76" i="27"/>
  <c r="AC76" i="27"/>
  <c r="AF76" i="27"/>
  <c r="AG76" i="27"/>
  <c r="N77" i="27"/>
  <c r="AB77" i="27"/>
  <c r="AC77" i="27"/>
  <c r="AF77" i="27"/>
  <c r="AG77" i="27"/>
  <c r="N78" i="27"/>
  <c r="AB78" i="27"/>
  <c r="AC78" i="27"/>
  <c r="AF78" i="27"/>
  <c r="AG78" i="27"/>
  <c r="N79" i="27"/>
  <c r="AB79" i="27"/>
  <c r="AC79" i="27"/>
  <c r="AF79" i="27"/>
  <c r="AG79" i="27"/>
  <c r="N80" i="27"/>
  <c r="AB80" i="27"/>
  <c r="AC80" i="27"/>
  <c r="AF80" i="27"/>
  <c r="AG80" i="27"/>
  <c r="N81" i="27"/>
  <c r="AB81" i="27"/>
  <c r="AC81" i="27"/>
  <c r="AF81" i="27"/>
  <c r="AG81" i="27"/>
  <c r="N82" i="27"/>
  <c r="AB82" i="27"/>
  <c r="AC82" i="27"/>
  <c r="AF82" i="27"/>
  <c r="AG82" i="27"/>
  <c r="N83" i="27"/>
  <c r="AB83" i="27"/>
  <c r="AC83" i="27"/>
  <c r="AF83" i="27"/>
  <c r="AG83" i="27"/>
  <c r="N84" i="27"/>
  <c r="AB84" i="27"/>
  <c r="AC84" i="27"/>
  <c r="AF84" i="27"/>
  <c r="AG84" i="27"/>
  <c r="N85" i="27"/>
  <c r="AB85" i="27"/>
  <c r="AC85" i="27"/>
  <c r="AF85" i="27"/>
  <c r="AG85" i="27"/>
  <c r="N86" i="27"/>
  <c r="AB86" i="27"/>
  <c r="AC86" i="27"/>
  <c r="AF86" i="27"/>
  <c r="AG86" i="27"/>
  <c r="N87" i="27"/>
  <c r="AB87" i="27"/>
  <c r="AC87" i="27"/>
  <c r="AF87" i="27"/>
  <c r="AG87" i="27"/>
  <c r="N88" i="27"/>
  <c r="AB88" i="27"/>
  <c r="AC88" i="27"/>
  <c r="AF88" i="27"/>
  <c r="AG88" i="27"/>
  <c r="N89" i="27"/>
  <c r="AB89" i="27"/>
  <c r="AC89" i="27"/>
  <c r="AF89" i="27"/>
  <c r="AG89" i="27"/>
  <c r="N90" i="27"/>
  <c r="AB90" i="27"/>
  <c r="AC90" i="27"/>
  <c r="AF90" i="27"/>
  <c r="AG90" i="27"/>
  <c r="N91" i="27"/>
  <c r="AB91" i="27"/>
  <c r="AC91" i="27"/>
  <c r="AF91" i="27"/>
  <c r="AG91" i="27"/>
  <c r="N92" i="27"/>
  <c r="AB92" i="27"/>
  <c r="AC92" i="27"/>
  <c r="AF92" i="27"/>
  <c r="AG92" i="27"/>
  <c r="N93" i="27"/>
  <c r="AB93" i="27"/>
  <c r="AC93" i="27"/>
  <c r="AF93" i="27"/>
  <c r="AG93" i="27"/>
  <c r="N94" i="27"/>
  <c r="AB94" i="27"/>
  <c r="AC94" i="27"/>
  <c r="AF94" i="27"/>
  <c r="AG94" i="27"/>
  <c r="N95" i="27"/>
  <c r="AB95" i="27"/>
  <c r="AC95" i="27"/>
  <c r="AF95" i="27"/>
  <c r="AG95" i="27"/>
  <c r="N96" i="27"/>
  <c r="AB96" i="27"/>
  <c r="AC96" i="27"/>
  <c r="AF96" i="27"/>
  <c r="AG96" i="27"/>
  <c r="N97" i="27"/>
  <c r="AB97" i="27"/>
  <c r="AC97" i="27"/>
  <c r="AF97" i="27"/>
  <c r="AG97" i="27"/>
  <c r="N98" i="27"/>
  <c r="AB98" i="27"/>
  <c r="AC98" i="27"/>
  <c r="AF98" i="27"/>
  <c r="AG98" i="27"/>
  <c r="N99" i="27"/>
  <c r="AB99" i="27"/>
  <c r="AC99" i="27"/>
  <c r="AF99" i="27"/>
  <c r="AG99" i="27"/>
  <c r="N100" i="27"/>
  <c r="AB100" i="27"/>
  <c r="AC100" i="27"/>
  <c r="AF100" i="27"/>
  <c r="AG100" i="27"/>
  <c r="N101" i="27"/>
  <c r="AB101" i="27"/>
  <c r="AC101" i="27"/>
  <c r="AF101" i="27"/>
  <c r="AG101" i="27"/>
  <c r="N102" i="27"/>
  <c r="AB102" i="27"/>
  <c r="AC102" i="27"/>
  <c r="AF102" i="27"/>
  <c r="AG102" i="27"/>
  <c r="N103" i="27"/>
  <c r="AB103" i="27"/>
  <c r="AC103" i="27"/>
  <c r="AF103" i="27"/>
  <c r="AG103" i="27"/>
  <c r="N5" i="11"/>
  <c r="T5" i="11"/>
  <c r="AJ5" i="11"/>
  <c r="AK5" i="11"/>
  <c r="AL5" i="11"/>
  <c r="AM5" i="11"/>
  <c r="N6" i="11"/>
  <c r="T6" i="11"/>
  <c r="AJ6" i="11"/>
  <c r="AK6" i="11"/>
  <c r="AL6" i="11"/>
  <c r="AM6" i="11"/>
  <c r="N7" i="11"/>
  <c r="T7" i="11"/>
  <c r="AJ7" i="11"/>
  <c r="AK7" i="11"/>
  <c r="AL7" i="11"/>
  <c r="AM7" i="11"/>
  <c r="N8" i="11"/>
  <c r="T8" i="11"/>
  <c r="AJ8" i="11"/>
  <c r="AK8" i="11"/>
  <c r="AL8" i="11"/>
  <c r="AM8" i="11"/>
  <c r="N9" i="11"/>
  <c r="T9" i="11"/>
  <c r="AJ9" i="11"/>
  <c r="AK9" i="11"/>
  <c r="AL9" i="11"/>
  <c r="AM9" i="11"/>
  <c r="N10" i="11"/>
  <c r="T10" i="11"/>
  <c r="AJ10" i="11"/>
  <c r="AK10" i="11"/>
  <c r="AL10" i="11"/>
  <c r="AM10" i="11"/>
  <c r="N11" i="11"/>
  <c r="T11" i="11"/>
  <c r="AJ11" i="11"/>
  <c r="AK11" i="11"/>
  <c r="AL11" i="11"/>
  <c r="AM11" i="11"/>
  <c r="N12" i="11"/>
  <c r="T12" i="11"/>
  <c r="AJ12" i="11"/>
  <c r="AK12" i="11"/>
  <c r="AL12" i="11"/>
  <c r="AM12" i="11"/>
  <c r="N13" i="11"/>
  <c r="T13" i="11"/>
  <c r="AJ13" i="11"/>
  <c r="AK13" i="11"/>
  <c r="AL13" i="11"/>
  <c r="AM13" i="11"/>
  <c r="N14" i="11"/>
  <c r="T14" i="11"/>
  <c r="AJ14" i="11"/>
  <c r="AK14" i="11"/>
  <c r="AL14" i="11"/>
  <c r="AM14" i="11"/>
  <c r="N15" i="11"/>
  <c r="T15" i="11"/>
  <c r="AJ15" i="11"/>
  <c r="AK15" i="11"/>
  <c r="AL15" i="11"/>
  <c r="AM15" i="11"/>
  <c r="N16" i="11"/>
  <c r="T16" i="11"/>
  <c r="AJ16" i="11"/>
  <c r="AK16" i="11"/>
  <c r="AL16" i="11"/>
  <c r="AM16" i="11"/>
  <c r="N17" i="11"/>
  <c r="T17" i="11"/>
  <c r="AJ17" i="11"/>
  <c r="AK17" i="11"/>
  <c r="AL17" i="11"/>
  <c r="AM17" i="11"/>
  <c r="N18" i="11"/>
  <c r="T18" i="11"/>
  <c r="AJ18" i="11"/>
  <c r="AK18" i="11"/>
  <c r="AL18" i="11"/>
  <c r="AM18" i="11"/>
  <c r="N19" i="11"/>
  <c r="T19" i="11"/>
  <c r="AJ19" i="11"/>
  <c r="AK19" i="11"/>
  <c r="AL19" i="11"/>
  <c r="AM19" i="11"/>
  <c r="N20" i="11"/>
  <c r="T20" i="11"/>
  <c r="AJ20" i="11"/>
  <c r="AK20" i="11"/>
  <c r="AL20" i="11"/>
  <c r="AM20" i="11"/>
  <c r="N21" i="11"/>
  <c r="T21" i="11"/>
  <c r="AJ21" i="11"/>
  <c r="AK21" i="11"/>
  <c r="AL21" i="11"/>
  <c r="AM21" i="11"/>
  <c r="N22" i="11"/>
  <c r="T22" i="11"/>
  <c r="AJ22" i="11"/>
  <c r="AK22" i="11"/>
  <c r="AL22" i="11"/>
  <c r="AM22" i="11"/>
  <c r="N23" i="11"/>
  <c r="T23" i="11"/>
  <c r="AJ23" i="11"/>
  <c r="AK23" i="11"/>
  <c r="AL23" i="11"/>
  <c r="AM23" i="11"/>
  <c r="N24" i="11"/>
  <c r="T24" i="11"/>
  <c r="AJ24" i="11"/>
  <c r="AK24" i="11"/>
  <c r="AL24" i="11"/>
  <c r="AM24" i="11"/>
  <c r="N25" i="11"/>
  <c r="T25" i="11"/>
  <c r="AJ25" i="11"/>
  <c r="AK25" i="11"/>
  <c r="AL25" i="11"/>
  <c r="AM25" i="11"/>
  <c r="N26" i="11"/>
  <c r="T26" i="11"/>
  <c r="AJ26" i="11"/>
  <c r="AK26" i="11"/>
  <c r="AL26" i="11"/>
  <c r="AM26" i="11"/>
  <c r="N27" i="11"/>
  <c r="T27" i="11"/>
  <c r="AJ27" i="11"/>
  <c r="AK27" i="11"/>
  <c r="AL27" i="11"/>
  <c r="AM27" i="11"/>
  <c r="N28" i="11"/>
  <c r="T28" i="11"/>
  <c r="AJ28" i="11"/>
  <c r="AK28" i="11"/>
  <c r="AL28" i="11"/>
  <c r="AM28" i="11"/>
  <c r="N29" i="11"/>
  <c r="T29" i="11"/>
  <c r="AJ29" i="11"/>
  <c r="AK29" i="11"/>
  <c r="AL29" i="11"/>
  <c r="AM29" i="11"/>
  <c r="N30" i="11"/>
  <c r="T30" i="11"/>
  <c r="AJ30" i="11"/>
  <c r="AK30" i="11"/>
  <c r="AL30" i="11"/>
  <c r="AM30" i="11"/>
  <c r="N31" i="11"/>
  <c r="T31" i="11"/>
  <c r="AJ31" i="11"/>
  <c r="AK31" i="11"/>
  <c r="AL31" i="11"/>
  <c r="AM31" i="11"/>
  <c r="N32" i="11"/>
  <c r="T32" i="11"/>
  <c r="AJ32" i="11"/>
  <c r="AK32" i="11"/>
  <c r="AL32" i="11"/>
  <c r="AM32" i="11"/>
  <c r="N33" i="11"/>
  <c r="T33" i="11"/>
  <c r="AJ33" i="11"/>
  <c r="AK33" i="11"/>
  <c r="AL33" i="11"/>
  <c r="AM33" i="11"/>
  <c r="N34" i="11"/>
  <c r="T34" i="11"/>
  <c r="AJ34" i="11"/>
  <c r="AK34" i="11"/>
  <c r="AL34" i="11"/>
  <c r="AM34" i="11"/>
  <c r="N35" i="11"/>
  <c r="T35" i="11"/>
  <c r="AJ35" i="11"/>
  <c r="AK35" i="11"/>
  <c r="AL35" i="11"/>
  <c r="AM35" i="11"/>
  <c r="N36" i="11"/>
  <c r="T36" i="11"/>
  <c r="AJ36" i="11"/>
  <c r="AK36" i="11"/>
  <c r="AL36" i="11"/>
  <c r="AM36" i="11"/>
  <c r="N37" i="11"/>
  <c r="T37" i="11"/>
  <c r="AJ37" i="11"/>
  <c r="AK37" i="11"/>
  <c r="AL37" i="11"/>
  <c r="AM37" i="11"/>
  <c r="N38" i="11"/>
  <c r="T38" i="11"/>
  <c r="AJ38" i="11"/>
  <c r="AK38" i="11"/>
  <c r="AL38" i="11"/>
  <c r="AM38" i="11"/>
  <c r="N39" i="11"/>
  <c r="T39" i="11"/>
  <c r="AJ39" i="11"/>
  <c r="AK39" i="11"/>
  <c r="AL39" i="11"/>
  <c r="AM39" i="11"/>
  <c r="N40" i="11"/>
  <c r="T40" i="11"/>
  <c r="AJ40" i="11"/>
  <c r="AK40" i="11"/>
  <c r="AL40" i="11"/>
  <c r="AM40" i="11"/>
  <c r="N41" i="11"/>
  <c r="T41" i="11"/>
  <c r="AJ41" i="11"/>
  <c r="AK41" i="11"/>
  <c r="AL41" i="11"/>
  <c r="AM41" i="11"/>
  <c r="N42" i="11"/>
  <c r="T42" i="11"/>
  <c r="AJ42" i="11"/>
  <c r="AK42" i="11"/>
  <c r="AL42" i="11"/>
  <c r="AM42" i="11"/>
  <c r="N43" i="11"/>
  <c r="T43" i="11"/>
  <c r="AJ43" i="11"/>
  <c r="AK43" i="11"/>
  <c r="AL43" i="11"/>
  <c r="AM43" i="11"/>
  <c r="N44" i="11"/>
  <c r="T44" i="11"/>
  <c r="AJ44" i="11"/>
  <c r="AK44" i="11"/>
  <c r="AL44" i="11"/>
  <c r="AM44" i="11"/>
  <c r="N45" i="11"/>
  <c r="T45" i="11"/>
  <c r="AJ45" i="11"/>
  <c r="AK45" i="11"/>
  <c r="AL45" i="11"/>
  <c r="AM45" i="11"/>
  <c r="N46" i="11"/>
  <c r="T46" i="11"/>
  <c r="AJ46" i="11"/>
  <c r="AK46" i="11"/>
  <c r="AL46" i="11"/>
  <c r="AM46" i="11"/>
  <c r="N47" i="11"/>
  <c r="T47" i="11"/>
  <c r="AJ47" i="11"/>
  <c r="AK47" i="11"/>
  <c r="AL47" i="11"/>
  <c r="AM47" i="11"/>
  <c r="N48" i="11"/>
  <c r="T48" i="11"/>
  <c r="AJ48" i="11"/>
  <c r="AK48" i="11"/>
  <c r="AL48" i="11"/>
  <c r="AM48" i="11"/>
  <c r="N49" i="11"/>
  <c r="T49" i="11"/>
  <c r="AJ49" i="11"/>
  <c r="AK49" i="11"/>
  <c r="AL49" i="11"/>
  <c r="AM49" i="11"/>
  <c r="N50" i="11"/>
  <c r="T50" i="11"/>
  <c r="AJ50" i="11"/>
  <c r="AK50" i="11"/>
  <c r="AL50" i="11"/>
  <c r="AM50" i="11"/>
  <c r="N51" i="11"/>
  <c r="T51" i="11"/>
  <c r="AJ51" i="11"/>
  <c r="AK51" i="11"/>
  <c r="AL51" i="11"/>
  <c r="AM51" i="11"/>
  <c r="N53" i="11"/>
  <c r="T53" i="11"/>
  <c r="AJ53" i="11"/>
  <c r="AK53" i="11"/>
  <c r="AL53" i="11"/>
  <c r="AM53" i="11"/>
  <c r="N58" i="11"/>
  <c r="AE58" i="11"/>
  <c r="AF58" i="11"/>
  <c r="AJ58" i="11"/>
  <c r="AK58" i="11"/>
  <c r="N5" i="12"/>
  <c r="T5" i="12"/>
  <c r="AE5" i="12"/>
  <c r="AF5" i="12"/>
  <c r="AG5" i="12"/>
  <c r="AJ5" i="12"/>
  <c r="AK5" i="12"/>
  <c r="AL5" i="12"/>
  <c r="AM5" i="12"/>
  <c r="AO5" i="12"/>
  <c r="AP5" i="12"/>
  <c r="N6" i="12"/>
  <c r="T6" i="12"/>
  <c r="AE6" i="12"/>
  <c r="AF6" i="12"/>
  <c r="AG6" i="12"/>
  <c r="AJ6" i="12"/>
  <c r="AK6" i="12"/>
  <c r="AL6" i="12"/>
  <c r="AM6" i="12"/>
  <c r="AO6" i="12"/>
  <c r="AP6" i="12"/>
  <c r="N7" i="12"/>
  <c r="T7" i="12"/>
  <c r="AE7" i="12"/>
  <c r="AF7" i="12"/>
  <c r="AG7" i="12"/>
  <c r="AJ7" i="12"/>
  <c r="AK7" i="12"/>
  <c r="AL7" i="12"/>
  <c r="AM7" i="12"/>
  <c r="AO7" i="12"/>
  <c r="AP7" i="12"/>
  <c r="N8" i="12"/>
  <c r="T8" i="12"/>
  <c r="AE8" i="12"/>
  <c r="AF8" i="12"/>
  <c r="AG8" i="12"/>
  <c r="AJ8" i="12"/>
  <c r="AK8" i="12"/>
  <c r="AL8" i="12"/>
  <c r="AM8" i="12"/>
  <c r="AO8" i="12"/>
  <c r="AP8" i="12"/>
  <c r="N9" i="12"/>
  <c r="T9" i="12"/>
  <c r="AE9" i="12"/>
  <c r="AF9" i="12"/>
  <c r="AG9" i="12"/>
  <c r="AJ9" i="12"/>
  <c r="AK9" i="12"/>
  <c r="AL9" i="12"/>
  <c r="AM9" i="12"/>
  <c r="AO9" i="12"/>
  <c r="AP9" i="12"/>
  <c r="N10" i="12"/>
  <c r="T10" i="12"/>
  <c r="AE10" i="12"/>
  <c r="AF10" i="12"/>
  <c r="AG10" i="12"/>
  <c r="AJ10" i="12"/>
  <c r="AK10" i="12"/>
  <c r="AL10" i="12"/>
  <c r="AM10" i="12"/>
  <c r="AO10" i="12"/>
  <c r="AP10" i="12"/>
  <c r="N11" i="12"/>
  <c r="T11" i="12"/>
  <c r="AE11" i="12"/>
  <c r="AF11" i="12"/>
  <c r="AG11" i="12"/>
  <c r="AJ11" i="12"/>
  <c r="AK11" i="12"/>
  <c r="AL11" i="12"/>
  <c r="AM11" i="12"/>
  <c r="AO11" i="12"/>
  <c r="AP11" i="12"/>
  <c r="N12" i="12"/>
  <c r="T12" i="12"/>
  <c r="AE12" i="12"/>
  <c r="AF12" i="12"/>
  <c r="AG12" i="12"/>
  <c r="AJ12" i="12"/>
  <c r="AK12" i="12"/>
  <c r="AL12" i="12"/>
  <c r="AM12" i="12"/>
  <c r="AO12" i="12"/>
  <c r="AP12" i="12"/>
  <c r="N13" i="12"/>
  <c r="T13" i="12"/>
  <c r="AE13" i="12"/>
  <c r="AF13" i="12"/>
  <c r="AG13" i="12"/>
  <c r="AJ13" i="12"/>
  <c r="AK13" i="12"/>
  <c r="AL13" i="12"/>
  <c r="AM13" i="12"/>
  <c r="AO13" i="12"/>
  <c r="AP13" i="12"/>
  <c r="N14" i="12"/>
  <c r="T14" i="12"/>
  <c r="AE14" i="12"/>
  <c r="AF14" i="12"/>
  <c r="AG14" i="12"/>
  <c r="AJ14" i="12"/>
  <c r="AK14" i="12"/>
  <c r="AL14" i="12"/>
  <c r="AM14" i="12"/>
  <c r="AO14" i="12"/>
  <c r="AP14" i="12"/>
  <c r="N15" i="12"/>
  <c r="T15" i="12"/>
  <c r="AE15" i="12"/>
  <c r="AF15" i="12"/>
  <c r="AG15" i="12"/>
  <c r="AJ15" i="12"/>
  <c r="AK15" i="12"/>
  <c r="AL15" i="12"/>
  <c r="AM15" i="12"/>
  <c r="AO15" i="12"/>
  <c r="AP15" i="12"/>
  <c r="N16" i="12"/>
  <c r="T16" i="12"/>
  <c r="AE16" i="12"/>
  <c r="AF16" i="12"/>
  <c r="AG16" i="12"/>
  <c r="AJ16" i="12"/>
  <c r="AK16" i="12"/>
  <c r="AL16" i="12"/>
  <c r="AM16" i="12"/>
  <c r="AO16" i="12"/>
  <c r="AP16" i="12"/>
  <c r="N17" i="12"/>
  <c r="T17" i="12"/>
  <c r="AE17" i="12"/>
  <c r="AF17" i="12"/>
  <c r="AG17" i="12"/>
  <c r="AJ17" i="12"/>
  <c r="AK17" i="12"/>
  <c r="AL17" i="12"/>
  <c r="AM17" i="12"/>
  <c r="AO17" i="12"/>
  <c r="AP17" i="12"/>
  <c r="N18" i="12"/>
  <c r="T18" i="12"/>
  <c r="AE18" i="12"/>
  <c r="AF18" i="12"/>
  <c r="AG18" i="12"/>
  <c r="AJ18" i="12"/>
  <c r="AK18" i="12"/>
  <c r="AL18" i="12"/>
  <c r="AM18" i="12"/>
  <c r="AO18" i="12"/>
  <c r="AP18" i="12"/>
  <c r="N19" i="12"/>
  <c r="T19" i="12"/>
  <c r="AE19" i="12"/>
  <c r="AF19" i="12"/>
  <c r="AG19" i="12"/>
  <c r="AJ19" i="12"/>
  <c r="AK19" i="12"/>
  <c r="AL19" i="12"/>
  <c r="AM19" i="12"/>
  <c r="AO19" i="12"/>
  <c r="AP19" i="12"/>
  <c r="N20" i="12"/>
  <c r="T20" i="12"/>
  <c r="AE20" i="12"/>
  <c r="AF20" i="12"/>
  <c r="AG20" i="12"/>
  <c r="AJ20" i="12"/>
  <c r="AK20" i="12"/>
  <c r="AL20" i="12"/>
  <c r="AM20" i="12"/>
  <c r="AO20" i="12"/>
  <c r="AP20" i="12"/>
  <c r="N21" i="12"/>
  <c r="T21" i="12"/>
  <c r="AE21" i="12"/>
  <c r="AF21" i="12"/>
  <c r="AG21" i="12"/>
  <c r="AJ21" i="12"/>
  <c r="AK21" i="12"/>
  <c r="AL21" i="12"/>
  <c r="AM21" i="12"/>
  <c r="AO21" i="12"/>
  <c r="AP21" i="12"/>
  <c r="N22" i="12"/>
  <c r="T22" i="12"/>
  <c r="AE22" i="12"/>
  <c r="AF22" i="12"/>
  <c r="AG22" i="12"/>
  <c r="AJ22" i="12"/>
  <c r="AK22" i="12"/>
  <c r="AL22" i="12"/>
  <c r="AM22" i="12"/>
  <c r="AO22" i="12"/>
  <c r="AP22" i="12"/>
  <c r="N23" i="12"/>
  <c r="T23" i="12"/>
  <c r="AE23" i="12"/>
  <c r="AF23" i="12"/>
  <c r="AG23" i="12"/>
  <c r="AJ23" i="12"/>
  <c r="AK23" i="12"/>
  <c r="AL23" i="12"/>
  <c r="AM23" i="12"/>
  <c r="AO23" i="12"/>
  <c r="AP23" i="12"/>
  <c r="N24" i="12"/>
  <c r="T24" i="12"/>
  <c r="AE24" i="12"/>
  <c r="AF24" i="12"/>
  <c r="AG24" i="12"/>
  <c r="AJ24" i="12"/>
  <c r="AK24" i="12"/>
  <c r="AL24" i="12"/>
  <c r="AM24" i="12"/>
  <c r="AO24" i="12"/>
  <c r="AP24" i="12"/>
  <c r="N25" i="12"/>
  <c r="T25" i="12"/>
  <c r="AE25" i="12"/>
  <c r="AF25" i="12"/>
  <c r="AG25" i="12"/>
  <c r="AJ25" i="12"/>
  <c r="AK25" i="12"/>
  <c r="AL25" i="12"/>
  <c r="AM25" i="12"/>
  <c r="AO25" i="12"/>
  <c r="AP25" i="12"/>
  <c r="N26" i="12"/>
  <c r="T26" i="12"/>
  <c r="AE26" i="12"/>
  <c r="AF26" i="12"/>
  <c r="AG26" i="12"/>
  <c r="AJ26" i="12"/>
  <c r="AK26" i="12"/>
  <c r="AL26" i="12"/>
  <c r="AM26" i="12"/>
  <c r="AO26" i="12"/>
  <c r="AP26" i="12"/>
  <c r="N27" i="12"/>
  <c r="T27" i="12"/>
  <c r="AE27" i="12"/>
  <c r="AF27" i="12"/>
  <c r="AG27" i="12"/>
  <c r="AJ27" i="12"/>
  <c r="AK27" i="12"/>
  <c r="AL27" i="12"/>
  <c r="AM27" i="12"/>
  <c r="AO27" i="12"/>
  <c r="AP27" i="12"/>
  <c r="N28" i="12"/>
  <c r="T28" i="12"/>
  <c r="AE28" i="12"/>
  <c r="AF28" i="12"/>
  <c r="AG28" i="12"/>
  <c r="AJ28" i="12"/>
  <c r="AK28" i="12"/>
  <c r="AL28" i="12"/>
  <c r="AM28" i="12"/>
  <c r="AO28" i="12"/>
  <c r="AP28" i="12"/>
  <c r="N29" i="12"/>
  <c r="T29" i="12"/>
  <c r="AE29" i="12"/>
  <c r="AF29" i="12"/>
  <c r="AG29" i="12"/>
  <c r="AJ29" i="12"/>
  <c r="AK29" i="12"/>
  <c r="AL29" i="12"/>
  <c r="AM29" i="12"/>
  <c r="AO29" i="12"/>
  <c r="AP29" i="12"/>
  <c r="N30" i="12"/>
  <c r="T30" i="12"/>
  <c r="AE30" i="12"/>
  <c r="AF30" i="12"/>
  <c r="AG30" i="12"/>
  <c r="AJ30" i="12"/>
  <c r="AK30" i="12"/>
  <c r="AL30" i="12"/>
  <c r="AM30" i="12"/>
  <c r="AO30" i="12"/>
  <c r="AP30" i="12"/>
  <c r="N31" i="12"/>
  <c r="T31" i="12"/>
  <c r="AE31" i="12"/>
  <c r="AF31" i="12"/>
  <c r="AG31" i="12"/>
  <c r="AJ31" i="12"/>
  <c r="AK31" i="12"/>
  <c r="AL31" i="12"/>
  <c r="AM31" i="12"/>
  <c r="AO31" i="12"/>
  <c r="AP31" i="12"/>
  <c r="N32" i="12"/>
  <c r="T32" i="12"/>
  <c r="AE32" i="12"/>
  <c r="AF32" i="12"/>
  <c r="AG32" i="12"/>
  <c r="AJ32" i="12"/>
  <c r="AK32" i="12"/>
  <c r="AL32" i="12"/>
  <c r="AM32" i="12"/>
  <c r="AO32" i="12"/>
  <c r="AP32" i="12"/>
  <c r="N33" i="12"/>
  <c r="T33" i="12"/>
  <c r="AE33" i="12"/>
  <c r="AF33" i="12"/>
  <c r="AG33" i="12"/>
  <c r="AJ33" i="12"/>
  <c r="AK33" i="12"/>
  <c r="AL33" i="12"/>
  <c r="AM33" i="12"/>
  <c r="AO33" i="12"/>
  <c r="AP33" i="12"/>
  <c r="N34" i="12"/>
  <c r="T34" i="12"/>
  <c r="AE34" i="12"/>
  <c r="AF34" i="12"/>
  <c r="AG34" i="12"/>
  <c r="AJ34" i="12"/>
  <c r="AK34" i="12"/>
  <c r="AL34" i="12"/>
  <c r="AM34" i="12"/>
  <c r="AO34" i="12"/>
  <c r="AP34" i="12"/>
  <c r="N35" i="12"/>
  <c r="T35" i="12"/>
  <c r="AE35" i="12"/>
  <c r="AF35" i="12"/>
  <c r="AG35" i="12"/>
  <c r="AJ35" i="12"/>
  <c r="AK35" i="12"/>
  <c r="AL35" i="12"/>
  <c r="AM35" i="12"/>
  <c r="AO35" i="12"/>
  <c r="AP35" i="12"/>
  <c r="N36" i="12"/>
  <c r="T36" i="12"/>
  <c r="AE36" i="12"/>
  <c r="AF36" i="12"/>
  <c r="AG36" i="12"/>
  <c r="AJ36" i="12"/>
  <c r="AK36" i="12"/>
  <c r="AL36" i="12"/>
  <c r="AM36" i="12"/>
  <c r="AO36" i="12"/>
  <c r="AP36" i="12"/>
  <c r="N37" i="12"/>
  <c r="T37" i="12"/>
  <c r="AE37" i="12"/>
  <c r="AF37" i="12"/>
  <c r="AG37" i="12"/>
  <c r="AJ37" i="12"/>
  <c r="AK37" i="12"/>
  <c r="AL37" i="12"/>
  <c r="AM37" i="12"/>
  <c r="AO37" i="12"/>
  <c r="AP37" i="12"/>
  <c r="N38" i="12"/>
  <c r="T38" i="12"/>
  <c r="AE38" i="12"/>
  <c r="AF38" i="12"/>
  <c r="AG38" i="12"/>
  <c r="AJ38" i="12"/>
  <c r="AK38" i="12"/>
  <c r="AL38" i="12"/>
  <c r="AM38" i="12"/>
  <c r="AO38" i="12"/>
  <c r="AP38" i="12"/>
  <c r="N39" i="12"/>
  <c r="T39" i="12"/>
  <c r="AE39" i="12"/>
  <c r="AF39" i="12"/>
  <c r="AG39" i="12"/>
  <c r="AJ39" i="12"/>
  <c r="AK39" i="12"/>
  <c r="AL39" i="12"/>
  <c r="AM39" i="12"/>
  <c r="AO39" i="12"/>
  <c r="AP39" i="12"/>
  <c r="N40" i="12"/>
  <c r="T40" i="12"/>
  <c r="AE40" i="12"/>
  <c r="AF40" i="12"/>
  <c r="AG40" i="12"/>
  <c r="AJ40" i="12"/>
  <c r="AK40" i="12"/>
  <c r="AL40" i="12"/>
  <c r="AM40" i="12"/>
  <c r="AO40" i="12"/>
  <c r="AP40" i="12"/>
  <c r="N41" i="12"/>
  <c r="T41" i="12"/>
  <c r="AE41" i="12"/>
  <c r="AF41" i="12"/>
  <c r="AG41" i="12"/>
  <c r="AJ41" i="12"/>
  <c r="AK41" i="12"/>
  <c r="AL41" i="12"/>
  <c r="AM41" i="12"/>
  <c r="AO41" i="12"/>
  <c r="AP41" i="12"/>
  <c r="N42" i="12"/>
  <c r="T42" i="12"/>
  <c r="AE42" i="12"/>
  <c r="AF42" i="12"/>
  <c r="AG42" i="12"/>
  <c r="AJ42" i="12"/>
  <c r="AK42" i="12"/>
  <c r="AL42" i="12"/>
  <c r="AM42" i="12"/>
  <c r="AO42" i="12"/>
  <c r="AP42" i="12"/>
  <c r="N43" i="12"/>
  <c r="T43" i="12"/>
  <c r="AE43" i="12"/>
  <c r="AF43" i="12"/>
  <c r="AG43" i="12"/>
  <c r="AJ43" i="12"/>
  <c r="AK43" i="12"/>
  <c r="AL43" i="12"/>
  <c r="AM43" i="12"/>
  <c r="AO43" i="12"/>
  <c r="AP43" i="12"/>
  <c r="N44" i="12"/>
  <c r="T44" i="12"/>
  <c r="AE44" i="12"/>
  <c r="AF44" i="12"/>
  <c r="AG44" i="12"/>
  <c r="AJ44" i="12"/>
  <c r="AK44" i="12"/>
  <c r="AL44" i="12"/>
  <c r="AM44" i="12"/>
  <c r="AO44" i="12"/>
  <c r="AP44" i="12"/>
  <c r="N45" i="12"/>
  <c r="T45" i="12"/>
  <c r="AE45" i="12"/>
  <c r="AF45" i="12"/>
  <c r="AG45" i="12"/>
  <c r="AJ45" i="12"/>
  <c r="AK45" i="12"/>
  <c r="AL45" i="12"/>
  <c r="AM45" i="12"/>
  <c r="AO45" i="12"/>
  <c r="AP45" i="12"/>
  <c r="N46" i="12"/>
  <c r="T46" i="12"/>
  <c r="AE46" i="12"/>
  <c r="AF46" i="12"/>
  <c r="AG46" i="12"/>
  <c r="AJ46" i="12"/>
  <c r="AK46" i="12"/>
  <c r="AL46" i="12"/>
  <c r="AM46" i="12"/>
  <c r="AO46" i="12"/>
  <c r="AP46" i="12"/>
  <c r="N47" i="12"/>
  <c r="T47" i="12"/>
  <c r="AE47" i="12"/>
  <c r="AF47" i="12"/>
  <c r="AG47" i="12"/>
  <c r="AJ47" i="12"/>
  <c r="AK47" i="12"/>
  <c r="AL47" i="12"/>
  <c r="AM47" i="12"/>
  <c r="AO47" i="12"/>
  <c r="AP47" i="12"/>
  <c r="N48" i="12"/>
  <c r="T48" i="12"/>
  <c r="AE48" i="12"/>
  <c r="AF48" i="12"/>
  <c r="AG48" i="12"/>
  <c r="AJ48" i="12"/>
  <c r="AK48" i="12"/>
  <c r="AL48" i="12"/>
  <c r="AM48" i="12"/>
  <c r="AO48" i="12"/>
  <c r="AP48" i="12"/>
  <c r="N49" i="12"/>
  <c r="T49" i="12"/>
  <c r="AE49" i="12"/>
  <c r="AF49" i="12"/>
  <c r="AG49" i="12"/>
  <c r="AJ49" i="12"/>
  <c r="AK49" i="12"/>
  <c r="AL49" i="12"/>
  <c r="AM49" i="12"/>
  <c r="AO49" i="12"/>
  <c r="AP49" i="12"/>
  <c r="N50" i="12"/>
  <c r="T50" i="12"/>
  <c r="AE50" i="12"/>
  <c r="AF50" i="12"/>
  <c r="AG50" i="12"/>
  <c r="AJ50" i="12"/>
  <c r="AK50" i="12"/>
  <c r="AL50" i="12"/>
  <c r="AM50" i="12"/>
  <c r="AO50" i="12"/>
  <c r="AP50" i="12"/>
  <c r="N51" i="12"/>
  <c r="T51" i="12"/>
  <c r="AE51" i="12"/>
  <c r="AF51" i="12"/>
  <c r="AG51" i="12"/>
  <c r="AJ51" i="12"/>
  <c r="AK51" i="12"/>
  <c r="AL51" i="12"/>
  <c r="AM51" i="12"/>
  <c r="AO51" i="12"/>
  <c r="AP51" i="12"/>
  <c r="N53" i="12"/>
  <c r="T53" i="12"/>
  <c r="AE53" i="12"/>
  <c r="AF53" i="12"/>
  <c r="AG53" i="12"/>
  <c r="AJ53" i="12"/>
  <c r="AK53" i="12"/>
  <c r="AL53" i="12"/>
  <c r="AM53" i="12"/>
  <c r="AO53" i="12"/>
  <c r="AP53" i="12"/>
  <c r="AO55" i="12"/>
  <c r="AP55" i="12"/>
  <c r="AE58" i="12"/>
  <c r="AF58" i="12"/>
  <c r="N5" i="13"/>
  <c r="T5" i="13"/>
  <c r="AE5" i="13"/>
  <c r="AF5" i="13"/>
  <c r="AG5" i="13"/>
  <c r="AJ5" i="13"/>
  <c r="AK5" i="13"/>
  <c r="AL5" i="13"/>
  <c r="AM5" i="13"/>
  <c r="AO5" i="13"/>
  <c r="AP5" i="13"/>
  <c r="N6" i="13"/>
  <c r="T6" i="13"/>
  <c r="AE6" i="13"/>
  <c r="AF6" i="13"/>
  <c r="AG6" i="13"/>
  <c r="AJ6" i="13"/>
  <c r="AK6" i="13"/>
  <c r="AL6" i="13"/>
  <c r="AM6" i="13"/>
  <c r="AO6" i="13"/>
  <c r="AP6" i="13"/>
  <c r="N7" i="13"/>
  <c r="T7" i="13"/>
  <c r="AE7" i="13"/>
  <c r="AF7" i="13"/>
  <c r="AG7" i="13"/>
  <c r="AJ7" i="13"/>
  <c r="AK7" i="13"/>
  <c r="AL7" i="13"/>
  <c r="AM7" i="13"/>
  <c r="AO7" i="13"/>
  <c r="AP7" i="13"/>
  <c r="N8" i="13"/>
  <c r="T8" i="13"/>
  <c r="AE8" i="13"/>
  <c r="AF8" i="13"/>
  <c r="AG8" i="13"/>
  <c r="AJ8" i="13"/>
  <c r="AK8" i="13"/>
  <c r="AL8" i="13"/>
  <c r="AM8" i="13"/>
  <c r="AO8" i="13"/>
  <c r="AP8" i="13"/>
  <c r="N9" i="13"/>
  <c r="T9" i="13"/>
  <c r="AE9" i="13"/>
  <c r="AF9" i="13"/>
  <c r="AG9" i="13"/>
  <c r="AJ9" i="13"/>
  <c r="AK9" i="13"/>
  <c r="AL9" i="13"/>
  <c r="AM9" i="13"/>
  <c r="AO9" i="13"/>
  <c r="AP9" i="13"/>
  <c r="N10" i="13"/>
  <c r="T10" i="13"/>
  <c r="AE10" i="13"/>
  <c r="AF10" i="13"/>
  <c r="AG10" i="13"/>
  <c r="AJ10" i="13"/>
  <c r="AK10" i="13"/>
  <c r="AL10" i="13"/>
  <c r="AM10" i="13"/>
  <c r="AO10" i="13"/>
  <c r="AP10" i="13"/>
  <c r="N11" i="13"/>
  <c r="T11" i="13"/>
  <c r="AE11" i="13"/>
  <c r="AF11" i="13"/>
  <c r="AG11" i="13"/>
  <c r="AJ11" i="13"/>
  <c r="AK11" i="13"/>
  <c r="AL11" i="13"/>
  <c r="AM11" i="13"/>
  <c r="AO11" i="13"/>
  <c r="AP11" i="13"/>
  <c r="N12" i="13"/>
  <c r="T12" i="13"/>
  <c r="AE12" i="13"/>
  <c r="AF12" i="13"/>
  <c r="AG12" i="13"/>
  <c r="AJ12" i="13"/>
  <c r="AK12" i="13"/>
  <c r="AL12" i="13"/>
  <c r="AM12" i="13"/>
  <c r="AO12" i="13"/>
  <c r="AP12" i="13"/>
  <c r="N13" i="13"/>
  <c r="T13" i="13"/>
  <c r="AE13" i="13"/>
  <c r="AF13" i="13"/>
  <c r="AG13" i="13"/>
  <c r="AJ13" i="13"/>
  <c r="AK13" i="13"/>
  <c r="AL13" i="13"/>
  <c r="AM13" i="13"/>
  <c r="AO13" i="13"/>
  <c r="AP13" i="13"/>
  <c r="N14" i="13"/>
  <c r="T14" i="13"/>
  <c r="AE14" i="13"/>
  <c r="AF14" i="13"/>
  <c r="AG14" i="13"/>
  <c r="AJ14" i="13"/>
  <c r="AK14" i="13"/>
  <c r="AL14" i="13"/>
  <c r="AM14" i="13"/>
  <c r="AO14" i="13"/>
  <c r="AP14" i="13"/>
  <c r="N15" i="13"/>
  <c r="T15" i="13"/>
  <c r="AE15" i="13"/>
  <c r="AF15" i="13"/>
  <c r="AG15" i="13"/>
  <c r="AJ15" i="13"/>
  <c r="AK15" i="13"/>
  <c r="AL15" i="13"/>
  <c r="AM15" i="13"/>
  <c r="AO15" i="13"/>
  <c r="AP15" i="13"/>
  <c r="N16" i="13"/>
  <c r="T16" i="13"/>
  <c r="AE16" i="13"/>
  <c r="AF16" i="13"/>
  <c r="AG16" i="13"/>
  <c r="AJ16" i="13"/>
  <c r="AK16" i="13"/>
  <c r="AL16" i="13"/>
  <c r="AM16" i="13"/>
  <c r="AO16" i="13"/>
  <c r="AP16" i="13"/>
  <c r="N17" i="13"/>
  <c r="T17" i="13"/>
  <c r="AE17" i="13"/>
  <c r="AF17" i="13"/>
  <c r="AG17" i="13"/>
  <c r="AJ17" i="13"/>
  <c r="AK17" i="13"/>
  <c r="AL17" i="13"/>
  <c r="AM17" i="13"/>
  <c r="AO17" i="13"/>
  <c r="AP17" i="13"/>
  <c r="N18" i="13"/>
  <c r="T18" i="13"/>
  <c r="AE18" i="13"/>
  <c r="AF18" i="13"/>
  <c r="AG18" i="13"/>
  <c r="AJ18" i="13"/>
  <c r="AK18" i="13"/>
  <c r="AL18" i="13"/>
  <c r="AM18" i="13"/>
  <c r="AO18" i="13"/>
  <c r="AP18" i="13"/>
  <c r="N19" i="13"/>
  <c r="T19" i="13"/>
  <c r="AE19" i="13"/>
  <c r="AF19" i="13"/>
  <c r="AG19" i="13"/>
  <c r="AJ19" i="13"/>
  <c r="AK19" i="13"/>
  <c r="AL19" i="13"/>
  <c r="AM19" i="13"/>
  <c r="AO19" i="13"/>
  <c r="AP19" i="13"/>
  <c r="N20" i="13"/>
  <c r="T20" i="13"/>
  <c r="AE20" i="13"/>
  <c r="AF20" i="13"/>
  <c r="AG20" i="13"/>
  <c r="AJ20" i="13"/>
  <c r="AK20" i="13"/>
  <c r="AL20" i="13"/>
  <c r="AM20" i="13"/>
  <c r="AO20" i="13"/>
  <c r="AP20" i="13"/>
  <c r="N21" i="13"/>
  <c r="T21" i="13"/>
  <c r="AE21" i="13"/>
  <c r="AF21" i="13"/>
  <c r="AG21" i="13"/>
  <c r="AJ21" i="13"/>
  <c r="AK21" i="13"/>
  <c r="AL21" i="13"/>
  <c r="AM21" i="13"/>
  <c r="AO21" i="13"/>
  <c r="AP21" i="13"/>
  <c r="N22" i="13"/>
  <c r="T22" i="13"/>
  <c r="AE22" i="13"/>
  <c r="AF22" i="13"/>
  <c r="AG22" i="13"/>
  <c r="AJ22" i="13"/>
  <c r="AK22" i="13"/>
  <c r="AL22" i="13"/>
  <c r="AM22" i="13"/>
  <c r="AO22" i="13"/>
  <c r="AP22" i="13"/>
  <c r="N23" i="13"/>
  <c r="T23" i="13"/>
  <c r="AE23" i="13"/>
  <c r="AF23" i="13"/>
  <c r="AG23" i="13"/>
  <c r="AJ23" i="13"/>
  <c r="AK23" i="13"/>
  <c r="AL23" i="13"/>
  <c r="AM23" i="13"/>
  <c r="AO23" i="13"/>
  <c r="AP23" i="13"/>
  <c r="N24" i="13"/>
  <c r="T24" i="13"/>
  <c r="AE24" i="13"/>
  <c r="AF24" i="13"/>
  <c r="AG24" i="13"/>
  <c r="AJ24" i="13"/>
  <c r="AK24" i="13"/>
  <c r="AL24" i="13"/>
  <c r="AM24" i="13"/>
  <c r="AO24" i="13"/>
  <c r="AP24" i="13"/>
  <c r="N25" i="13"/>
  <c r="T25" i="13"/>
  <c r="AE25" i="13"/>
  <c r="AF25" i="13"/>
  <c r="AG25" i="13"/>
  <c r="AJ25" i="13"/>
  <c r="AK25" i="13"/>
  <c r="AL25" i="13"/>
  <c r="AM25" i="13"/>
  <c r="AO25" i="13"/>
  <c r="AP25" i="13"/>
  <c r="N26" i="13"/>
  <c r="T26" i="13"/>
  <c r="AE26" i="13"/>
  <c r="AF26" i="13"/>
  <c r="AG26" i="13"/>
  <c r="AJ26" i="13"/>
  <c r="AK26" i="13"/>
  <c r="AL26" i="13"/>
  <c r="AM26" i="13"/>
  <c r="AO26" i="13"/>
  <c r="AP26" i="13"/>
  <c r="N27" i="13"/>
  <c r="T27" i="13"/>
  <c r="AE27" i="13"/>
  <c r="AF27" i="13"/>
  <c r="AG27" i="13"/>
  <c r="AJ27" i="13"/>
  <c r="AK27" i="13"/>
  <c r="AL27" i="13"/>
  <c r="AM27" i="13"/>
  <c r="AO27" i="13"/>
  <c r="AP27" i="13"/>
  <c r="N28" i="13"/>
  <c r="T28" i="13"/>
  <c r="AE28" i="13"/>
  <c r="AF28" i="13"/>
  <c r="AG28" i="13"/>
  <c r="AJ28" i="13"/>
  <c r="AK28" i="13"/>
  <c r="AL28" i="13"/>
  <c r="AM28" i="13"/>
  <c r="AO28" i="13"/>
  <c r="AP28" i="13"/>
  <c r="N29" i="13"/>
  <c r="T29" i="13"/>
  <c r="AE29" i="13"/>
  <c r="AF29" i="13"/>
  <c r="AG29" i="13"/>
  <c r="AJ29" i="13"/>
  <c r="AK29" i="13"/>
  <c r="AL29" i="13"/>
  <c r="AM29" i="13"/>
  <c r="AO29" i="13"/>
  <c r="AP29" i="13"/>
  <c r="N30" i="13"/>
  <c r="T30" i="13"/>
  <c r="AE30" i="13"/>
  <c r="AF30" i="13"/>
  <c r="AG30" i="13"/>
  <c r="AJ30" i="13"/>
  <c r="AK30" i="13"/>
  <c r="AL30" i="13"/>
  <c r="AM30" i="13"/>
  <c r="AO30" i="13"/>
  <c r="AP30" i="13"/>
  <c r="N31" i="13"/>
  <c r="T31" i="13"/>
  <c r="AE31" i="13"/>
  <c r="AF31" i="13"/>
  <c r="AG31" i="13"/>
  <c r="AJ31" i="13"/>
  <c r="AK31" i="13"/>
  <c r="AL31" i="13"/>
  <c r="AM31" i="13"/>
  <c r="AO31" i="13"/>
  <c r="AP31" i="13"/>
  <c r="N32" i="13"/>
  <c r="T32" i="13"/>
  <c r="AE32" i="13"/>
  <c r="AF32" i="13"/>
  <c r="AG32" i="13"/>
  <c r="AJ32" i="13"/>
  <c r="AK32" i="13"/>
  <c r="AL32" i="13"/>
  <c r="AM32" i="13"/>
  <c r="AO32" i="13"/>
  <c r="AP32" i="13"/>
  <c r="N33" i="13"/>
  <c r="T33" i="13"/>
  <c r="AE33" i="13"/>
  <c r="AF33" i="13"/>
  <c r="AG33" i="13"/>
  <c r="AJ33" i="13"/>
  <c r="AK33" i="13"/>
  <c r="AL33" i="13"/>
  <c r="AM33" i="13"/>
  <c r="AO33" i="13"/>
  <c r="AP33" i="13"/>
  <c r="N34" i="13"/>
  <c r="T34" i="13"/>
  <c r="AE34" i="13"/>
  <c r="AF34" i="13"/>
  <c r="AG34" i="13"/>
  <c r="AJ34" i="13"/>
  <c r="AK34" i="13"/>
  <c r="AL34" i="13"/>
  <c r="AM34" i="13"/>
  <c r="AO34" i="13"/>
  <c r="AP34" i="13"/>
  <c r="N35" i="13"/>
  <c r="T35" i="13"/>
  <c r="AE35" i="13"/>
  <c r="AF35" i="13"/>
  <c r="AG35" i="13"/>
  <c r="AJ35" i="13"/>
  <c r="AK35" i="13"/>
  <c r="AL35" i="13"/>
  <c r="AM35" i="13"/>
  <c r="AO35" i="13"/>
  <c r="AP35" i="13"/>
  <c r="N36" i="13"/>
  <c r="T36" i="13"/>
  <c r="AE36" i="13"/>
  <c r="AF36" i="13"/>
  <c r="AG36" i="13"/>
  <c r="AJ36" i="13"/>
  <c r="AK36" i="13"/>
  <c r="AL36" i="13"/>
  <c r="AM36" i="13"/>
  <c r="AO36" i="13"/>
  <c r="AP36" i="13"/>
  <c r="N37" i="13"/>
  <c r="T37" i="13"/>
  <c r="AE37" i="13"/>
  <c r="AF37" i="13"/>
  <c r="AG37" i="13"/>
  <c r="AJ37" i="13"/>
  <c r="AK37" i="13"/>
  <c r="AL37" i="13"/>
  <c r="AM37" i="13"/>
  <c r="AO37" i="13"/>
  <c r="AP37" i="13"/>
  <c r="N38" i="13"/>
  <c r="T38" i="13"/>
  <c r="AE38" i="13"/>
  <c r="AF38" i="13"/>
  <c r="AG38" i="13"/>
  <c r="AJ38" i="13"/>
  <c r="AK38" i="13"/>
  <c r="AL38" i="13"/>
  <c r="AM38" i="13"/>
  <c r="AO38" i="13"/>
  <c r="AP38" i="13"/>
  <c r="N39" i="13"/>
  <c r="T39" i="13"/>
  <c r="AE39" i="13"/>
  <c r="AF39" i="13"/>
  <c r="AG39" i="13"/>
  <c r="AJ39" i="13"/>
  <c r="AK39" i="13"/>
  <c r="AL39" i="13"/>
  <c r="AM39" i="13"/>
  <c r="AO39" i="13"/>
  <c r="AP39" i="13"/>
  <c r="N40" i="13"/>
  <c r="T40" i="13"/>
  <c r="AE40" i="13"/>
  <c r="AF40" i="13"/>
  <c r="AG40" i="13"/>
  <c r="AJ40" i="13"/>
  <c r="AK40" i="13"/>
  <c r="AL40" i="13"/>
  <c r="AM40" i="13"/>
  <c r="AO40" i="13"/>
  <c r="AP40" i="13"/>
  <c r="N41" i="13"/>
  <c r="T41" i="13"/>
  <c r="AE41" i="13"/>
  <c r="AF41" i="13"/>
  <c r="AG41" i="13"/>
  <c r="AJ41" i="13"/>
  <c r="AK41" i="13"/>
  <c r="AL41" i="13"/>
  <c r="AM41" i="13"/>
  <c r="AO41" i="13"/>
  <c r="AP41" i="13"/>
  <c r="N42" i="13"/>
  <c r="T42" i="13"/>
  <c r="AE42" i="13"/>
  <c r="AF42" i="13"/>
  <c r="AG42" i="13"/>
  <c r="AJ42" i="13"/>
  <c r="AK42" i="13"/>
  <c r="AL42" i="13"/>
  <c r="AM42" i="13"/>
  <c r="AO42" i="13"/>
  <c r="AP42" i="13"/>
  <c r="N43" i="13"/>
  <c r="T43" i="13"/>
  <c r="AE43" i="13"/>
  <c r="AF43" i="13"/>
  <c r="AG43" i="13"/>
  <c r="AJ43" i="13"/>
  <c r="AK43" i="13"/>
  <c r="AL43" i="13"/>
  <c r="AM43" i="13"/>
  <c r="AO43" i="13"/>
  <c r="AP43" i="13"/>
  <c r="N44" i="13"/>
  <c r="T44" i="13"/>
  <c r="AE44" i="13"/>
  <c r="AF44" i="13"/>
  <c r="AG44" i="13"/>
  <c r="AJ44" i="13"/>
  <c r="AK44" i="13"/>
  <c r="AL44" i="13"/>
  <c r="AM44" i="13"/>
  <c r="AO44" i="13"/>
  <c r="AP44" i="13"/>
  <c r="N45" i="13"/>
  <c r="T45" i="13"/>
  <c r="AE45" i="13"/>
  <c r="AF45" i="13"/>
  <c r="AG45" i="13"/>
  <c r="AJ45" i="13"/>
  <c r="AK45" i="13"/>
  <c r="AL45" i="13"/>
  <c r="AM45" i="13"/>
  <c r="AO45" i="13"/>
  <c r="AP45" i="13"/>
  <c r="N46" i="13"/>
  <c r="T46" i="13"/>
  <c r="AE46" i="13"/>
  <c r="AF46" i="13"/>
  <c r="AG46" i="13"/>
  <c r="AJ46" i="13"/>
  <c r="AK46" i="13"/>
  <c r="AL46" i="13"/>
  <c r="AM46" i="13"/>
  <c r="AO46" i="13"/>
  <c r="AP46" i="13"/>
  <c r="N47" i="13"/>
  <c r="T47" i="13"/>
  <c r="AE47" i="13"/>
  <c r="AF47" i="13"/>
  <c r="AG47" i="13"/>
  <c r="AJ47" i="13"/>
  <c r="AK47" i="13"/>
  <c r="AL47" i="13"/>
  <c r="AM47" i="13"/>
  <c r="AO47" i="13"/>
  <c r="AP47" i="13"/>
  <c r="N48" i="13"/>
  <c r="T48" i="13"/>
  <c r="AE48" i="13"/>
  <c r="AF48" i="13"/>
  <c r="AG48" i="13"/>
  <c r="AJ48" i="13"/>
  <c r="AK48" i="13"/>
  <c r="AL48" i="13"/>
  <c r="AM48" i="13"/>
  <c r="AO48" i="13"/>
  <c r="AP48" i="13"/>
  <c r="N49" i="13"/>
  <c r="T49" i="13"/>
  <c r="AE49" i="13"/>
  <c r="AF49" i="13"/>
  <c r="AG49" i="13"/>
  <c r="AJ49" i="13"/>
  <c r="AK49" i="13"/>
  <c r="AL49" i="13"/>
  <c r="AM49" i="13"/>
  <c r="AO49" i="13"/>
  <c r="AP49" i="13"/>
  <c r="N50" i="13"/>
  <c r="T50" i="13"/>
  <c r="AE50" i="13"/>
  <c r="AF50" i="13"/>
  <c r="AG50" i="13"/>
  <c r="AJ50" i="13"/>
  <c r="AK50" i="13"/>
  <c r="AL50" i="13"/>
  <c r="AM50" i="13"/>
  <c r="AO50" i="13"/>
  <c r="AP50" i="13"/>
  <c r="N51" i="13"/>
  <c r="T51" i="13"/>
  <c r="AE51" i="13"/>
  <c r="AF51" i="13"/>
  <c r="AG51" i="13"/>
  <c r="AJ51" i="13"/>
  <c r="AK51" i="13"/>
  <c r="AL51" i="13"/>
  <c r="AM51" i="13"/>
  <c r="AO51" i="13"/>
  <c r="AP51" i="13"/>
  <c r="N53" i="13"/>
  <c r="T53" i="13"/>
  <c r="AE53" i="13"/>
  <c r="AF53" i="13"/>
  <c r="AG53" i="13"/>
  <c r="AJ53" i="13"/>
  <c r="AK53" i="13"/>
  <c r="AL53" i="13"/>
  <c r="AM53" i="13"/>
  <c r="AO53" i="13"/>
  <c r="AP53" i="13"/>
  <c r="AO55" i="13"/>
  <c r="AP55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B68212-58BE-4F99-92AE-3E65915A6C61}" name="Conexão" type="7" refreshedVersion="8" background="1" saveData="1"/>
  <connection id="2" xr16:uid="{FF856A86-9AC5-435F-AFBA-A65E4F9A7A40}" name="Conexão1" type="7" refreshedVersion="8" background="1" saveData="1"/>
  <connection id="3" xr16:uid="{C7F1F4D8-283C-41FB-AF8D-9D4832F7B65B}" name="Conexão2" type="7" refreshedVersion="8" background="1" saveData="1"/>
</connections>
</file>

<file path=xl/sharedStrings.xml><?xml version="1.0" encoding="utf-8"?>
<sst xmlns="http://schemas.openxmlformats.org/spreadsheetml/2006/main" count="25974" uniqueCount="1167">
  <si>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</si>
  <si>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</si>
  <si>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</si>
  <si>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</si>
  <si>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</si>
  <si>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</si>
  <si>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</si>
  <si>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</si>
  <si>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</si>
  <si>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</si>
  <si>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</si>
  <si>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</si>
  <si>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</si>
  <si>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</si>
  <si>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</si>
  <si>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</si>
  <si>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</si>
  <si>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</si>
  <si>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</si>
  <si>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</si>
  <si>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</si>
  <si>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</si>
  <si>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</si>
  <si>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</si>
  <si>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</si>
  <si>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</si>
  <si>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</si>
  <si>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</si>
  <si>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</si>
  <si>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</si>
  <si>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</si>
  <si>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</si>
  <si>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</si>
  <si>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Branca</t>
  </si>
  <si>
    <t>Ponta</t>
  </si>
  <si>
    <t>Fora ponta</t>
  </si>
  <si>
    <t>Intermediário</t>
  </si>
  <si>
    <t>B3</t>
  </si>
  <si>
    <t>Industrial</t>
  </si>
  <si>
    <t>A4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</si>
  <si>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</si>
  <si>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</si>
  <si>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</si>
  <si>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</si>
  <si>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</si>
  <si>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</si>
  <si>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</si>
  <si>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B4b</t>
  </si>
  <si>
    <t>Serviço público</t>
  </si>
  <si>
    <t>Água, esgoto e saneamento</t>
  </si>
  <si>
    <t>Consumo próprio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</si>
  <si>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</si>
  <si>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</si>
  <si>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</si>
  <si>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</si>
  <si>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</si>
  <si>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</si>
  <si>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</si>
  <si>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</si>
  <si>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CHAVE TUSD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</si>
  <si>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</si>
  <si>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</si>
  <si>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</si>
  <si>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</si>
  <si>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</si>
  <si>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</si>
  <si>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</si>
  <si>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</si>
  <si>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</si>
  <si>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</si>
  <si>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</si>
  <si>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</si>
  <si>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</si>
  <si>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</si>
  <si>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</si>
  <si>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</si>
  <si>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</si>
  <si>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</si>
  <si>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</si>
  <si>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</si>
  <si>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</si>
  <si>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</si>
  <si>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</si>
  <si>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</si>
  <si>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</si>
  <si>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</si>
  <si>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</si>
  <si>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</si>
  <si>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</si>
  <si>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</si>
  <si>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</si>
  <si>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</si>
  <si>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</si>
  <si>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</si>
  <si>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</si>
  <si>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</si>
  <si>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44440B1BrancaResidencialResidencialNão se aplicaNão se aplicaFora ponta</t>
  </si>
  <si>
    <t>44470B1BrancaResidencialResidencialNão se aplicaNão se aplicaFora ponta</t>
  </si>
  <si>
    <t>44501B1BrancaResidencialResidencialNão se aplicaNão se aplicaFora 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</si>
  <si>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</si>
  <si>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</si>
  <si>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</si>
  <si>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</si>
  <si>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44652B1BrancaResidencialResidencialNão se aplicaNão se aplicaFora ponta</t>
  </si>
  <si>
    <t>44682B1BrancaResidencialResidencialNão se aplicaNão se aplicaFora ponta</t>
  </si>
  <si>
    <t>44713B1BrancaResidencialResidencialNão se aplicaNão se aplicaFora ponta</t>
  </si>
  <si>
    <t>44743B1BrancaResidencialResidencialNão se aplicaNão se aplicaFora ponta</t>
  </si>
  <si>
    <t>44774B1BrancaResidencialResidencialNão se aplicaNão se aplicaFora ponta</t>
  </si>
  <si>
    <t>44440B1BrancaResidencialResidencialNão se aplicaNão se aplicaIntermediário</t>
  </si>
  <si>
    <t>44470B1BrancaResidencialResidencialNão se aplicaNão se aplicaIntermediário</t>
  </si>
  <si>
    <t>44501B1BrancaResidencialResidencialNão se aplicaNão se aplicaIntermediário</t>
  </si>
  <si>
    <t>44531B1BrancaResidencialResidencialNão se aplicaNão se aplicaIntermediário</t>
  </si>
  <si>
    <t>44562B1BrancaResidencialResidencialNão se aplicaNão se aplicaIntermediário</t>
  </si>
  <si>
    <t>44593B1BrancaResidencialResidencialNão se aplicaNão se aplicaIntermediário</t>
  </si>
  <si>
    <t>44621B1BrancaResidencialResidencialNão se aplicaNão se aplicaIntermediário</t>
  </si>
  <si>
    <t>44652B1BrancaResidencialResidencialNão se aplicaNão se aplicaIntermediário</t>
  </si>
  <si>
    <t>44682B1BrancaResidencialResidencialNão se aplicaNão se aplicaIntermediário</t>
  </si>
  <si>
    <t>44713B1BrancaResidencialResidencialNão se aplicaNão se aplicaIntermediário</t>
  </si>
  <si>
    <t>44743B1BrancaResidencialResidencialNão se aplicaNão se aplicaIntermediário</t>
  </si>
  <si>
    <t>44774B1BrancaResidencialResidencialNão se aplicaNão se aplicaIntermediário</t>
  </si>
  <si>
    <t>44440B1BrancaResidencialResidencialNão se aplicaNão se aplicaPonta</t>
  </si>
  <si>
    <t>44470B1BrancaResidencialResidencialNão se aplicaNão se aplicaPonta</t>
  </si>
  <si>
    <t>44501B1BrancaResidencialResidencialNão se aplicaNão se aplicaPonta</t>
  </si>
  <si>
    <t>44531B1BrancaResidencialResidencialNão se aplicaNão se aplicaPonta</t>
  </si>
  <si>
    <t>44562B1BrancaResidencialResidencialNão se aplicaNão se aplicaPonta</t>
  </si>
  <si>
    <t>44593B1BrancaResidencialResidencialNão se aplicaNão se aplicaPonta</t>
  </si>
  <si>
    <t>44621B1BrancaResidencialResidencialNão se aplicaNão se aplicaPonta</t>
  </si>
  <si>
    <t>44652B1BrancaResidencialResidencialNão se aplicaNão se aplicaPonta</t>
  </si>
  <si>
    <t>44682B1BrancaResidencialResidencialNão se aplicaNão se aplicaPonta</t>
  </si>
  <si>
    <t>44713B1BrancaResidencialResidencialNão se aplicaNão se aplicaPonta</t>
  </si>
  <si>
    <t>44743B1BrancaResidencialResidencialNão se aplicaNão se aplicaPonta</t>
  </si>
  <si>
    <t>44774B1BrancaResidencialResidencialNão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</si>
  <si>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</si>
  <si>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</si>
  <si>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</si>
  <si>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</si>
  <si>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</si>
  <si>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</si>
  <si>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</si>
  <si>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</si>
  <si>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</si>
  <si>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</si>
  <si>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</si>
  <si>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</si>
  <si>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</si>
  <si>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</si>
  <si>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</si>
  <si>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</si>
  <si>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</si>
  <si>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</si>
  <si>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</si>
  <si>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</si>
  <si>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</si>
  <si>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</si>
  <si>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</si>
  <si>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</si>
  <si>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</si>
  <si>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</si>
  <si>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</si>
  <si>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</si>
  <si>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</si>
  <si>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</si>
  <si>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</si>
  <si>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</si>
  <si>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</si>
  <si>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</si>
  <si>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</si>
  <si>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</si>
  <si>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</si>
  <si>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</si>
  <si>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</si>
  <si>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</si>
  <si>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</si>
  <si>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</si>
  <si>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</si>
  <si>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</si>
  <si>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</si>
  <si>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</si>
  <si>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</si>
  <si>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</si>
  <si>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</si>
  <si>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</si>
  <si>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</si>
  <si>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</si>
  <si>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</si>
  <si>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</si>
  <si>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</si>
  <si>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</si>
  <si>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</si>
  <si>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</si>
  <si>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</si>
  <si>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</si>
  <si>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</si>
  <si>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</si>
  <si>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</si>
  <si>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</si>
  <si>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</si>
  <si>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</si>
  <si>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</si>
  <si>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</si>
  <si>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</si>
  <si>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</si>
  <si>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</si>
  <si>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</si>
  <si>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</si>
  <si>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</si>
  <si>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</si>
  <si>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</si>
  <si>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</si>
  <si>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</si>
  <si>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</si>
  <si>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</si>
  <si>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</si>
  <si>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</si>
  <si>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</si>
  <si>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</si>
  <si>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</si>
  <si>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</si>
  <si>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</si>
  <si>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</si>
  <si>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</si>
  <si>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</si>
  <si>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</si>
  <si>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</si>
  <si>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</si>
  <si>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</si>
  <si>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</si>
  <si>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</si>
  <si>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</si>
  <si>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</si>
  <si>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</si>
  <si>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</si>
  <si>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</si>
  <si>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</si>
  <si>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</si>
  <si>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</si>
  <si>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</si>
  <si>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</si>
  <si>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</si>
  <si>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</si>
  <si>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</si>
  <si>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</si>
  <si>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</si>
  <si>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</si>
  <si>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</si>
  <si>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</si>
  <si>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</si>
  <si>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</si>
  <si>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</si>
  <si>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</si>
  <si>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</si>
  <si>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</si>
  <si>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B4bNão se aplicaNão se aplicaNão se aplica</t>
  </si>
  <si>
    <t>44470B4ConvencionalIluminação públicaIluminação pública – B4bNão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</si>
  <si>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</si>
  <si>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</si>
  <si>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</si>
  <si>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</si>
  <si>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</si>
  <si>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</si>
  <si>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</si>
  <si>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</si>
  <si>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44743B4ConvencionalIluminação públicaIluminação pública – B4bNão se aplicaNão se aplicaNão se aplica</t>
  </si>
  <si>
    <t>44774B4ConvencionalIluminação públicaIluminação pública – B4bNão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</si>
  <si>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</si>
  <si>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</si>
  <si>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</si>
  <si>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</si>
  <si>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</si>
  <si>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</si>
  <si>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</si>
  <si>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</si>
  <si>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</si>
  <si>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</si>
  <si>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</si>
  <si>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</si>
  <si>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</si>
  <si>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</si>
  <si>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</si>
  <si>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</si>
  <si>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</si>
  <si>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</si>
  <si>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</si>
  <si>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</si>
  <si>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</si>
  <si>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</si>
  <si>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</si>
  <si>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</si>
  <si>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</si>
  <si>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horáriaResidencialResidencialNão se aplicaNão se aplicaFora ponta</t>
  </si>
  <si>
    <t>44470B1Energia horáriaResidencialResidencialNão se aplicaNão se aplicaFora ponta</t>
  </si>
  <si>
    <t>44501B1Energia horáriaResidencialResidencialNão se aplicaNão se aplicaFora 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</si>
  <si>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</si>
  <si>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</si>
  <si>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</si>
  <si>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</si>
  <si>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44652B1Energia horáriaResidencialResidencialNão se aplicaNão se aplicaFora ponta</t>
  </si>
  <si>
    <t>44682B1Energia horáriaResidencialResidencialNão se aplicaNão se aplicaFora ponta</t>
  </si>
  <si>
    <t>44713B1Energia horáriaResidencialResidencialNão se aplicaNão se aplicaFora ponta</t>
  </si>
  <si>
    <t>44743B1Energia horáriaResidencialResidencialNão se aplicaNão se aplicaFora ponta</t>
  </si>
  <si>
    <t>44774B1Energia horáriaResidencialResidencialNão se aplicaNão se aplicaFora ponta</t>
  </si>
  <si>
    <t>44440B1Energia horáriaResidencialResidencialNão se aplicaNão se aplicaIntermediário</t>
  </si>
  <si>
    <t>44470B1Energia horáriaResidencialResidencialNão se aplicaNão se aplicaIntermediário</t>
  </si>
  <si>
    <t>44501B1Energia horáriaResidencialResidencialNão se aplicaNão se aplicaIntermediário</t>
  </si>
  <si>
    <t>44531B1Energia horáriaResidencialResidencialNão se aplicaNão se aplicaIntermediário</t>
  </si>
  <si>
    <t>44562B1Energia horáriaResidencialResidencialNão se aplicaNão se aplicaIntermediário</t>
  </si>
  <si>
    <t>44593B1Energia horáriaResidencialResidencialNão se aplicaNão se aplicaIntermediário</t>
  </si>
  <si>
    <t>44621B1Energia horáriaResidencialResidencialNão se aplicaNão se aplicaIntermediário</t>
  </si>
  <si>
    <t>44652B1Energia horáriaResidencialResidencialNão se aplicaNão se aplicaIntermediário</t>
  </si>
  <si>
    <t>44682B1Energia horáriaResidencialResidencialNão se aplicaNão se aplicaIntermediário</t>
  </si>
  <si>
    <t>44713B1Energia horáriaResidencialResidencialNão se aplicaNão se aplicaIntermediário</t>
  </si>
  <si>
    <t>44743B1Energia horáriaResidencialResidencialNão se aplicaNão se aplicaIntermediário</t>
  </si>
  <si>
    <t>44774B1Energia horáriaResidencialResidencialNão se aplicaNão se aplicaIntermediário</t>
  </si>
  <si>
    <t>44440B1Energia horáriaResidencialResidencialNão se aplicaNão se aplicaPonta</t>
  </si>
  <si>
    <t>44470B1Energia horáriaResidencialResidencialNão se aplicaNão se aplicaPonta</t>
  </si>
  <si>
    <t>44501B1Energia horáriaResidencialResidencialNão se aplicaNão se aplicaPonta</t>
  </si>
  <si>
    <t>44531B1Energia horáriaResidencialResidencialNão se aplicaNão se aplicaPonta</t>
  </si>
  <si>
    <t>44562B1Energia horáriaResidencialResidencialNão se aplicaNão se aplicaPonta</t>
  </si>
  <si>
    <t>44593B1Energia horáriaResidencialResidencialNão se aplicaNão se aplicaPonta</t>
  </si>
  <si>
    <t>44621B1Energia horáriaResidencialResidencialNão se aplicaNão se aplicaPonta</t>
  </si>
  <si>
    <t>44652B1Energia horáriaResidencialResidencialNão se aplicaNão se aplicaPonta</t>
  </si>
  <si>
    <t>44682B1Energia horáriaResidencialResidencialNão se aplicaNão se aplicaPonta</t>
  </si>
  <si>
    <t>44713B1Energia horáriaResidencialResidencialNão se aplicaNão se aplicaPonta</t>
  </si>
  <si>
    <t>44743B1Energia horáriaResidencialResidencialNão se aplicaNão se aplicaPonta</t>
  </si>
  <si>
    <t>44774B1Energia horáriaResidencialResidencialNão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</si>
  <si>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</si>
  <si>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</si>
  <si>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</si>
  <si>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</si>
  <si>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</si>
  <si>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</si>
  <si>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</si>
  <si>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</si>
  <si>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</si>
  <si>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</si>
  <si>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</si>
  <si>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</si>
  <si>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</si>
  <si>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</si>
  <si>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</si>
  <si>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</si>
  <si>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</si>
  <si>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</si>
  <si>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</si>
  <si>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</si>
  <si>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</si>
  <si>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</si>
  <si>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</si>
  <si>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</si>
  <si>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</si>
  <si>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</si>
  <si>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</si>
  <si>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</si>
  <si>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</si>
  <si>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</si>
  <si>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</si>
  <si>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</si>
  <si>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</si>
  <si>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</si>
  <si>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</si>
  <si>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</si>
  <si>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</si>
  <si>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</si>
  <si>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</si>
  <si>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</si>
  <si>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</si>
  <si>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</si>
  <si>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</si>
  <si>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</si>
  <si>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</si>
  <si>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</si>
  <si>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</si>
  <si>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</si>
  <si>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</si>
  <si>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</si>
  <si>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</si>
  <si>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</si>
  <si>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</si>
  <si>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</si>
  <si>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</si>
  <si>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</si>
  <si>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</si>
  <si>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</si>
  <si>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</si>
  <si>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</si>
  <si>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</si>
  <si>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</si>
  <si>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</si>
  <si>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</si>
  <si>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</si>
  <si>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</si>
  <si>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</si>
  <si>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</si>
  <si>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</si>
  <si>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</si>
  <si>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</si>
  <si>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</si>
  <si>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</si>
  <si>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</si>
  <si>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</si>
  <si>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</si>
  <si>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</si>
  <si>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</si>
  <si>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</si>
  <si>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</si>
  <si>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</si>
  <si>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</si>
  <si>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</si>
  <si>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</si>
  <si>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</si>
  <si>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</si>
  <si>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</si>
  <si>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</si>
  <si>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</si>
  <si>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</si>
  <si>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</si>
  <si>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</si>
  <si>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</si>
  <si>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</si>
  <si>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</si>
  <si>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</si>
  <si>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</si>
  <si>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</si>
  <si>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</si>
  <si>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</si>
  <si>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</si>
  <si>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</si>
  <si>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</si>
  <si>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</si>
  <si>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</si>
  <si>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</si>
  <si>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</si>
  <si>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</si>
  <si>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</si>
  <si>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</si>
  <si>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</si>
  <si>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</si>
  <si>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</si>
  <si>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</si>
  <si>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</si>
  <si>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</si>
  <si>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</si>
  <si>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</si>
  <si>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</si>
  <si>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</si>
  <si>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B4bNão se aplicaNão se aplicaNão se aplica</t>
  </si>
  <si>
    <t>44470B4Energia convencionalIluminação públicaIluminação pública – B4bNão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</si>
  <si>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</si>
  <si>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</si>
  <si>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</si>
  <si>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</si>
  <si>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</si>
  <si>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</si>
  <si>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</si>
  <si>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</si>
  <si>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44743B4Energia convencionalIluminação públicaIluminação pública – B4bNão se aplicaNão se aplicaNão se aplica</t>
  </si>
  <si>
    <t>44774B4Energia convencionalIluminação públicaIluminação pública – B4bNão se aplicaNão se aplicaNão se aplica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</si>
  <si>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</si>
  <si>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</si>
  <si>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</si>
  <si>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</si>
  <si>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</si>
  <si>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</si>
  <si>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</si>
  <si>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</si>
  <si>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</si>
  <si>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</si>
  <si>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</si>
  <si>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</si>
  <si>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</si>
  <si>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</si>
  <si>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</si>
  <si>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</si>
  <si>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</si>
  <si>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</si>
  <si>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</si>
  <si>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</si>
  <si>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</si>
  <si>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</si>
  <si>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</si>
  <si>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</si>
  <si>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</si>
  <si>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</si>
  <si>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</si>
  <si>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</si>
  <si>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</si>
  <si>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B4a</t>
  </si>
  <si>
    <t>CUIDADO</t>
  </si>
  <si>
    <t>Desculpe, mas não foi encontrado posto Não se aplica, modalidade Energia horária, subgrupo A4 no banco de regras.</t>
  </si>
  <si>
    <t>Mercado_Receita</t>
  </si>
  <si>
    <t>S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</si>
  <si>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</si>
  <si>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</si>
  <si>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</si>
  <si>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</si>
  <si>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</si>
  <si>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</si>
  <si>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</si>
  <si>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</si>
  <si>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</si>
  <si>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</si>
  <si>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</si>
  <si>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</si>
  <si>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</si>
  <si>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</si>
  <si>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</si>
  <si>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</si>
  <si>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</si>
  <si>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</si>
  <si>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</si>
  <si>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</si>
  <si>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</si>
  <si>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</si>
  <si>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</si>
  <si>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</si>
  <si>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</si>
  <si>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</si>
  <si>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</si>
  <si>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</si>
  <si>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</si>
  <si>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</si>
  <si>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</si>
  <si>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</si>
  <si>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</si>
  <si>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</si>
  <si>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</si>
  <si>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</si>
  <si>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</si>
  <si>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</si>
  <si>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</si>
  <si>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</si>
  <si>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</si>
  <si>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</si>
  <si>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</si>
  <si>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</si>
  <si>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</si>
  <si>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</si>
  <si>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</si>
  <si>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</si>
  <si>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</si>
  <si>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</si>
  <si>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</si>
  <si>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</si>
  <si>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</si>
  <si>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</si>
  <si>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</si>
  <si>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</si>
  <si>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</si>
  <si>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</si>
  <si>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</si>
  <si>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</si>
  <si>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</si>
  <si>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</si>
  <si>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</si>
  <si>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</si>
  <si>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</si>
  <si>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</si>
  <si>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</si>
  <si>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</si>
  <si>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</si>
  <si>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</si>
  <si>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</si>
  <si>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</si>
  <si>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</si>
  <si>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</si>
  <si>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</si>
  <si>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</si>
  <si>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</si>
  <si>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</si>
  <si>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</si>
  <si>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</si>
  <si>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</si>
  <si>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</si>
  <si>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</si>
  <si>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</si>
  <si>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</si>
  <si>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</si>
  <si>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</si>
  <si>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</si>
  <si>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</si>
  <si>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</si>
  <si>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</si>
  <si>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</si>
  <si>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</si>
  <si>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</si>
  <si>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</si>
  <si>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</si>
  <si>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</si>
  <si>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</si>
  <si>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</si>
  <si>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</si>
  <si>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</si>
  <si>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2.941,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</si>
  <si>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</si>
  <si>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</si>
  <si>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</si>
  <si>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</si>
  <si>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</si>
  <si>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</si>
  <si>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</si>
  <si>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</si>
  <si>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</si>
  <si>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</si>
  <si>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</si>
  <si>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</si>
  <si>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</si>
  <si>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</si>
  <si>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</si>
  <si>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</si>
  <si>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</si>
  <si>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</si>
  <si>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</si>
  <si>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</si>
  <si>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</si>
  <si>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</si>
  <si>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</si>
  <si>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</si>
  <si>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</si>
  <si>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</si>
  <si>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</si>
  <si>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</si>
  <si>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</si>
  <si>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</si>
  <si>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</si>
  <si>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</si>
  <si>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</si>
  <si>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</si>
  <si>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</si>
  <si>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</si>
  <si>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</si>
  <si>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</si>
  <si>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</si>
  <si>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</si>
  <si>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</si>
  <si>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</si>
  <si>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</si>
  <si>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</si>
  <si>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</si>
  <si>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</si>
  <si>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</si>
  <si>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</si>
  <si>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</si>
  <si>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</si>
  <si>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</si>
  <si>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</si>
  <si>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</si>
  <si>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</si>
  <si>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</si>
  <si>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</si>
  <si>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</si>
  <si>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</si>
  <si>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</si>
  <si>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</si>
  <si>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</si>
  <si>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</si>
  <si>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</si>
  <si>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</si>
  <si>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</si>
  <si>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</si>
  <si>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</si>
  <si>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</si>
  <si>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</si>
  <si>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</si>
  <si>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</si>
  <si>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</si>
  <si>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</si>
  <si>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</si>
  <si>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</si>
  <si>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</si>
  <si>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</si>
  <si>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</si>
  <si>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</si>
  <si>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</si>
  <si>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</si>
  <si>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</si>
  <si>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</si>
  <si>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</si>
  <si>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</si>
  <si>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</si>
  <si>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</si>
  <si>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</si>
  <si>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</si>
  <si>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</si>
  <si>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</si>
  <si>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</si>
  <si>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</si>
  <si>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</si>
  <si>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</si>
  <si>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</si>
  <si>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</si>
  <si>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RURAL</t>
  </si>
  <si>
    <t>SUBSIDIO ÁGUA, ESGOTO E SANEAMENTO</t>
  </si>
  <si>
    <t>SUBSIDIO BAIXA RENDA</t>
  </si>
  <si>
    <t>R$ (TV)</t>
  </si>
  <si>
    <t>R$ (TN)</t>
  </si>
  <si>
    <t>SUBSIDIO GERAÇÃO FONTE INCENTIVADA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</si>
  <si>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</si>
  <si>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</si>
  <si>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</si>
  <si>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</si>
  <si>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</si>
  <si>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</si>
  <si>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</si>
  <si>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</si>
  <si>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</si>
  <si>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</si>
  <si>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Convencional1Serviço públicoÁgua, esgoto e saneamentoPlanilha CUSTOB3</t>
  </si>
  <si>
    <t>2021</t>
  </si>
  <si>
    <t>Planilha CUSTO</t>
  </si>
  <si>
    <t>Branca1Serviço públicoÁgua, esgoto e saneamentoPlanilha CUSTOB3</t>
  </si>
  <si>
    <t>Azul1Serviço públicoÁgua, esgoto e saneamentoPlanilha CUSTOA4</t>
  </si>
  <si>
    <t>Verde1Serviço públicoÁgua, esgoto e saneamentoPlanilha CUSTOA4</t>
  </si>
  <si>
    <t>Convencional1Serviço públicoÁgua, esgoto e saneamentoPlanilha CUSTOA4</t>
  </si>
  <si>
    <t>Convencional1RuralCooperativa de eletrificação ruralPlanilha CUSTOB2</t>
  </si>
  <si>
    <t>Branca1RuralCooperativa de eletrificação ruralPlanilha CUSTOB2</t>
  </si>
  <si>
    <t>Convencional1RuralNão se aplicaRuralB2</t>
  </si>
  <si>
    <t>Branca1RuralNão se aplicaRuralB2</t>
  </si>
  <si>
    <t>Azul1RuralNão se aplicaPlanilha CustoA4</t>
  </si>
  <si>
    <t>Planilha Custo</t>
  </si>
  <si>
    <t>Verde1RuralNão se aplicaPlanilha CustoA4</t>
  </si>
  <si>
    <t>Convencional1RuralNão se aplicaPlanilha CustoA4</t>
  </si>
  <si>
    <t>Convencional1RuralServiço público de irrigação ruralPlanilha CUSTOB2</t>
  </si>
  <si>
    <t>Branca1RuralServiço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</si>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</sst>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6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0" fontId="3" fillId="0" borderId="13" xfId="0" applyFont="1" applyBorder="1" applyAlignment="1">
      <alignment vertical="center"/>
    </xf>
    <xf numFmtId="167" fontId="3" fillId="0" borderId="0" xfId="0" applyNumberFormat="1" applyFont="1"/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7" fillId="3" borderId="15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6" xfId="0" applyFont="1" applyFill="1" applyBorder="1" applyAlignment="1">
      <alignment horizontal="center" vertical="center"/>
    </xf>
    <xf numFmtId="40" fontId="7" fillId="3" borderId="15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5" fillId="0" borderId="11" xfId="0" applyNumberFormat="1" applyFont="1" applyBorder="1" applyAlignment="1">
      <alignment horizontal="center" vertical="center"/>
    </xf>
    <xf numFmtId="40" fontId="5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0" fillId="6" borderId="18" xfId="0" applyNumberFormat="1" applyFont="1" applyFill="1" applyBorder="1"/>
    <xf numFmtId="4" fontId="10" fillId="6" borderId="12" xfId="0" applyNumberFormat="1" applyFont="1" applyFill="1" applyBorder="1"/>
    <xf numFmtId="4" fontId="10" fillId="6" borderId="19" xfId="0" applyNumberFormat="1" applyFont="1" applyFill="1" applyBorder="1"/>
    <xf numFmtId="4" fontId="10" fillId="6" borderId="6" xfId="0" applyNumberFormat="1" applyFont="1" applyFill="1" applyBorder="1"/>
    <xf numFmtId="4" fontId="10" fillId="6" borderId="13" xfId="0" applyNumberFormat="1" applyFont="1" applyFill="1" applyBorder="1"/>
    <xf numFmtId="4" fontId="10" fillId="6" borderId="5" xfId="0" applyNumberFormat="1" applyFont="1" applyFill="1" applyBorder="1"/>
    <xf numFmtId="4" fontId="10" fillId="6" borderId="20" xfId="0" applyNumberFormat="1" applyFont="1" applyFill="1" applyBorder="1"/>
    <xf numFmtId="4" fontId="10" fillId="6" borderId="10" xfId="0" applyNumberFormat="1" applyFont="1" applyFill="1" applyBorder="1"/>
    <xf numFmtId="4" fontId="10" fillId="6" borderId="17" xfId="0" applyNumberFormat="1" applyFont="1" applyFill="1" applyBorder="1"/>
    <xf numFmtId="4" fontId="10" fillId="6" borderId="13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  <xf numFmtId="4" fontId="10" fillId="6" borderId="19" xfId="0" applyNumberFormat="1" applyFont="1" applyFill="1" applyBorder="1" applyAlignment="1">
      <alignment horizontal="center"/>
    </xf>
    <xf numFmtId="4" fontId="10" fillId="6" borderId="19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915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7.3790398917112352E-4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7.1254402022570509E-2</c:v>
                </c:pt>
                <c:pt idx="6">
                  <c:v>1.1828296930585375E-2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4.7295347994955527E-3</c:v>
                </c:pt>
                <c:pt idx="13">
                  <c:v>0</c:v>
                </c:pt>
                <c:pt idx="14">
                  <c:v>0</c:v>
                </c:pt>
                <c:pt idx="15">
                  <c:v>0.36679143508230977</c:v>
                </c:pt>
                <c:pt idx="16">
                  <c:v>-1.5920314290264477E-2</c:v>
                </c:pt>
                <c:pt idx="17">
                  <c:v>0</c:v>
                </c:pt>
                <c:pt idx="18">
                  <c:v>-3.7502456930141134E-2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0-41C7-AB53-119CC97DCAE5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8.4843223581438428E-4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7.9134029874717113E-2</c:v>
                </c:pt>
                <c:pt idx="6">
                  <c:v>1.5901301032293983E-2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5.7993424800466976E-3</c:v>
                </c:pt>
                <c:pt idx="13">
                  <c:v>0</c:v>
                </c:pt>
                <c:pt idx="14">
                  <c:v>0</c:v>
                </c:pt>
                <c:pt idx="15">
                  <c:v>0.30393591358208305</c:v>
                </c:pt>
                <c:pt idx="16">
                  <c:v>-1.5426939663830068E-2</c:v>
                </c:pt>
                <c:pt idx="17">
                  <c:v>0</c:v>
                </c:pt>
                <c:pt idx="18">
                  <c:v>-2.2059190319854847E-2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70-41C7-AB53-119CC97DCAE5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8.4843223581438428E-4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7.9134029874717113E-2</c:v>
                </c:pt>
                <c:pt idx="6">
                  <c:v>1.5901301032293983E-2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5.7993424800466976E-3</c:v>
                </c:pt>
                <c:pt idx="13">
                  <c:v>0</c:v>
                </c:pt>
                <c:pt idx="14">
                  <c:v>0</c:v>
                </c:pt>
                <c:pt idx="15">
                  <c:v>0.30393591358208305</c:v>
                </c:pt>
                <c:pt idx="16">
                  <c:v>-1.5426939663830068E-2</c:v>
                </c:pt>
                <c:pt idx="17">
                  <c:v>0</c:v>
                </c:pt>
                <c:pt idx="18">
                  <c:v>-2.2059190319854847E-2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70-41C7-AB53-119CC97DCAE5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8E70-41C7-AB53-119CC97DCAE5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8E70-41C7-AB53-119CC97DCAE5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8E70-41C7-AB53-119CC97DC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866607"/>
        <c:axId val="344868687"/>
      </c:radarChart>
      <c:catAx>
        <c:axId val="344866607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44868687"/>
        <c:crosses val="autoZero"/>
        <c:auto val="1"/>
        <c:lblAlgn val="ctr"/>
        <c:lblOffset val="100"/>
        <c:noMultiLvlLbl val="0"/>
      </c:catAx>
      <c:valAx>
        <c:axId val="3448686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4866607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-0.64061529235892123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-9.7372374569845224E-3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6-40AF-9544-D3CD0B0E1ED6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-0.64078186701579187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-9.7327242516260879E-3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16-40AF-9544-D3CD0B0E1ED6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-0.64078186701579187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-9.7327242516260879E-3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6-40AF-9544-D3CD0B0E1ED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8416-40AF-9544-D3CD0B0E1ED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8416-40AF-9544-D3CD0B0E1ED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8416-40AF-9544-D3CD0B0E1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131679"/>
        <c:axId val="267135007"/>
      </c:radarChart>
      <c:catAx>
        <c:axId val="26713167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67135007"/>
        <c:crosses val="autoZero"/>
        <c:auto val="1"/>
        <c:lblAlgn val="ctr"/>
        <c:lblOffset val="100"/>
        <c:noMultiLvlLbl val="0"/>
      </c:catAx>
      <c:valAx>
        <c:axId val="26713500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7131679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474346</xdr:colOff>
      <xdr:row>17</xdr:row>
      <xdr:rowOff>83820</xdr:rowOff>
    </xdr:from>
    <xdr:to>
      <xdr:col>14</xdr:col>
      <xdr:colOff>114301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E889CA-A6A7-AD16-D05B-21900B1D0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588646</xdr:colOff>
      <xdr:row>17</xdr:row>
      <xdr:rowOff>83820</xdr:rowOff>
    </xdr:from>
    <xdr:to>
      <xdr:col>13</xdr:col>
      <xdr:colOff>449581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4F480B-AEBC-3AC0-765B-0203C6D0A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03131944445" createdVersion="5" refreshedVersion="8" minRefreshableVersion="3" recordCount="586" xr:uid="{C3BF8D16-5133-44D9-A06E-F11C34F0D678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Branca"/>
        <s v="Convencional"/>
      </sharedItems>
    </cacheField>
    <cacheField name="Classe" numFmtId="0">
      <sharedItems count="8">
        <s v="Comercial"/>
        <s v="Industrial"/>
        <s v="Rural"/>
        <s v="Serviço público"/>
        <s v="Residencial"/>
        <s v="Consumo próprio"/>
        <s v="Poder público"/>
        <s v="Iluminação pública"/>
      </sharedItems>
    </cacheField>
    <cacheField name="Subclasse" numFmtId="0">
      <sharedItems count="8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Iluminação pública – B4b"/>
      </sharedItems>
    </cacheField>
    <cacheField name="Detalhe" numFmtId="0">
      <sharedItems count="2">
        <s v="Não se aplica"/>
        <s v="Fonte incentivada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643"/>
    </cacheField>
    <cacheField name="Daj" numFmtId="40">
      <sharedItems containsSemiMixedTypes="0" containsString="0" containsNumber="1" minValue="0" maxValue="1643"/>
    </cacheField>
    <cacheField name="TUSD_E" numFmtId="40">
      <sharedItems containsSemiMixedTypes="0" containsString="0" containsNumber="1" minValue="-109.896" maxValue="3250.5459999999998"/>
    </cacheField>
    <cacheField name="TUSD_Eaj" numFmtId="40">
      <sharedItems containsSemiMixedTypes="0" containsString="0" containsNumber="1" minValue="-109.896" maxValue="3250.5459999999998"/>
    </cacheField>
    <cacheField name="TE_E" numFmtId="40">
      <sharedItems containsSemiMixedTypes="0" containsString="0" containsNumber="1" minValue="-109.896" maxValue="3250.5459999999998"/>
    </cacheField>
    <cacheField name="TE_Eaj" numFmtId="40">
      <sharedItems containsSemiMixedTypes="0" containsString="0" containsNumber="1" minValue="-109.896" maxValue="3250.5459999999998"/>
    </cacheField>
    <cacheField name="UC" numFmtId="40">
      <sharedItems containsSemiMixedTypes="0" containsString="0" containsNumber="1" containsInteger="1" minValue="0" maxValue="13661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10"/>
    </cacheField>
    <cacheField name="CóD. AUX. TUSD R$/MWh" numFmtId="40">
      <sharedItems containsSemiMixedTypes="0" containsString="0" containsNumber="1" containsInteger="1" minValue="0" maxValue="78"/>
    </cacheField>
    <cacheField name="CóD. AUX. TE R$/MWh" numFmtId="4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34.08"/>
    </cacheField>
    <cacheField name="TUSD (R$/MWh)" numFmtId="40">
      <sharedItems containsSemiMixedTypes="0" containsString="0" containsNumber="1" minValue="0" maxValue="2545.94"/>
    </cacheField>
    <cacheField name="TE (R$/MWh)" numFmtId="40">
      <sharedItems containsSemiMixedTypes="0" containsString="0" containsNumber="1" minValue="0" maxValue="223.07"/>
    </cacheField>
    <cacheField name="TUSD (R$/kW) NOVA" numFmtId="40">
      <sharedItems containsString="0" containsBlank="1" containsNumber="1" minValue="46.559537342020157" maxValue="46.559537342020157"/>
    </cacheField>
    <cacheField name="TUSD (R$/MWh) NOVA" numFmtId="40">
      <sharedItems containsString="0" containsBlank="1" containsNumber="1" minValue="94.544461461160509" maxValue="3640.0032141838496"/>
    </cacheField>
    <cacheField name="TE (R$/MWh) NOVA" numFmtId="40">
      <sharedItems containsString="0" containsBlank="1" containsNumber="1" minValue="46.809628493429393" maxValue="133.74179569551256"/>
    </cacheField>
    <cacheField name="RA0 ou RV - TUSD (kW)" numFmtId="40">
      <sharedItems containsSemiMixedTypes="0" containsString="0" containsNumber="1" minValue="0" maxValue="55993.439999999995"/>
    </cacheField>
    <cacheField name="RA0 ou RV - TUSD (MWh)" numFmtId="40">
      <sharedItems containsSemiMixedTypes="0" containsString="0" containsNumber="1" minValue="-53041.304400000001" maxValue="1568876.0268999999"/>
    </cacheField>
    <cacheField name="RA0 ou RV - TE (MWh)" numFmtId="40">
      <sharedItems containsSemiMixedTypes="0" containsString="0" containsNumber="1" minValue="-24514.50072" maxValue="725099.2962199999"/>
    </cacheField>
    <cacheField name="RA1 ou RRD - TUSD (kW)" numFmtId="40">
      <sharedItems containsSemiMixedTypes="0" containsString="0" containsNumber="1" minValue="0" maxValue="76497.319852939123"/>
    </cacheField>
    <cacheField name="RA1 ou RRD - TUSD (MWh)" numFmtId="40">
      <sharedItems containsSemiMixedTypes="0" containsString="0" containsNumber="1" minValue="-76069.853314144872" maxValue="2250023.2711916752"/>
    </cacheField>
    <cacheField name="RA1 ou RRD - TE (MWh)" numFmtId="40">
      <sharedItems containsSemiMixedTypes="0" containsString="0" containsNumber="1" minValue="-14697.688379754049" maxValue="434733.8590308655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03225578707" createdVersion="5" refreshedVersion="8" minRefreshableVersion="3" recordCount="229" xr:uid="{28EA560B-F35A-4447-B8EE-6AF2114063B5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4">
        <s v="Industrial"/>
        <s v="Rural"/>
        <s v="Serviço público"/>
        <s v="Residencial"/>
      </sharedItems>
    </cacheField>
    <cacheField name="Subclasse" numFmtId="0">
      <sharedItems count="7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</sharedItems>
    </cacheField>
    <cacheField name="Detalhe" numFmtId="0">
      <sharedItems count="2">
        <s v="Fonte incentivada"/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050"/>
    </cacheField>
    <cacheField name="Daj" numFmtId="40">
      <sharedItems containsSemiMixedTypes="0" containsString="0" containsNumber="1" minValue="0" maxValue="540.64499999999998"/>
    </cacheField>
    <cacheField name="TUSD_E" numFmtId="40">
      <sharedItems containsSemiMixedTypes="0" containsString="0" containsNumber="1" minValue="-1.7999999999999999E-2" maxValue="2217.5830000000001"/>
    </cacheField>
    <cacheField name="TUSD_Eaj" numFmtId="40">
      <sharedItems containsSemiMixedTypes="0" containsString="0" containsNumber="1" minValue="-1.7999999999999999E-2" maxValue="2217.5830000000001"/>
    </cacheField>
    <cacheField name="TE_E" numFmtId="40">
      <sharedItems containsSemiMixedTypes="0" containsString="0" containsNumber="1" minValue="-1.7999999999999999E-2" maxValue="2217.5830000000001"/>
    </cacheField>
    <cacheField name="TE_Eaj" numFmtId="40">
      <sharedItems containsSemiMixedTypes="0" containsString="0" containsNumber="1" minValue="-1.7999999999999999E-2" maxValue="2217.5830000000001"/>
    </cacheField>
    <cacheField name="UC" numFmtId="40">
      <sharedItems containsSemiMixedTypes="0" containsString="0" containsNumber="1" containsInteger="1" minValue="0" maxValue="13311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10"/>
    </cacheField>
    <cacheField name="CóD. AUX. TUSD R$/MWh" numFmtId="0">
      <sharedItems containsSemiMixedTypes="0" containsString="0" containsNumber="1" containsInteger="1" minValue="0" maxValue="75"/>
    </cacheField>
    <cacheField name="CóD. AUX. TE R$/MWh" numFmtId="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34.08"/>
    </cacheField>
    <cacheField name="TUSD (R$/MWh)" numFmtId="40">
      <sharedItems containsSemiMixedTypes="0" containsString="0" containsNumber="1" minValue="0" maxValue="2545.94"/>
    </cacheField>
    <cacheField name="TE (R$/MWh)" numFmtId="40">
      <sharedItems containsSemiMixedTypes="0" containsString="0" containsNumber="1" minValue="0" maxValue="223.07"/>
    </cacheField>
    <cacheField name="TUSD (R$/kW) NOVA" numFmtId="40">
      <sharedItems containsString="0" containsBlank="1" containsNumber="1" minValue="46.559537342020157" maxValue="46.559537342020157"/>
    </cacheField>
    <cacheField name="TUSD (R$/MWh) NOVA" numFmtId="40">
      <sharedItems containsString="0" containsBlank="1" containsNumber="1" minValue="94.544461461160509" maxValue="3640.0032141838496"/>
    </cacheField>
    <cacheField name="TE (R$/MWh) NOVA" numFmtId="40">
      <sharedItems containsString="0" containsBlank="1" containsNumber="1" minValue="46.809628493429393" maxValue="133.74179569551256"/>
    </cacheField>
    <cacheField name="SUBSIDIO kW - TV" numFmtId="40">
      <sharedItems containsSemiMixedTypes="0" containsString="0" containsNumber="1" minValue="0" maxValue="17892"/>
    </cacheField>
    <cacheField name="SUBSIDIO MWh - TV" numFmtId="40">
      <sharedItems containsSemiMixedTypes="0" containsString="0" containsNumber="1" minValue="-1.5244199999999999" maxValue="5519.4671799999996"/>
    </cacheField>
    <cacheField name="SUBSIDIO kW - TN" numFmtId="40">
      <sharedItems containsSemiMixedTypes="0" containsString="0" containsNumber="1" minValue="0" maxValue="24443.757104560584"/>
    </cacheField>
    <cacheField name="SUBSIDIO MWh - TN" numFmtId="40">
      <sharedItems containsSemiMixedTypes="0" containsString="0" containsNumber="1" minValue="-1.0406848523541603" maxValue="7732.0351472166285"/>
    </cacheField>
    <cacheField name="TIPO" numFmtId="0">
      <sharedItems containsBlank="1" count="5">
        <s v="SUBSIDIO CARGA FONTE INCENTIVADA"/>
        <s v="SUBSIDIO RURAL"/>
        <s v="SUBSIDIO ÁGUA, ESGOTO E SANEAMENTO"/>
        <m/>
        <s v="SUBSIDIO BAIXA RENDA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">
  <r>
    <s v="Regular"/>
    <x v="0"/>
    <x v="0"/>
    <x v="0"/>
    <x v="0"/>
    <x v="0"/>
    <x v="0"/>
    <x v="0"/>
    <x v="0"/>
    <n v="0"/>
    <n v="0"/>
    <n v="300.98500000000001"/>
    <n v="300.98500000000001"/>
    <n v="300.98500000000001"/>
    <n v="300.98500000000001"/>
    <n v="0"/>
    <x v="0"/>
    <n v="0"/>
    <n v="0"/>
    <n v="6"/>
    <n v="50"/>
    <n v="0"/>
    <n v="67.489999999999995"/>
    <n v="223.07"/>
    <m/>
    <n v="94.544461461160509"/>
    <n v="133.74179569551256"/>
    <n v="0"/>
    <n v="20313.477650000001"/>
    <n v="67140.72395"/>
    <n v="0"/>
    <n v="28456.464732887398"/>
    <n v="40254.274377413851"/>
  </r>
  <r>
    <s v="Regular"/>
    <x v="0"/>
    <x v="0"/>
    <x v="0"/>
    <x v="0"/>
    <x v="0"/>
    <x v="0"/>
    <x v="0"/>
    <x v="1"/>
    <n v="0"/>
    <n v="0"/>
    <n v="308.64600000000002"/>
    <n v="308.64600000000002"/>
    <n v="308.64600000000002"/>
    <n v="308.64600000000002"/>
    <n v="0"/>
    <x v="0"/>
    <n v="0"/>
    <n v="0"/>
    <n v="6"/>
    <n v="50"/>
    <n v="0"/>
    <n v="67.489999999999995"/>
    <n v="223.07"/>
    <m/>
    <n v="94.544461461160509"/>
    <n v="133.74179569551256"/>
    <n v="0"/>
    <n v="20830.518540000001"/>
    <n v="68849.663220000002"/>
    <n v="0"/>
    <n v="29180.769852141348"/>
    <n v="41278.870274237175"/>
  </r>
  <r>
    <s v="Regular"/>
    <x v="0"/>
    <x v="0"/>
    <x v="0"/>
    <x v="0"/>
    <x v="0"/>
    <x v="0"/>
    <x v="0"/>
    <x v="2"/>
    <n v="0"/>
    <n v="0"/>
    <n v="313.72199999999998"/>
    <n v="313.72199999999998"/>
    <n v="313.72199999999998"/>
    <n v="313.72199999999998"/>
    <n v="0"/>
    <x v="0"/>
    <n v="0"/>
    <n v="0"/>
    <n v="6"/>
    <n v="50"/>
    <n v="0"/>
    <n v="67.489999999999995"/>
    <n v="223.07"/>
    <m/>
    <n v="94.544461461160509"/>
    <n v="133.74179569551256"/>
    <n v="0"/>
    <n v="21173.097779999996"/>
    <n v="69981.966539999994"/>
    <n v="0"/>
    <n v="29660.677538518194"/>
    <n v="41957.743629187593"/>
  </r>
  <r>
    <s v="Regular"/>
    <x v="0"/>
    <x v="0"/>
    <x v="0"/>
    <x v="0"/>
    <x v="0"/>
    <x v="0"/>
    <x v="0"/>
    <x v="3"/>
    <n v="0"/>
    <n v="0"/>
    <n v="351.51"/>
    <n v="351.51"/>
    <n v="351.51"/>
    <n v="351.51"/>
    <n v="0"/>
    <x v="0"/>
    <n v="0"/>
    <n v="0"/>
    <n v="6"/>
    <n v="50"/>
    <n v="0"/>
    <n v="67.489999999999995"/>
    <n v="223.07"/>
    <m/>
    <n v="94.544461461160509"/>
    <n v="133.74179569551256"/>
    <n v="0"/>
    <n v="23723.409899999999"/>
    <n v="78411.335699999996"/>
    <n v="0"/>
    <n v="33233.323648212528"/>
    <n v="47011.578604929622"/>
  </r>
  <r>
    <s v="Regular"/>
    <x v="0"/>
    <x v="0"/>
    <x v="0"/>
    <x v="0"/>
    <x v="0"/>
    <x v="0"/>
    <x v="0"/>
    <x v="4"/>
    <n v="0"/>
    <n v="0"/>
    <n v="395.76299999999998"/>
    <n v="395.76299999999998"/>
    <n v="395.76299999999998"/>
    <n v="395.76299999999998"/>
    <n v="0"/>
    <x v="0"/>
    <n v="0"/>
    <n v="0"/>
    <n v="6"/>
    <n v="50"/>
    <n v="0"/>
    <n v="67.489999999999995"/>
    <n v="223.07"/>
    <m/>
    <n v="94.544461461160509"/>
    <n v="133.74179569551256"/>
    <n v="0"/>
    <n v="26710.044869999998"/>
    <n v="88282.852409999992"/>
    <n v="0"/>
    <n v="37417.199701253267"/>
    <n v="52930.054289843138"/>
  </r>
  <r>
    <s v="Regular"/>
    <x v="0"/>
    <x v="0"/>
    <x v="0"/>
    <x v="0"/>
    <x v="0"/>
    <x v="0"/>
    <x v="0"/>
    <x v="5"/>
    <n v="0"/>
    <n v="0"/>
    <n v="350.68099999999998"/>
    <n v="350.68099999999998"/>
    <n v="350.68099999999998"/>
    <n v="350.68099999999998"/>
    <n v="0"/>
    <x v="0"/>
    <n v="0"/>
    <n v="0"/>
    <n v="6"/>
    <n v="50"/>
    <n v="0"/>
    <n v="67.489999999999995"/>
    <n v="223.07"/>
    <m/>
    <n v="94.544461461160509"/>
    <n v="133.74179569551256"/>
    <n v="0"/>
    <n v="23667.460689999996"/>
    <n v="78226.410669999997"/>
    <n v="0"/>
    <n v="33154.946289661224"/>
    <n v="46900.70665629804"/>
  </r>
  <r>
    <s v="Regular"/>
    <x v="0"/>
    <x v="0"/>
    <x v="0"/>
    <x v="0"/>
    <x v="0"/>
    <x v="0"/>
    <x v="0"/>
    <x v="6"/>
    <n v="0"/>
    <n v="0"/>
    <n v="334.87700000000001"/>
    <n v="334.87700000000001"/>
    <n v="334.87700000000001"/>
    <n v="334.87700000000001"/>
    <n v="0"/>
    <x v="0"/>
    <n v="0"/>
    <n v="0"/>
    <n v="6"/>
    <n v="50"/>
    <n v="0"/>
    <n v="67.489999999999995"/>
    <n v="223.07"/>
    <m/>
    <n v="94.544461461160509"/>
    <n v="133.74179569551256"/>
    <n v="0"/>
    <n v="22600.848729999998"/>
    <n v="74701.012390000004"/>
    <n v="0"/>
    <n v="31660.765620729049"/>
    <n v="44787.051317126163"/>
  </r>
  <r>
    <s v="Sistema de Compensação"/>
    <x v="0"/>
    <x v="0"/>
    <x v="0"/>
    <x v="0"/>
    <x v="0"/>
    <x v="0"/>
    <x v="0"/>
    <x v="6"/>
    <n v="0"/>
    <n v="0"/>
    <n v="13.708"/>
    <n v="13.708"/>
    <n v="13.708"/>
    <n v="13.708"/>
    <n v="0"/>
    <x v="0"/>
    <n v="0"/>
    <n v="0"/>
    <n v="6"/>
    <n v="50"/>
    <n v="0"/>
    <n v="67.489999999999995"/>
    <n v="223.07"/>
    <m/>
    <n v="94.544461461160509"/>
    <n v="133.74179569551256"/>
    <n v="0"/>
    <n v="925.15291999999999"/>
    <n v="3057.8435599999998"/>
    <n v="0"/>
    <n v="1296.0154777095884"/>
    <n v="1833.3325353940863"/>
  </r>
  <r>
    <s v="Regular"/>
    <x v="0"/>
    <x v="0"/>
    <x v="0"/>
    <x v="0"/>
    <x v="0"/>
    <x v="0"/>
    <x v="0"/>
    <x v="7"/>
    <n v="0"/>
    <n v="0"/>
    <n v="302.95"/>
    <n v="302.95"/>
    <n v="302.95"/>
    <n v="302.95"/>
    <n v="0"/>
    <x v="0"/>
    <n v="0"/>
    <n v="0"/>
    <n v="6"/>
    <n v="50"/>
    <n v="0"/>
    <n v="67.489999999999995"/>
    <n v="223.07"/>
    <m/>
    <n v="94.544461461160509"/>
    <n v="133.74179569551256"/>
    <n v="0"/>
    <n v="20446.095499999999"/>
    <n v="67579.056499999992"/>
    <n v="0"/>
    <n v="28642.244599658574"/>
    <n v="40517.077005955529"/>
  </r>
  <r>
    <s v="Sistema de Compensação"/>
    <x v="0"/>
    <x v="0"/>
    <x v="0"/>
    <x v="0"/>
    <x v="0"/>
    <x v="0"/>
    <x v="0"/>
    <x v="7"/>
    <n v="0"/>
    <n v="0"/>
    <n v="9.8810000000000002"/>
    <n v="9.8810000000000002"/>
    <n v="9.8810000000000002"/>
    <n v="9.8810000000000002"/>
    <n v="0"/>
    <x v="0"/>
    <n v="0"/>
    <n v="0"/>
    <n v="6"/>
    <n v="50"/>
    <n v="0"/>
    <n v="67.489999999999995"/>
    <n v="223.07"/>
    <m/>
    <n v="94.544461461160509"/>
    <n v="133.74179569551256"/>
    <n v="0"/>
    <n v="666.86869000000002"/>
    <n v="2204.1546699999999"/>
    <n v="0"/>
    <n v="934.193823697727"/>
    <n v="1321.5026832673598"/>
  </r>
  <r>
    <s v="Regular"/>
    <x v="0"/>
    <x v="0"/>
    <x v="0"/>
    <x v="0"/>
    <x v="0"/>
    <x v="0"/>
    <x v="0"/>
    <x v="8"/>
    <n v="0"/>
    <n v="0"/>
    <n v="307.20800000000003"/>
    <n v="307.20800000000003"/>
    <n v="307.20800000000003"/>
    <n v="307.20800000000003"/>
    <n v="0"/>
    <x v="0"/>
    <n v="0"/>
    <n v="0"/>
    <n v="6"/>
    <n v="50"/>
    <n v="0"/>
    <n v="67.489999999999995"/>
    <n v="223.07"/>
    <m/>
    <n v="94.544461461160509"/>
    <n v="133.74179569551256"/>
    <n v="0"/>
    <n v="20733.467919999999"/>
    <n v="68528.888560000007"/>
    <n v="0"/>
    <n v="29044.814916560201"/>
    <n v="41086.549572027026"/>
  </r>
  <r>
    <s v="Sistema de Compensação"/>
    <x v="0"/>
    <x v="0"/>
    <x v="0"/>
    <x v="0"/>
    <x v="0"/>
    <x v="0"/>
    <x v="0"/>
    <x v="8"/>
    <n v="0"/>
    <n v="0"/>
    <n v="11.500999999999999"/>
    <n v="11.500999999999999"/>
    <n v="11.500999999999999"/>
    <n v="11.500999999999999"/>
    <n v="0"/>
    <x v="0"/>
    <n v="0"/>
    <n v="0"/>
    <n v="6"/>
    <n v="50"/>
    <n v="0"/>
    <n v="67.489999999999995"/>
    <n v="223.07"/>
    <m/>
    <n v="94.544461461160509"/>
    <n v="133.74179569551256"/>
    <n v="0"/>
    <n v="776.2024899999999"/>
    <n v="2565.5280699999998"/>
    <n v="0"/>
    <n v="1087.3558512648069"/>
    <n v="1538.16439229409"/>
  </r>
  <r>
    <s v="Regular"/>
    <x v="0"/>
    <x v="0"/>
    <x v="0"/>
    <x v="0"/>
    <x v="0"/>
    <x v="0"/>
    <x v="0"/>
    <x v="9"/>
    <n v="0"/>
    <n v="0"/>
    <n v="290.33999999999997"/>
    <n v="290.33999999999997"/>
    <n v="290.33999999999997"/>
    <n v="290.33999999999997"/>
    <n v="0"/>
    <x v="0"/>
    <n v="0"/>
    <n v="0"/>
    <n v="6"/>
    <n v="50"/>
    <n v="0"/>
    <n v="67.489999999999995"/>
    <n v="223.07"/>
    <m/>
    <n v="94.544461461160509"/>
    <n v="133.74179569551256"/>
    <n v="0"/>
    <n v="19595.046599999998"/>
    <n v="64766.143799999991"/>
    <n v="0"/>
    <n v="27450.038940633342"/>
    <n v="38830.592962235118"/>
  </r>
  <r>
    <s v="Sistema de Compensação"/>
    <x v="0"/>
    <x v="0"/>
    <x v="0"/>
    <x v="0"/>
    <x v="0"/>
    <x v="0"/>
    <x v="0"/>
    <x v="9"/>
    <n v="0"/>
    <n v="0"/>
    <n v="15.744999999999999"/>
    <n v="15.744999999999999"/>
    <n v="15.744999999999999"/>
    <n v="15.744999999999999"/>
    <n v="0"/>
    <x v="0"/>
    <n v="0"/>
    <n v="0"/>
    <n v="6"/>
    <n v="50"/>
    <n v="0"/>
    <n v="67.489999999999995"/>
    <n v="223.07"/>
    <m/>
    <n v="94.544461461160509"/>
    <n v="133.74179569551256"/>
    <n v="0"/>
    <n v="1062.6300499999998"/>
    <n v="3512.2371499999999"/>
    <n v="0"/>
    <n v="1488.602545705972"/>
    <n v="2105.7645732258452"/>
  </r>
  <r>
    <s v="Regular"/>
    <x v="0"/>
    <x v="0"/>
    <x v="0"/>
    <x v="0"/>
    <x v="0"/>
    <x v="0"/>
    <x v="0"/>
    <x v="10"/>
    <n v="0"/>
    <n v="0"/>
    <n v="311.78899999999999"/>
    <n v="311.78899999999999"/>
    <n v="311.78899999999999"/>
    <n v="311.78899999999999"/>
    <n v="0"/>
    <x v="0"/>
    <n v="0"/>
    <n v="0"/>
    <n v="6"/>
    <n v="50"/>
    <n v="0"/>
    <n v="67.489999999999995"/>
    <n v="223.07"/>
    <m/>
    <n v="94.544461461160509"/>
    <n v="133.74179569551256"/>
    <n v="0"/>
    <n v="21042.639609999998"/>
    <n v="69550.772230000002"/>
    <n v="0"/>
    <n v="29477.923094513772"/>
    <n v="41699.220738108168"/>
  </r>
  <r>
    <s v="Sistema de Compensação"/>
    <x v="0"/>
    <x v="0"/>
    <x v="0"/>
    <x v="0"/>
    <x v="0"/>
    <x v="0"/>
    <x v="0"/>
    <x v="10"/>
    <n v="0"/>
    <n v="0"/>
    <n v="15.247"/>
    <n v="15.247"/>
    <n v="15.247"/>
    <n v="15.247"/>
    <n v="0"/>
    <x v="0"/>
    <n v="0"/>
    <n v="0"/>
    <n v="6"/>
    <n v="50"/>
    <n v="0"/>
    <n v="67.489999999999995"/>
    <n v="223.07"/>
    <m/>
    <n v="94.544461461160509"/>
    <n v="133.74179569551256"/>
    <n v="0"/>
    <n v="1029.0200299999999"/>
    <n v="3401.1482900000001"/>
    <n v="0"/>
    <n v="1441.5194038983143"/>
    <n v="2039.1611589694801"/>
  </r>
  <r>
    <s v="Regular"/>
    <x v="0"/>
    <x v="0"/>
    <x v="0"/>
    <x v="0"/>
    <x v="0"/>
    <x v="0"/>
    <x v="0"/>
    <x v="11"/>
    <n v="0"/>
    <n v="0"/>
    <n v="313.17599999999999"/>
    <n v="313.17599999999999"/>
    <n v="313.17599999999999"/>
    <n v="313.17599999999999"/>
    <n v="0"/>
    <x v="0"/>
    <n v="0"/>
    <n v="0"/>
    <n v="6"/>
    <n v="50"/>
    <n v="0"/>
    <n v="67.489999999999995"/>
    <n v="223.07"/>
    <m/>
    <n v="94.544461461160509"/>
    <n v="133.74179569551256"/>
    <n v="0"/>
    <n v="21136.248239999997"/>
    <n v="69860.17031999999"/>
    <n v="0"/>
    <n v="29609.056262560403"/>
    <n v="41884.720608737844"/>
  </r>
  <r>
    <s v="Sistema de Compensação"/>
    <x v="0"/>
    <x v="0"/>
    <x v="0"/>
    <x v="0"/>
    <x v="0"/>
    <x v="0"/>
    <x v="0"/>
    <x v="11"/>
    <n v="0"/>
    <n v="0"/>
    <n v="12.393000000000001"/>
    <n v="12.393000000000001"/>
    <n v="12.393000000000001"/>
    <n v="12.393000000000001"/>
    <n v="0"/>
    <x v="0"/>
    <n v="0"/>
    <n v="0"/>
    <n v="6"/>
    <n v="50"/>
    <n v="0"/>
    <n v="67.489999999999995"/>
    <n v="223.07"/>
    <m/>
    <n v="94.544461461160509"/>
    <n v="133.74179569551256"/>
    <n v="0"/>
    <n v="836.40356999999995"/>
    <n v="2764.5065100000002"/>
    <n v="0"/>
    <n v="1171.6895108881622"/>
    <n v="1657.4620740544874"/>
  </r>
  <r>
    <s v="Regular"/>
    <x v="0"/>
    <x v="0"/>
    <x v="0"/>
    <x v="0"/>
    <x v="0"/>
    <x v="0"/>
    <x v="1"/>
    <x v="0"/>
    <n v="1251"/>
    <n v="1251"/>
    <n v="0"/>
    <n v="0"/>
    <n v="0"/>
    <n v="0"/>
    <n v="12"/>
    <x v="0"/>
    <n v="0"/>
    <n v="10"/>
    <n v="0"/>
    <n v="0"/>
    <n v="34.08"/>
    <n v="0"/>
    <n v="0"/>
    <n v="46.559537342020157"/>
    <m/>
    <m/>
    <n v="42634.079999999994"/>
    <n v="0"/>
    <n v="0"/>
    <n v="58245.981214867214"/>
    <n v="0"/>
    <n v="0"/>
  </r>
  <r>
    <s v="Regular"/>
    <x v="0"/>
    <x v="0"/>
    <x v="0"/>
    <x v="0"/>
    <x v="0"/>
    <x v="0"/>
    <x v="1"/>
    <x v="1"/>
    <n v="1245"/>
    <n v="1245"/>
    <n v="0"/>
    <n v="0"/>
    <n v="0"/>
    <n v="0"/>
    <n v="12"/>
    <x v="0"/>
    <n v="0"/>
    <n v="10"/>
    <n v="0"/>
    <n v="0"/>
    <n v="34.08"/>
    <n v="0"/>
    <n v="0"/>
    <n v="46.559537342020157"/>
    <m/>
    <m/>
    <n v="42429.599999999999"/>
    <n v="0"/>
    <n v="0"/>
    <n v="57966.623990815096"/>
    <n v="0"/>
    <n v="0"/>
  </r>
  <r>
    <s v="Regular"/>
    <x v="0"/>
    <x v="0"/>
    <x v="0"/>
    <x v="0"/>
    <x v="0"/>
    <x v="0"/>
    <x v="1"/>
    <x v="2"/>
    <n v="1322"/>
    <n v="1322"/>
    <n v="0"/>
    <n v="0"/>
    <n v="0"/>
    <n v="0"/>
    <n v="12"/>
    <x v="0"/>
    <n v="0"/>
    <n v="10"/>
    <n v="0"/>
    <n v="0"/>
    <n v="34.08"/>
    <n v="0"/>
    <n v="0"/>
    <n v="46.559537342020157"/>
    <m/>
    <m/>
    <n v="45053.759999999995"/>
    <n v="0"/>
    <n v="0"/>
    <n v="61551.708366150648"/>
    <n v="0"/>
    <n v="0"/>
  </r>
  <r>
    <s v="Regular"/>
    <x v="0"/>
    <x v="0"/>
    <x v="0"/>
    <x v="0"/>
    <x v="0"/>
    <x v="0"/>
    <x v="1"/>
    <x v="3"/>
    <n v="1396"/>
    <n v="1396"/>
    <n v="0"/>
    <n v="0"/>
    <n v="0"/>
    <n v="0"/>
    <n v="12"/>
    <x v="0"/>
    <n v="0"/>
    <n v="10"/>
    <n v="0"/>
    <n v="0"/>
    <n v="34.08"/>
    <n v="0"/>
    <n v="0"/>
    <n v="46.559537342020157"/>
    <m/>
    <m/>
    <n v="47575.68"/>
    <n v="0"/>
    <n v="0"/>
    <n v="64997.11412946014"/>
    <n v="0"/>
    <n v="0"/>
  </r>
  <r>
    <s v="Regular"/>
    <x v="0"/>
    <x v="0"/>
    <x v="0"/>
    <x v="0"/>
    <x v="0"/>
    <x v="0"/>
    <x v="1"/>
    <x v="4"/>
    <n v="1416"/>
    <n v="1416"/>
    <n v="0"/>
    <n v="0"/>
    <n v="0"/>
    <n v="0"/>
    <n v="12"/>
    <x v="0"/>
    <n v="0"/>
    <n v="10"/>
    <n v="0"/>
    <n v="0"/>
    <n v="34.08"/>
    <n v="0"/>
    <n v="0"/>
    <n v="46.559537342020157"/>
    <m/>
    <m/>
    <n v="48257.279999999999"/>
    <n v="0"/>
    <n v="0"/>
    <n v="65928.304876300535"/>
    <n v="0"/>
    <n v="0"/>
  </r>
  <r>
    <s v="Regular"/>
    <x v="0"/>
    <x v="0"/>
    <x v="0"/>
    <x v="0"/>
    <x v="0"/>
    <x v="0"/>
    <x v="1"/>
    <x v="5"/>
    <n v="1401"/>
    <n v="1401"/>
    <n v="0"/>
    <n v="0"/>
    <n v="0"/>
    <n v="0"/>
    <n v="13"/>
    <x v="0"/>
    <n v="0"/>
    <n v="10"/>
    <n v="0"/>
    <n v="0"/>
    <n v="34.08"/>
    <n v="0"/>
    <n v="0"/>
    <n v="46.559537342020157"/>
    <m/>
    <m/>
    <n v="47746.079999999994"/>
    <n v="0"/>
    <n v="0"/>
    <n v="65229.911816170243"/>
    <n v="0"/>
    <n v="0"/>
  </r>
  <r>
    <s v="Regular"/>
    <x v="0"/>
    <x v="0"/>
    <x v="0"/>
    <x v="0"/>
    <x v="0"/>
    <x v="0"/>
    <x v="1"/>
    <x v="6"/>
    <n v="1349"/>
    <n v="1349"/>
    <n v="0"/>
    <n v="0"/>
    <n v="0"/>
    <n v="0"/>
    <n v="12"/>
    <x v="0"/>
    <n v="0"/>
    <n v="10"/>
    <n v="0"/>
    <n v="0"/>
    <n v="34.08"/>
    <n v="0"/>
    <n v="0"/>
    <n v="46.559537342020157"/>
    <m/>
    <m/>
    <n v="45973.919999999998"/>
    <n v="0"/>
    <n v="0"/>
    <n v="62808.815874385189"/>
    <n v="0"/>
    <n v="0"/>
  </r>
  <r>
    <s v="Sistema de Compensação"/>
    <x v="0"/>
    <x v="0"/>
    <x v="0"/>
    <x v="0"/>
    <x v="0"/>
    <x v="0"/>
    <x v="1"/>
    <x v="6"/>
    <n v="72"/>
    <n v="72"/>
    <n v="0"/>
    <n v="0"/>
    <n v="0"/>
    <n v="0"/>
    <n v="1"/>
    <x v="0"/>
    <n v="0"/>
    <n v="10"/>
    <n v="0"/>
    <n v="0"/>
    <n v="34.08"/>
    <n v="0"/>
    <n v="0"/>
    <n v="46.559537342020157"/>
    <m/>
    <m/>
    <n v="2453.7599999999998"/>
    <n v="0"/>
    <n v="0"/>
    <n v="3352.2866886254515"/>
    <n v="0"/>
    <n v="0"/>
  </r>
  <r>
    <s v="Regular"/>
    <x v="0"/>
    <x v="0"/>
    <x v="0"/>
    <x v="0"/>
    <x v="0"/>
    <x v="0"/>
    <x v="1"/>
    <x v="7"/>
    <n v="1236"/>
    <n v="1236"/>
    <n v="0"/>
    <n v="0"/>
    <n v="0"/>
    <n v="0"/>
    <n v="12"/>
    <x v="0"/>
    <n v="0"/>
    <n v="10"/>
    <n v="0"/>
    <n v="0"/>
    <n v="34.08"/>
    <n v="0"/>
    <n v="0"/>
    <n v="46.559537342020157"/>
    <m/>
    <m/>
    <n v="42122.879999999997"/>
    <n v="0"/>
    <n v="0"/>
    <n v="57547.588154736914"/>
    <n v="0"/>
    <n v="0"/>
  </r>
  <r>
    <s v="Sistema de Compensação"/>
    <x v="0"/>
    <x v="0"/>
    <x v="0"/>
    <x v="0"/>
    <x v="0"/>
    <x v="0"/>
    <x v="1"/>
    <x v="7"/>
    <n v="70"/>
    <n v="70"/>
    <n v="0"/>
    <n v="0"/>
    <n v="0"/>
    <n v="0"/>
    <n v="1"/>
    <x v="0"/>
    <n v="0"/>
    <n v="10"/>
    <n v="0"/>
    <n v="0"/>
    <n v="34.08"/>
    <n v="0"/>
    <n v="0"/>
    <n v="46.559537342020157"/>
    <m/>
    <m/>
    <n v="2385.6"/>
    <n v="0"/>
    <n v="0"/>
    <n v="3259.1676139414108"/>
    <n v="0"/>
    <n v="0"/>
  </r>
  <r>
    <s v="Regular"/>
    <x v="0"/>
    <x v="0"/>
    <x v="0"/>
    <x v="0"/>
    <x v="0"/>
    <x v="0"/>
    <x v="1"/>
    <x v="8"/>
    <n v="1230"/>
    <n v="1230"/>
    <n v="0"/>
    <n v="0"/>
    <n v="0"/>
    <n v="0"/>
    <n v="12"/>
    <x v="0"/>
    <n v="0"/>
    <n v="10"/>
    <n v="0"/>
    <n v="0"/>
    <n v="34.08"/>
    <n v="0"/>
    <n v="0"/>
    <n v="46.559537342020157"/>
    <m/>
    <m/>
    <n v="41918.400000000001"/>
    <n v="0"/>
    <n v="0"/>
    <n v="57268.230930684796"/>
    <n v="0"/>
    <n v="0"/>
  </r>
  <r>
    <s v="Sistema de Compensação"/>
    <x v="0"/>
    <x v="0"/>
    <x v="0"/>
    <x v="0"/>
    <x v="0"/>
    <x v="0"/>
    <x v="1"/>
    <x v="8"/>
    <n v="78"/>
    <n v="78"/>
    <n v="0"/>
    <n v="0"/>
    <n v="0"/>
    <n v="0"/>
    <n v="1"/>
    <x v="0"/>
    <n v="0"/>
    <n v="10"/>
    <n v="0"/>
    <n v="0"/>
    <n v="34.08"/>
    <n v="0"/>
    <n v="0"/>
    <n v="46.559537342020157"/>
    <m/>
    <m/>
    <n v="2658.24"/>
    <n v="0"/>
    <n v="0"/>
    <n v="3631.6439126775722"/>
    <n v="0"/>
    <n v="0"/>
  </r>
  <r>
    <s v="Regular"/>
    <x v="0"/>
    <x v="0"/>
    <x v="0"/>
    <x v="0"/>
    <x v="0"/>
    <x v="0"/>
    <x v="1"/>
    <x v="9"/>
    <n v="1229"/>
    <n v="1229"/>
    <n v="0"/>
    <n v="0"/>
    <n v="0"/>
    <n v="0"/>
    <n v="12"/>
    <x v="0"/>
    <n v="0"/>
    <n v="10"/>
    <n v="0"/>
    <n v="0"/>
    <n v="34.08"/>
    <n v="0"/>
    <n v="0"/>
    <n v="46.559537342020157"/>
    <m/>
    <m/>
    <n v="41884.32"/>
    <n v="0"/>
    <n v="0"/>
    <n v="57221.671393342775"/>
    <n v="0"/>
    <n v="0"/>
  </r>
  <r>
    <s v="Sistema de Compensação"/>
    <x v="0"/>
    <x v="0"/>
    <x v="0"/>
    <x v="0"/>
    <x v="0"/>
    <x v="0"/>
    <x v="1"/>
    <x v="9"/>
    <n v="74"/>
    <n v="74"/>
    <n v="0"/>
    <n v="0"/>
    <n v="0"/>
    <n v="0"/>
    <n v="1"/>
    <x v="0"/>
    <n v="0"/>
    <n v="10"/>
    <n v="0"/>
    <n v="0"/>
    <n v="34.08"/>
    <n v="0"/>
    <n v="0"/>
    <n v="46.559537342020157"/>
    <m/>
    <m/>
    <n v="2521.92"/>
    <n v="0"/>
    <n v="0"/>
    <n v="3445.4057633094917"/>
    <n v="0"/>
    <n v="0"/>
  </r>
  <r>
    <s v="Regular"/>
    <x v="0"/>
    <x v="0"/>
    <x v="0"/>
    <x v="0"/>
    <x v="0"/>
    <x v="0"/>
    <x v="1"/>
    <x v="10"/>
    <n v="1232"/>
    <n v="1232"/>
    <n v="0"/>
    <n v="0"/>
    <n v="0"/>
    <n v="0"/>
    <n v="12"/>
    <x v="0"/>
    <n v="0"/>
    <n v="10"/>
    <n v="0"/>
    <n v="0"/>
    <n v="34.08"/>
    <n v="0"/>
    <n v="0"/>
    <n v="46.559537342020157"/>
    <m/>
    <m/>
    <n v="41986.559999999998"/>
    <n v="0"/>
    <n v="0"/>
    <n v="57361.350005368833"/>
    <n v="0"/>
    <n v="0"/>
  </r>
  <r>
    <s v="Sistema de Compensação"/>
    <x v="0"/>
    <x v="0"/>
    <x v="0"/>
    <x v="0"/>
    <x v="0"/>
    <x v="0"/>
    <x v="1"/>
    <x v="10"/>
    <n v="91"/>
    <n v="91"/>
    <n v="0"/>
    <n v="0"/>
    <n v="0"/>
    <n v="0"/>
    <n v="1"/>
    <x v="0"/>
    <n v="0"/>
    <n v="10"/>
    <n v="0"/>
    <n v="0"/>
    <n v="34.08"/>
    <n v="0"/>
    <n v="0"/>
    <n v="46.559537342020157"/>
    <m/>
    <m/>
    <n v="3101.2799999999997"/>
    <n v="0"/>
    <n v="0"/>
    <n v="4236.9178981238347"/>
    <n v="0"/>
    <n v="0"/>
  </r>
  <r>
    <s v="Regular"/>
    <x v="0"/>
    <x v="0"/>
    <x v="0"/>
    <x v="0"/>
    <x v="0"/>
    <x v="0"/>
    <x v="1"/>
    <x v="11"/>
    <n v="1228"/>
    <n v="1228"/>
    <n v="0"/>
    <n v="0"/>
    <n v="0"/>
    <n v="0"/>
    <n v="12"/>
    <x v="0"/>
    <n v="0"/>
    <n v="10"/>
    <n v="0"/>
    <n v="0"/>
    <n v="34.08"/>
    <n v="0"/>
    <n v="0"/>
    <n v="46.559537342020157"/>
    <m/>
    <m/>
    <n v="41850.239999999998"/>
    <n v="0"/>
    <n v="0"/>
    <n v="57175.111856000753"/>
    <n v="0"/>
    <n v="0"/>
  </r>
  <r>
    <s v="Sistema de Compensação"/>
    <x v="0"/>
    <x v="0"/>
    <x v="0"/>
    <x v="0"/>
    <x v="0"/>
    <x v="0"/>
    <x v="1"/>
    <x v="11"/>
    <n v="75"/>
    <n v="75"/>
    <n v="0"/>
    <n v="0"/>
    <n v="0"/>
    <n v="0"/>
    <n v="1"/>
    <x v="0"/>
    <n v="0"/>
    <n v="10"/>
    <n v="0"/>
    <n v="0"/>
    <n v="34.08"/>
    <n v="0"/>
    <n v="0"/>
    <n v="46.559537342020157"/>
    <m/>
    <m/>
    <n v="2556"/>
    <n v="0"/>
    <n v="0"/>
    <n v="3491.9653006515118"/>
    <n v="0"/>
    <n v="0"/>
  </r>
  <r>
    <s v="Regular"/>
    <x v="0"/>
    <x v="0"/>
    <x v="0"/>
    <x v="0"/>
    <x v="0"/>
    <x v="0"/>
    <x v="2"/>
    <x v="0"/>
    <n v="0"/>
    <n v="0"/>
    <n v="7.4359999999999999"/>
    <n v="7.4359999999999999"/>
    <n v="7.4359999999999999"/>
    <n v="7.4359999999999999"/>
    <n v="0"/>
    <x v="0"/>
    <n v="0"/>
    <n v="0"/>
    <n v="23"/>
    <n v="25"/>
    <n v="0"/>
    <n v="2545.94"/>
    <n v="223.07"/>
    <m/>
    <n v="3640.0032141838496"/>
    <n v="133.74179569551256"/>
    <n v="0"/>
    <n v="18931.609840000001"/>
    <n v="1658.7485199999999"/>
    <n v="0"/>
    <n v="27067.063900671106"/>
    <n v="994.50399279183148"/>
  </r>
  <r>
    <s v="Regular"/>
    <x v="0"/>
    <x v="0"/>
    <x v="0"/>
    <x v="0"/>
    <x v="0"/>
    <x v="0"/>
    <x v="2"/>
    <x v="1"/>
    <n v="0"/>
    <n v="0"/>
    <n v="7.6539999999999999"/>
    <n v="7.6539999999999999"/>
    <n v="7.6539999999999999"/>
    <n v="7.6539999999999999"/>
    <n v="0"/>
    <x v="0"/>
    <n v="0"/>
    <n v="0"/>
    <n v="23"/>
    <n v="25"/>
    <n v="0"/>
    <n v="2545.94"/>
    <n v="223.07"/>
    <m/>
    <n v="3640.0032141838496"/>
    <n v="133.74179569551256"/>
    <n v="0"/>
    <n v="19486.624759999999"/>
    <n v="1707.37778"/>
    <n v="0"/>
    <n v="27860.584601363185"/>
    <n v="1023.6597042534531"/>
  </r>
  <r>
    <s v="Regular"/>
    <x v="0"/>
    <x v="0"/>
    <x v="0"/>
    <x v="0"/>
    <x v="0"/>
    <x v="0"/>
    <x v="2"/>
    <x v="2"/>
    <n v="0"/>
    <n v="0"/>
    <n v="11.316000000000001"/>
    <n v="11.316000000000001"/>
    <n v="11.316000000000001"/>
    <n v="11.316000000000001"/>
    <n v="0"/>
    <x v="0"/>
    <n v="0"/>
    <n v="0"/>
    <n v="23"/>
    <n v="25"/>
    <n v="0"/>
    <n v="2545.94"/>
    <n v="223.07"/>
    <m/>
    <n v="3640.0032141838496"/>
    <n v="133.74179569551256"/>
    <n v="0"/>
    <n v="28809.857040000003"/>
    <n v="2524.2601199999999"/>
    <n v="0"/>
    <n v="41190.276371704444"/>
    <n v="1513.4221600904202"/>
  </r>
  <r>
    <s v="Regular"/>
    <x v="0"/>
    <x v="0"/>
    <x v="0"/>
    <x v="0"/>
    <x v="0"/>
    <x v="0"/>
    <x v="2"/>
    <x v="3"/>
    <n v="0"/>
    <n v="0"/>
    <n v="14.263999999999999"/>
    <n v="14.263999999999999"/>
    <n v="14.263999999999999"/>
    <n v="14.263999999999999"/>
    <n v="0"/>
    <x v="0"/>
    <n v="0"/>
    <n v="0"/>
    <n v="23"/>
    <n v="25"/>
    <n v="0"/>
    <n v="2545.94"/>
    <n v="223.07"/>
    <m/>
    <n v="3640.0032141838496"/>
    <n v="133.74179569551256"/>
    <n v="0"/>
    <n v="36315.288159999996"/>
    <n v="3181.8704799999996"/>
    <n v="0"/>
    <n v="51921.005847118431"/>
    <n v="1907.6929738007912"/>
  </r>
  <r>
    <s v="Regular"/>
    <x v="0"/>
    <x v="0"/>
    <x v="0"/>
    <x v="0"/>
    <x v="0"/>
    <x v="0"/>
    <x v="2"/>
    <x v="4"/>
    <n v="0"/>
    <n v="0"/>
    <n v="11.019"/>
    <n v="11.019"/>
    <n v="11.019"/>
    <n v="11.019"/>
    <n v="0"/>
    <x v="0"/>
    <n v="0"/>
    <n v="0"/>
    <n v="23"/>
    <n v="25"/>
    <n v="0"/>
    <n v="2545.94"/>
    <n v="223.07"/>
    <m/>
    <n v="3640.0032141838496"/>
    <n v="133.74179569551256"/>
    <n v="0"/>
    <n v="28053.71286"/>
    <n v="2458.0083300000001"/>
    <n v="0"/>
    <n v="40109.19541709184"/>
    <n v="1473.7008467688529"/>
  </r>
  <r>
    <s v="Regular"/>
    <x v="0"/>
    <x v="0"/>
    <x v="0"/>
    <x v="0"/>
    <x v="0"/>
    <x v="0"/>
    <x v="2"/>
    <x v="5"/>
    <n v="0"/>
    <n v="0"/>
    <n v="9.9260000000000002"/>
    <n v="9.9260000000000002"/>
    <n v="9.9260000000000002"/>
    <n v="9.9260000000000002"/>
    <n v="0"/>
    <x v="0"/>
    <n v="0"/>
    <n v="0"/>
    <n v="23"/>
    <n v="25"/>
    <n v="0"/>
    <n v="2545.94"/>
    <n v="223.07"/>
    <m/>
    <n v="3640.0032141838496"/>
    <n v="133.74179569551256"/>
    <n v="0"/>
    <n v="25271.00044"/>
    <n v="2214.1928199999998"/>
    <n v="0"/>
    <n v="36130.671903988892"/>
    <n v="1327.5210640736577"/>
  </r>
  <r>
    <s v="Regular"/>
    <x v="0"/>
    <x v="0"/>
    <x v="0"/>
    <x v="0"/>
    <x v="0"/>
    <x v="0"/>
    <x v="2"/>
    <x v="6"/>
    <n v="0"/>
    <n v="0"/>
    <n v="6.8"/>
    <n v="6.8"/>
    <n v="6.8"/>
    <n v="6.8"/>
    <n v="0"/>
    <x v="0"/>
    <n v="0"/>
    <n v="0"/>
    <n v="23"/>
    <n v="25"/>
    <n v="0"/>
    <n v="2545.94"/>
    <n v="223.07"/>
    <m/>
    <n v="3640.0032141838496"/>
    <n v="133.74179569551256"/>
    <n v="0"/>
    <n v="17312.392"/>
    <n v="1516.876"/>
    <n v="0"/>
    <n v="24752.021856450177"/>
    <n v="909.44421072948546"/>
  </r>
  <r>
    <s v="Sistema de Compensação"/>
    <x v="0"/>
    <x v="0"/>
    <x v="0"/>
    <x v="0"/>
    <x v="0"/>
    <x v="0"/>
    <x v="2"/>
    <x v="6"/>
    <n v="0"/>
    <n v="0"/>
    <n v="2.5350000000000001"/>
    <n v="2.5350000000000001"/>
    <n v="2.5350000000000001"/>
    <n v="2.5350000000000001"/>
    <n v="0"/>
    <x v="0"/>
    <n v="0"/>
    <n v="0"/>
    <n v="23"/>
    <n v="25"/>
    <n v="0"/>
    <n v="2545.94"/>
    <n v="223.07"/>
    <m/>
    <n v="3640.0032141838496"/>
    <n v="133.74179569551256"/>
    <n v="0"/>
    <n v="6453.9579000000003"/>
    <n v="565.48244999999997"/>
    <n v="0"/>
    <n v="9227.4081479560591"/>
    <n v="339.03545208812437"/>
  </r>
  <r>
    <s v="Regular"/>
    <x v="0"/>
    <x v="0"/>
    <x v="0"/>
    <x v="0"/>
    <x v="0"/>
    <x v="0"/>
    <x v="2"/>
    <x v="7"/>
    <n v="0"/>
    <n v="0"/>
    <n v="10.007"/>
    <n v="10.007"/>
    <n v="10.007"/>
    <n v="10.007"/>
    <n v="0"/>
    <x v="0"/>
    <n v="0"/>
    <n v="0"/>
    <n v="23"/>
    <n v="25"/>
    <n v="0"/>
    <n v="2545.94"/>
    <n v="223.07"/>
    <m/>
    <n v="3640.0032141838496"/>
    <n v="133.74179569551256"/>
    <n v="0"/>
    <n v="25477.221580000001"/>
    <n v="2232.2614899999999"/>
    <n v="0"/>
    <n v="36425.512164337779"/>
    <n v="1338.3541495249942"/>
  </r>
  <r>
    <s v="Sistema de Compensação"/>
    <x v="0"/>
    <x v="0"/>
    <x v="0"/>
    <x v="0"/>
    <x v="0"/>
    <x v="0"/>
    <x v="2"/>
    <x v="7"/>
    <n v="0"/>
    <n v="0"/>
    <n v="2.6059999999999999"/>
    <n v="2.6059999999999999"/>
    <n v="2.6059999999999999"/>
    <n v="2.6059999999999999"/>
    <n v="0"/>
    <x v="0"/>
    <n v="0"/>
    <n v="0"/>
    <n v="23"/>
    <n v="25"/>
    <n v="0"/>
    <n v="2545.94"/>
    <n v="223.07"/>
    <m/>
    <n v="3640.0032141838496"/>
    <n v="133.74179569551256"/>
    <n v="0"/>
    <n v="6634.7196400000003"/>
    <n v="581.3204199999999"/>
    <n v="0"/>
    <n v="9485.8483761631123"/>
    <n v="348.53111958250571"/>
  </r>
  <r>
    <s v="Regular"/>
    <x v="0"/>
    <x v="0"/>
    <x v="0"/>
    <x v="0"/>
    <x v="0"/>
    <x v="0"/>
    <x v="2"/>
    <x v="8"/>
    <n v="0"/>
    <n v="0"/>
    <n v="11.064"/>
    <n v="11.064"/>
    <n v="11.064"/>
    <n v="11.064"/>
    <n v="0"/>
    <x v="0"/>
    <n v="0"/>
    <n v="0"/>
    <n v="23"/>
    <n v="25"/>
    <n v="0"/>
    <n v="2545.94"/>
    <n v="223.07"/>
    <m/>
    <n v="3640.0032141838496"/>
    <n v="133.74179569551256"/>
    <n v="0"/>
    <n v="28168.280160000002"/>
    <n v="2468.04648"/>
    <n v="0"/>
    <n v="40272.995561730109"/>
    <n v="1479.7192275751511"/>
  </r>
  <r>
    <s v="Sistema de Compensação"/>
    <x v="0"/>
    <x v="0"/>
    <x v="0"/>
    <x v="0"/>
    <x v="0"/>
    <x v="0"/>
    <x v="2"/>
    <x v="8"/>
    <n v="0"/>
    <n v="0"/>
    <n v="3.242"/>
    <n v="3.242"/>
    <n v="3.242"/>
    <n v="3.242"/>
    <n v="0"/>
    <x v="0"/>
    <n v="0"/>
    <n v="0"/>
    <n v="23"/>
    <n v="25"/>
    <n v="0"/>
    <n v="2545.94"/>
    <n v="223.07"/>
    <m/>
    <n v="3640.0032141838496"/>
    <n v="133.74179569551256"/>
    <n v="0"/>
    <n v="8253.9374800000005"/>
    <n v="723.19294000000002"/>
    <n v="0"/>
    <n v="11800.890420384041"/>
    <n v="433.59090164485173"/>
  </r>
  <r>
    <s v="Regular"/>
    <x v="0"/>
    <x v="0"/>
    <x v="0"/>
    <x v="0"/>
    <x v="0"/>
    <x v="0"/>
    <x v="2"/>
    <x v="9"/>
    <n v="0"/>
    <n v="0"/>
    <n v="9.5440000000000005"/>
    <n v="9.5440000000000005"/>
    <n v="9.5440000000000005"/>
    <n v="9.5440000000000005"/>
    <n v="0"/>
    <x v="0"/>
    <n v="0"/>
    <n v="0"/>
    <n v="23"/>
    <n v="25"/>
    <n v="0"/>
    <n v="2545.94"/>
    <n v="223.07"/>
    <m/>
    <n v="3640.0032141838496"/>
    <n v="133.74179569551256"/>
    <n v="0"/>
    <n v="24298.451360000003"/>
    <n v="2128.9800799999998"/>
    <n v="0"/>
    <n v="34740.190676170663"/>
    <n v="1276.431698117972"/>
  </r>
  <r>
    <s v="Sistema de Compensação"/>
    <x v="0"/>
    <x v="0"/>
    <x v="0"/>
    <x v="0"/>
    <x v="0"/>
    <x v="0"/>
    <x v="2"/>
    <x v="9"/>
    <n v="0"/>
    <n v="0"/>
    <n v="3.2149999999999999"/>
    <n v="3.2149999999999999"/>
    <n v="3.2149999999999999"/>
    <n v="3.2149999999999999"/>
    <n v="0"/>
    <x v="0"/>
    <n v="0"/>
    <n v="0"/>
    <n v="23"/>
    <n v="25"/>
    <n v="0"/>
    <n v="2545.94"/>
    <n v="223.07"/>
    <m/>
    <n v="3640.0032141838496"/>
    <n v="133.74179569551256"/>
    <n v="0"/>
    <n v="8185.1970999999994"/>
    <n v="717.17004999999995"/>
    <n v="0"/>
    <n v="11702.610333601076"/>
    <n v="429.97987316107287"/>
  </r>
  <r>
    <s v="Regular"/>
    <x v="0"/>
    <x v="0"/>
    <x v="0"/>
    <x v="0"/>
    <x v="0"/>
    <x v="0"/>
    <x v="2"/>
    <x v="10"/>
    <n v="0"/>
    <n v="0"/>
    <n v="8.4250000000000007"/>
    <n v="8.4250000000000007"/>
    <n v="8.4250000000000007"/>
    <n v="8.4250000000000007"/>
    <n v="0"/>
    <x v="0"/>
    <n v="0"/>
    <n v="0"/>
    <n v="23"/>
    <n v="25"/>
    <n v="0"/>
    <n v="2545.94"/>
    <n v="223.07"/>
    <m/>
    <n v="3640.0032141838496"/>
    <n v="133.74179569551256"/>
    <n v="0"/>
    <n v="21449.544500000004"/>
    <n v="1879.3647500000002"/>
    <n v="0"/>
    <n v="30667.027079498937"/>
    <n v="1126.7746287346934"/>
  </r>
  <r>
    <s v="Sistema de Compensação"/>
    <x v="0"/>
    <x v="0"/>
    <x v="0"/>
    <x v="0"/>
    <x v="0"/>
    <x v="0"/>
    <x v="2"/>
    <x v="10"/>
    <n v="0"/>
    <n v="0"/>
    <n v="3.6680000000000001"/>
    <n v="3.6680000000000001"/>
    <n v="3.6680000000000001"/>
    <n v="3.6680000000000001"/>
    <n v="0"/>
    <x v="0"/>
    <n v="0"/>
    <n v="0"/>
    <n v="23"/>
    <n v="25"/>
    <n v="0"/>
    <n v="2545.94"/>
    <n v="223.07"/>
    <m/>
    <n v="3640.0032141838496"/>
    <n v="133.74179569551256"/>
    <n v="0"/>
    <n v="9338.50792"/>
    <n v="818.22076000000004"/>
    <n v="0"/>
    <n v="13351.53178962636"/>
    <n v="490.56490661114009"/>
  </r>
  <r>
    <s v="Regular"/>
    <x v="0"/>
    <x v="0"/>
    <x v="0"/>
    <x v="0"/>
    <x v="0"/>
    <x v="0"/>
    <x v="2"/>
    <x v="11"/>
    <n v="0"/>
    <n v="0"/>
    <n v="7.665"/>
    <n v="7.665"/>
    <n v="7.665"/>
    <n v="7.665"/>
    <n v="0"/>
    <x v="0"/>
    <n v="0"/>
    <n v="0"/>
    <n v="23"/>
    <n v="25"/>
    <n v="0"/>
    <n v="2545.94"/>
    <n v="223.07"/>
    <m/>
    <n v="3640.0032141838496"/>
    <n v="133.74179569551256"/>
    <n v="0"/>
    <n v="19514.630100000002"/>
    <n v="1709.8315499999999"/>
    <n v="0"/>
    <n v="27900.624636719207"/>
    <n v="1025.1308640061038"/>
  </r>
  <r>
    <s v="Sistema de Compensação"/>
    <x v="0"/>
    <x v="0"/>
    <x v="0"/>
    <x v="0"/>
    <x v="0"/>
    <x v="0"/>
    <x v="2"/>
    <x v="11"/>
    <n v="0"/>
    <n v="0"/>
    <n v="3.7949999999999999"/>
    <n v="3.7949999999999999"/>
    <n v="3.7949999999999999"/>
    <n v="3.7949999999999999"/>
    <n v="0"/>
    <x v="0"/>
    <n v="0"/>
    <n v="0"/>
    <n v="23"/>
    <n v="25"/>
    <n v="0"/>
    <n v="2545.94"/>
    <n v="223.07"/>
    <m/>
    <n v="3640.0032141838496"/>
    <n v="133.74179569551256"/>
    <n v="0"/>
    <n v="9661.8423000000003"/>
    <n v="846.55064999999991"/>
    <n v="0"/>
    <n v="13813.812197827709"/>
    <n v="507.55011466447019"/>
  </r>
  <r>
    <s v="Regular"/>
    <x v="0"/>
    <x v="0"/>
    <x v="1"/>
    <x v="0"/>
    <x v="1"/>
    <x v="0"/>
    <x v="0"/>
    <x v="0"/>
    <n v="0"/>
    <n v="0"/>
    <n v="112.67"/>
    <n v="56.335000000000001"/>
    <n v="0"/>
    <n v="0"/>
    <n v="0"/>
    <x v="1"/>
    <n v="0"/>
    <n v="0"/>
    <n v="6"/>
    <n v="0"/>
    <n v="0"/>
    <n v="67.489999999999995"/>
    <n v="0"/>
    <m/>
    <n v="94.544461461160509"/>
    <m/>
    <n v="0"/>
    <n v="3802.0491499999998"/>
    <n v="0"/>
    <n v="0"/>
    <n v="5326.1622364144778"/>
    <n v="0"/>
  </r>
  <r>
    <s v="Refaturamento - Regular"/>
    <x v="0"/>
    <x v="0"/>
    <x v="1"/>
    <x v="0"/>
    <x v="1"/>
    <x v="0"/>
    <x v="0"/>
    <x v="0"/>
    <n v="0"/>
    <n v="0"/>
    <n v="112.67"/>
    <n v="56.335000000000001"/>
    <n v="0"/>
    <n v="0"/>
    <n v="0"/>
    <x v="1"/>
    <n v="0"/>
    <n v="0"/>
    <n v="6"/>
    <n v="0"/>
    <n v="0"/>
    <n v="67.489999999999995"/>
    <n v="0"/>
    <m/>
    <n v="94.544461461160509"/>
    <m/>
    <n v="0"/>
    <n v="3802.0491499999998"/>
    <n v="0"/>
    <n v="0"/>
    <n v="5326.1622364144778"/>
    <n v="0"/>
  </r>
  <r>
    <s v="Regular"/>
    <x v="0"/>
    <x v="0"/>
    <x v="1"/>
    <x v="0"/>
    <x v="1"/>
    <x v="0"/>
    <x v="0"/>
    <x v="1"/>
    <n v="0"/>
    <n v="0"/>
    <n v="136.489"/>
    <n v="68.244500000000002"/>
    <n v="0"/>
    <n v="0"/>
    <n v="0"/>
    <x v="1"/>
    <n v="0"/>
    <n v="0"/>
    <n v="6"/>
    <n v="0"/>
    <n v="0"/>
    <n v="67.489999999999995"/>
    <n v="0"/>
    <m/>
    <n v="94.544461461160509"/>
    <m/>
    <n v="0"/>
    <n v="4605.8213049999995"/>
    <n v="0"/>
    <n v="0"/>
    <n v="6452.1395001861683"/>
    <n v="0"/>
  </r>
  <r>
    <s v="Refaturamento - Regular"/>
    <x v="0"/>
    <x v="0"/>
    <x v="1"/>
    <x v="0"/>
    <x v="1"/>
    <x v="0"/>
    <x v="0"/>
    <x v="1"/>
    <n v="0"/>
    <n v="0"/>
    <n v="136.489"/>
    <n v="68.244500000000002"/>
    <n v="0"/>
    <n v="0"/>
    <n v="0"/>
    <x v="1"/>
    <n v="0"/>
    <n v="0"/>
    <n v="6"/>
    <n v="0"/>
    <n v="0"/>
    <n v="67.489999999999995"/>
    <n v="0"/>
    <m/>
    <n v="94.544461461160509"/>
    <m/>
    <n v="0"/>
    <n v="4605.8213049999995"/>
    <n v="0"/>
    <n v="0"/>
    <n v="6452.1395001861683"/>
    <n v="0"/>
  </r>
  <r>
    <s v="Regular"/>
    <x v="0"/>
    <x v="0"/>
    <x v="1"/>
    <x v="0"/>
    <x v="1"/>
    <x v="0"/>
    <x v="0"/>
    <x v="2"/>
    <n v="0"/>
    <n v="0"/>
    <n v="129.18799999999999"/>
    <n v="64.593999999999994"/>
    <n v="0"/>
    <n v="0"/>
    <n v="0"/>
    <x v="1"/>
    <n v="0"/>
    <n v="0"/>
    <n v="6"/>
    <n v="0"/>
    <n v="0"/>
    <n v="67.489999999999995"/>
    <n v="0"/>
    <m/>
    <n v="94.544461461160509"/>
    <m/>
    <n v="0"/>
    <n v="4359.449059999999"/>
    <n v="0"/>
    <n v="0"/>
    <n v="6107.0049436222016"/>
    <n v="0"/>
  </r>
  <r>
    <s v="Refaturamento - Regular"/>
    <x v="0"/>
    <x v="0"/>
    <x v="1"/>
    <x v="0"/>
    <x v="1"/>
    <x v="0"/>
    <x v="0"/>
    <x v="2"/>
    <n v="0"/>
    <n v="0"/>
    <n v="129.18799999999999"/>
    <n v="64.593999999999994"/>
    <n v="0"/>
    <n v="0"/>
    <n v="0"/>
    <x v="1"/>
    <n v="0"/>
    <n v="0"/>
    <n v="6"/>
    <n v="0"/>
    <n v="0"/>
    <n v="67.489999999999995"/>
    <n v="0"/>
    <m/>
    <n v="94.544461461160509"/>
    <m/>
    <n v="0"/>
    <n v="4359.449059999999"/>
    <n v="0"/>
    <n v="0"/>
    <n v="6107.0049436222016"/>
    <n v="0"/>
  </r>
  <r>
    <s v="Regular"/>
    <x v="0"/>
    <x v="0"/>
    <x v="1"/>
    <x v="0"/>
    <x v="1"/>
    <x v="0"/>
    <x v="0"/>
    <x v="3"/>
    <n v="0"/>
    <n v="0"/>
    <n v="132.274"/>
    <n v="66.137"/>
    <n v="0"/>
    <n v="0"/>
    <n v="0"/>
    <x v="1"/>
    <n v="0"/>
    <n v="0"/>
    <n v="6"/>
    <n v="0"/>
    <n v="0"/>
    <n v="67.489999999999995"/>
    <n v="0"/>
    <m/>
    <n v="94.544461461160509"/>
    <m/>
    <n v="0"/>
    <n v="4463.5861299999997"/>
    <n v="0"/>
    <n v="0"/>
    <n v="6252.8870476567727"/>
    <n v="0"/>
  </r>
  <r>
    <s v="Refaturamento - Regular"/>
    <x v="0"/>
    <x v="0"/>
    <x v="1"/>
    <x v="0"/>
    <x v="1"/>
    <x v="0"/>
    <x v="0"/>
    <x v="3"/>
    <n v="0"/>
    <n v="0"/>
    <n v="132.274"/>
    <n v="66.137"/>
    <n v="0"/>
    <n v="0"/>
    <n v="0"/>
    <x v="1"/>
    <n v="0"/>
    <n v="0"/>
    <n v="6"/>
    <n v="0"/>
    <n v="0"/>
    <n v="67.489999999999995"/>
    <n v="0"/>
    <m/>
    <n v="94.544461461160509"/>
    <m/>
    <n v="0"/>
    <n v="4463.5861299999997"/>
    <n v="0"/>
    <n v="0"/>
    <n v="6252.8870476567727"/>
    <n v="0"/>
  </r>
  <r>
    <s v="Regular"/>
    <x v="0"/>
    <x v="0"/>
    <x v="1"/>
    <x v="0"/>
    <x v="1"/>
    <x v="0"/>
    <x v="0"/>
    <x v="4"/>
    <n v="0"/>
    <n v="0"/>
    <n v="150.48500000000001"/>
    <n v="75.242500000000007"/>
    <n v="0"/>
    <n v="0"/>
    <n v="0"/>
    <x v="1"/>
    <n v="0"/>
    <n v="0"/>
    <n v="6"/>
    <n v="0"/>
    <n v="0"/>
    <n v="67.489999999999995"/>
    <n v="0"/>
    <m/>
    <n v="94.544461461160509"/>
    <m/>
    <n v="0"/>
    <n v="5078.116325"/>
    <n v="0"/>
    <n v="0"/>
    <n v="7113.76164149137"/>
    <n v="0"/>
  </r>
  <r>
    <s v="Refaturamento - Regular"/>
    <x v="0"/>
    <x v="0"/>
    <x v="1"/>
    <x v="0"/>
    <x v="1"/>
    <x v="0"/>
    <x v="0"/>
    <x v="4"/>
    <n v="0"/>
    <n v="0"/>
    <n v="150.48500000000001"/>
    <n v="75.242500000000007"/>
    <n v="0"/>
    <n v="0"/>
    <n v="0"/>
    <x v="1"/>
    <n v="0"/>
    <n v="0"/>
    <n v="6"/>
    <n v="0"/>
    <n v="0"/>
    <n v="67.489999999999995"/>
    <n v="0"/>
    <m/>
    <n v="94.544461461160509"/>
    <m/>
    <n v="0"/>
    <n v="5078.116325"/>
    <n v="0"/>
    <n v="0"/>
    <n v="7113.76164149137"/>
    <n v="0"/>
  </r>
  <r>
    <s v="Regular"/>
    <x v="0"/>
    <x v="0"/>
    <x v="1"/>
    <x v="0"/>
    <x v="1"/>
    <x v="0"/>
    <x v="0"/>
    <x v="5"/>
    <n v="0"/>
    <n v="0"/>
    <n v="105.614"/>
    <n v="52.807000000000002"/>
    <n v="0"/>
    <n v="0"/>
    <n v="0"/>
    <x v="1"/>
    <n v="0"/>
    <n v="0"/>
    <n v="6"/>
    <n v="0"/>
    <n v="0"/>
    <n v="67.489999999999995"/>
    <n v="0"/>
    <m/>
    <n v="94.544461461160509"/>
    <m/>
    <n v="0"/>
    <n v="3563.94443"/>
    <n v="0"/>
    <n v="0"/>
    <n v="4992.6093763795034"/>
    <n v="0"/>
  </r>
  <r>
    <s v="Refaturamento - Regular"/>
    <x v="0"/>
    <x v="0"/>
    <x v="1"/>
    <x v="0"/>
    <x v="1"/>
    <x v="0"/>
    <x v="0"/>
    <x v="5"/>
    <n v="0"/>
    <n v="0"/>
    <n v="105.614"/>
    <n v="52.807000000000002"/>
    <n v="0"/>
    <n v="0"/>
    <n v="0"/>
    <x v="1"/>
    <n v="0"/>
    <n v="0"/>
    <n v="6"/>
    <n v="0"/>
    <n v="0"/>
    <n v="67.489999999999995"/>
    <n v="0"/>
    <m/>
    <n v="94.544461461160509"/>
    <m/>
    <n v="0"/>
    <n v="3563.94443"/>
    <n v="0"/>
    <n v="0"/>
    <n v="4992.6093763795034"/>
    <n v="0"/>
  </r>
  <r>
    <s v="Regular"/>
    <x v="0"/>
    <x v="0"/>
    <x v="1"/>
    <x v="0"/>
    <x v="1"/>
    <x v="0"/>
    <x v="0"/>
    <x v="6"/>
    <n v="0"/>
    <n v="0"/>
    <n v="134.99199999999999"/>
    <n v="67.495999999999995"/>
    <n v="0"/>
    <n v="0"/>
    <n v="0"/>
    <x v="1"/>
    <n v="0"/>
    <n v="0"/>
    <n v="6"/>
    <n v="0"/>
    <n v="0"/>
    <n v="67.489999999999995"/>
    <n v="0"/>
    <m/>
    <n v="94.544461461160509"/>
    <m/>
    <n v="0"/>
    <n v="4555.3050399999993"/>
    <n v="0"/>
    <n v="0"/>
    <n v="6381.3729707824896"/>
    <n v="0"/>
  </r>
  <r>
    <s v="Refaturamento - Regular"/>
    <x v="0"/>
    <x v="0"/>
    <x v="1"/>
    <x v="0"/>
    <x v="1"/>
    <x v="0"/>
    <x v="0"/>
    <x v="6"/>
    <n v="0"/>
    <n v="0"/>
    <n v="134.99199999999999"/>
    <n v="67.495999999999995"/>
    <n v="0"/>
    <n v="0"/>
    <n v="0"/>
    <x v="1"/>
    <n v="0"/>
    <n v="0"/>
    <n v="6"/>
    <n v="0"/>
    <n v="0"/>
    <n v="67.489999999999995"/>
    <n v="0"/>
    <m/>
    <n v="94.544461461160509"/>
    <m/>
    <n v="0"/>
    <n v="4555.3050399999993"/>
    <n v="0"/>
    <n v="0"/>
    <n v="6381.3729707824896"/>
    <n v="0"/>
  </r>
  <r>
    <s v="Regular"/>
    <x v="0"/>
    <x v="0"/>
    <x v="1"/>
    <x v="0"/>
    <x v="1"/>
    <x v="0"/>
    <x v="0"/>
    <x v="7"/>
    <n v="0"/>
    <n v="0"/>
    <n v="121.937"/>
    <n v="60.968499999999999"/>
    <n v="0"/>
    <n v="0"/>
    <n v="0"/>
    <x v="1"/>
    <n v="0"/>
    <n v="0"/>
    <n v="6"/>
    <n v="0"/>
    <n v="0"/>
    <n v="67.489999999999995"/>
    <n v="0"/>
    <m/>
    <n v="94.544461461160509"/>
    <m/>
    <n v="0"/>
    <n v="4114.7640649999994"/>
    <n v="0"/>
    <n v="0"/>
    <n v="5764.2339985947647"/>
    <n v="0"/>
  </r>
  <r>
    <s v="Refaturamento - Regular"/>
    <x v="0"/>
    <x v="0"/>
    <x v="1"/>
    <x v="0"/>
    <x v="1"/>
    <x v="0"/>
    <x v="0"/>
    <x v="7"/>
    <n v="0"/>
    <n v="0"/>
    <n v="121.937"/>
    <n v="60.968499999999999"/>
    <n v="0"/>
    <n v="0"/>
    <n v="0"/>
    <x v="1"/>
    <n v="0"/>
    <n v="0"/>
    <n v="6"/>
    <n v="0"/>
    <n v="0"/>
    <n v="67.489999999999995"/>
    <n v="0"/>
    <m/>
    <n v="94.544461461160509"/>
    <m/>
    <n v="0"/>
    <n v="4114.7640649999994"/>
    <n v="0"/>
    <n v="0"/>
    <n v="5764.2339985947647"/>
    <n v="0"/>
  </r>
  <r>
    <s v="Regular"/>
    <x v="0"/>
    <x v="0"/>
    <x v="1"/>
    <x v="0"/>
    <x v="1"/>
    <x v="0"/>
    <x v="0"/>
    <x v="8"/>
    <n v="0"/>
    <n v="0"/>
    <n v="134.49"/>
    <n v="67.245000000000005"/>
    <n v="0"/>
    <n v="0"/>
    <n v="0"/>
    <x v="1"/>
    <n v="0"/>
    <n v="0"/>
    <n v="6"/>
    <n v="0"/>
    <n v="0"/>
    <n v="67.489999999999995"/>
    <n v="0"/>
    <m/>
    <n v="94.544461461160509"/>
    <m/>
    <n v="0"/>
    <n v="4538.3650500000003"/>
    <n v="0"/>
    <n v="0"/>
    <n v="6357.642310955739"/>
    <n v="0"/>
  </r>
  <r>
    <s v="Refaturamento - Regular"/>
    <x v="0"/>
    <x v="0"/>
    <x v="1"/>
    <x v="0"/>
    <x v="1"/>
    <x v="0"/>
    <x v="0"/>
    <x v="8"/>
    <n v="0"/>
    <n v="0"/>
    <n v="134.49"/>
    <n v="67.245000000000005"/>
    <n v="0"/>
    <n v="0"/>
    <n v="0"/>
    <x v="1"/>
    <n v="0"/>
    <n v="0"/>
    <n v="6"/>
    <n v="0"/>
    <n v="0"/>
    <n v="67.489999999999995"/>
    <n v="0"/>
    <m/>
    <n v="94.544461461160509"/>
    <m/>
    <n v="0"/>
    <n v="4538.3650500000003"/>
    <n v="0"/>
    <n v="0"/>
    <n v="6357.642310955739"/>
    <n v="0"/>
  </r>
  <r>
    <s v="Regular"/>
    <x v="0"/>
    <x v="0"/>
    <x v="1"/>
    <x v="0"/>
    <x v="1"/>
    <x v="0"/>
    <x v="0"/>
    <x v="9"/>
    <n v="0"/>
    <n v="0"/>
    <n v="134.74299999999999"/>
    <n v="67.371499999999997"/>
    <n v="0"/>
    <n v="0"/>
    <n v="0"/>
    <x v="1"/>
    <n v="0"/>
    <n v="0"/>
    <n v="6"/>
    <n v="0"/>
    <n v="0"/>
    <n v="67.489999999999995"/>
    <n v="0"/>
    <m/>
    <n v="94.544461461160509"/>
    <m/>
    <n v="0"/>
    <n v="4546.9025349999993"/>
    <n v="0"/>
    <n v="0"/>
    <n v="6369.6021853305747"/>
    <n v="0"/>
  </r>
  <r>
    <s v="Refaturamento - Regular"/>
    <x v="0"/>
    <x v="0"/>
    <x v="1"/>
    <x v="0"/>
    <x v="1"/>
    <x v="0"/>
    <x v="0"/>
    <x v="9"/>
    <n v="0"/>
    <n v="0"/>
    <n v="134.74299999999999"/>
    <n v="67.371499999999997"/>
    <n v="0"/>
    <n v="0"/>
    <n v="0"/>
    <x v="1"/>
    <n v="0"/>
    <n v="0"/>
    <n v="6"/>
    <n v="0"/>
    <n v="0"/>
    <n v="67.489999999999995"/>
    <n v="0"/>
    <m/>
    <n v="94.544461461160509"/>
    <m/>
    <n v="0"/>
    <n v="4546.9025349999993"/>
    <n v="0"/>
    <n v="0"/>
    <n v="6369.6021853305747"/>
    <n v="0"/>
  </r>
  <r>
    <s v="Regular"/>
    <x v="0"/>
    <x v="0"/>
    <x v="1"/>
    <x v="0"/>
    <x v="1"/>
    <x v="0"/>
    <x v="0"/>
    <x v="10"/>
    <n v="0"/>
    <n v="0"/>
    <n v="163.56399999999999"/>
    <n v="81.781999999999996"/>
    <n v="0"/>
    <n v="0"/>
    <n v="0"/>
    <x v="1"/>
    <n v="0"/>
    <n v="0"/>
    <n v="6"/>
    <n v="0"/>
    <n v="0"/>
    <n v="67.489999999999995"/>
    <n v="0"/>
    <m/>
    <n v="94.544461461160509"/>
    <m/>
    <n v="0"/>
    <n v="5519.4671799999996"/>
    <n v="0"/>
    <n v="0"/>
    <n v="7732.0351472166285"/>
    <n v="0"/>
  </r>
  <r>
    <s v="Refaturamento - Regular"/>
    <x v="0"/>
    <x v="0"/>
    <x v="1"/>
    <x v="0"/>
    <x v="1"/>
    <x v="0"/>
    <x v="0"/>
    <x v="10"/>
    <n v="0"/>
    <n v="0"/>
    <n v="163.56399999999999"/>
    <n v="81.781999999999996"/>
    <n v="0"/>
    <n v="0"/>
    <n v="0"/>
    <x v="1"/>
    <n v="0"/>
    <n v="0"/>
    <n v="6"/>
    <n v="0"/>
    <n v="0"/>
    <n v="67.489999999999995"/>
    <n v="0"/>
    <m/>
    <n v="94.544461461160509"/>
    <m/>
    <n v="0"/>
    <n v="5519.4671799999996"/>
    <n v="0"/>
    <n v="0"/>
    <n v="7732.0351472166285"/>
    <n v="0"/>
  </r>
  <r>
    <s v="Regular"/>
    <x v="0"/>
    <x v="0"/>
    <x v="1"/>
    <x v="0"/>
    <x v="1"/>
    <x v="0"/>
    <x v="0"/>
    <x v="11"/>
    <n v="0"/>
    <n v="0"/>
    <n v="155.51400000000001"/>
    <n v="80.074158600000004"/>
    <n v="0"/>
    <n v="0"/>
    <n v="0"/>
    <x v="1"/>
    <n v="0"/>
    <n v="0"/>
    <n v="6"/>
    <n v="0"/>
    <n v="0"/>
    <n v="67.489999999999995"/>
    <n v="0"/>
    <m/>
    <n v="94.544461461160509"/>
    <m/>
    <n v="0"/>
    <n v="5404.2049639139996"/>
    <n v="0"/>
    <n v="0"/>
    <n v="7570.5682017925546"/>
    <n v="0"/>
  </r>
  <r>
    <s v="Refaturamento - Regular"/>
    <x v="0"/>
    <x v="0"/>
    <x v="1"/>
    <x v="0"/>
    <x v="1"/>
    <x v="0"/>
    <x v="0"/>
    <x v="11"/>
    <n v="0"/>
    <n v="0"/>
    <n v="155.51400000000001"/>
    <n v="80.074158600000004"/>
    <n v="0"/>
    <n v="0"/>
    <n v="0"/>
    <x v="1"/>
    <n v="0"/>
    <n v="0"/>
    <n v="6"/>
    <n v="0"/>
    <n v="0"/>
    <n v="67.489999999999995"/>
    <n v="0"/>
    <m/>
    <n v="94.544461461160509"/>
    <m/>
    <n v="0"/>
    <n v="5404.2049639139996"/>
    <n v="0"/>
    <n v="0"/>
    <n v="7570.5682017925546"/>
    <n v="0"/>
  </r>
  <r>
    <s v="Regular"/>
    <x v="0"/>
    <x v="0"/>
    <x v="1"/>
    <x v="0"/>
    <x v="1"/>
    <x v="0"/>
    <x v="1"/>
    <x v="0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0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1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1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2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2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3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3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4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4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5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5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6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6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7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7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8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8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9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9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10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faturamento - Regular"/>
    <x v="0"/>
    <x v="0"/>
    <x v="1"/>
    <x v="0"/>
    <x v="1"/>
    <x v="0"/>
    <x v="1"/>
    <x v="10"/>
    <n v="1050"/>
    <n v="525"/>
    <n v="0"/>
    <n v="0"/>
    <n v="0"/>
    <n v="0"/>
    <n v="1"/>
    <x v="1"/>
    <n v="0"/>
    <n v="10"/>
    <n v="0"/>
    <n v="0"/>
    <n v="34.08"/>
    <n v="0"/>
    <n v="0"/>
    <n v="46.559537342020157"/>
    <m/>
    <m/>
    <n v="17892"/>
    <n v="0"/>
    <n v="0"/>
    <n v="24443.757104560584"/>
    <n v="0"/>
    <n v="0"/>
  </r>
  <r>
    <s v="Regular"/>
    <x v="0"/>
    <x v="0"/>
    <x v="1"/>
    <x v="0"/>
    <x v="1"/>
    <x v="0"/>
    <x v="1"/>
    <x v="11"/>
    <n v="1050"/>
    <n v="540.64499999999998"/>
    <n v="0"/>
    <n v="0"/>
    <n v="0"/>
    <n v="0"/>
    <n v="1"/>
    <x v="1"/>
    <n v="0"/>
    <n v="10"/>
    <n v="0"/>
    <n v="0"/>
    <n v="34.08"/>
    <n v="0"/>
    <n v="0"/>
    <n v="46.559537342020157"/>
    <m/>
    <m/>
    <n v="18425.1816"/>
    <n v="0"/>
    <n v="0"/>
    <n v="25172.181066276487"/>
    <n v="0"/>
    <n v="0"/>
  </r>
  <r>
    <s v="Refaturamento - Regular"/>
    <x v="0"/>
    <x v="0"/>
    <x v="1"/>
    <x v="0"/>
    <x v="1"/>
    <x v="0"/>
    <x v="1"/>
    <x v="11"/>
    <n v="1050"/>
    <n v="540.64499999999998"/>
    <n v="0"/>
    <n v="0"/>
    <n v="0"/>
    <n v="0"/>
    <n v="1"/>
    <x v="1"/>
    <n v="0"/>
    <n v="10"/>
    <n v="0"/>
    <n v="0"/>
    <n v="34.08"/>
    <n v="0"/>
    <n v="0"/>
    <n v="46.559537342020157"/>
    <m/>
    <m/>
    <n v="18425.1816"/>
    <n v="0"/>
    <n v="0"/>
    <n v="25172.181066276487"/>
    <n v="0"/>
    <n v="0"/>
  </r>
  <r>
    <s v="Regular"/>
    <x v="0"/>
    <x v="0"/>
    <x v="1"/>
    <x v="0"/>
    <x v="1"/>
    <x v="0"/>
    <x v="2"/>
    <x v="0"/>
    <n v="0"/>
    <n v="0"/>
    <n v="0.85099999999999998"/>
    <n v="0.42549999999999999"/>
    <n v="0"/>
    <n v="0"/>
    <n v="0"/>
    <x v="1"/>
    <n v="0"/>
    <n v="0"/>
    <n v="23"/>
    <n v="0"/>
    <n v="0"/>
    <n v="2545.94"/>
    <n v="0"/>
    <m/>
    <n v="3640.0032141838496"/>
    <m/>
    <n v="0"/>
    <n v="1083.29747"/>
    <n v="0"/>
    <n v="0"/>
    <n v="1548.8213676352279"/>
    <n v="0"/>
  </r>
  <r>
    <s v="Refaturamento - Regular"/>
    <x v="0"/>
    <x v="0"/>
    <x v="1"/>
    <x v="0"/>
    <x v="1"/>
    <x v="0"/>
    <x v="2"/>
    <x v="0"/>
    <n v="0"/>
    <n v="0"/>
    <n v="0.85099999999999998"/>
    <n v="0.42549999999999999"/>
    <n v="0"/>
    <n v="0"/>
    <n v="0"/>
    <x v="1"/>
    <n v="0"/>
    <n v="0"/>
    <n v="23"/>
    <n v="0"/>
    <n v="0"/>
    <n v="2545.94"/>
    <n v="0"/>
    <m/>
    <n v="3640.0032141838496"/>
    <m/>
    <n v="0"/>
    <n v="1083.29747"/>
    <n v="0"/>
    <n v="0"/>
    <n v="1548.8213676352279"/>
    <n v="0"/>
  </r>
  <r>
    <s v="Regular"/>
    <x v="0"/>
    <x v="0"/>
    <x v="1"/>
    <x v="0"/>
    <x v="1"/>
    <x v="0"/>
    <x v="2"/>
    <x v="1"/>
    <n v="0"/>
    <n v="0"/>
    <n v="0.93700000000000006"/>
    <n v="0.46850000000000003"/>
    <n v="0"/>
    <n v="0"/>
    <n v="0"/>
    <x v="1"/>
    <n v="0"/>
    <n v="0"/>
    <n v="23"/>
    <n v="0"/>
    <n v="0"/>
    <n v="2545.94"/>
    <n v="0"/>
    <m/>
    <n v="3640.0032141838496"/>
    <m/>
    <n v="0"/>
    <n v="1192.7728900000002"/>
    <n v="0"/>
    <n v="0"/>
    <n v="1705.3415058451337"/>
    <n v="0"/>
  </r>
  <r>
    <s v="Refaturamento - Regular"/>
    <x v="0"/>
    <x v="0"/>
    <x v="1"/>
    <x v="0"/>
    <x v="1"/>
    <x v="0"/>
    <x v="2"/>
    <x v="1"/>
    <n v="0"/>
    <n v="0"/>
    <n v="0.93700000000000006"/>
    <n v="0.46850000000000003"/>
    <n v="0"/>
    <n v="0"/>
    <n v="0"/>
    <x v="1"/>
    <n v="0"/>
    <n v="0"/>
    <n v="23"/>
    <n v="0"/>
    <n v="0"/>
    <n v="2545.94"/>
    <n v="0"/>
    <m/>
    <n v="3640.0032141838496"/>
    <m/>
    <n v="0"/>
    <n v="1192.7728900000002"/>
    <n v="0"/>
    <n v="0"/>
    <n v="1705.3415058451337"/>
    <n v="0"/>
  </r>
  <r>
    <s v="Regular"/>
    <x v="0"/>
    <x v="0"/>
    <x v="1"/>
    <x v="0"/>
    <x v="1"/>
    <x v="0"/>
    <x v="2"/>
    <x v="2"/>
    <n v="0"/>
    <n v="0"/>
    <n v="1.032"/>
    <n v="0.51600000000000001"/>
    <n v="0"/>
    <n v="0"/>
    <n v="0"/>
    <x v="1"/>
    <n v="0"/>
    <n v="0"/>
    <n v="23"/>
    <n v="0"/>
    <n v="0"/>
    <n v="2545.94"/>
    <n v="0"/>
    <m/>
    <n v="3640.0032141838496"/>
    <m/>
    <n v="0"/>
    <n v="1313.7050400000001"/>
    <n v="0"/>
    <n v="0"/>
    <n v="1878.2416585188664"/>
    <n v="0"/>
  </r>
  <r>
    <s v="Refaturamento - Regular"/>
    <x v="0"/>
    <x v="0"/>
    <x v="1"/>
    <x v="0"/>
    <x v="1"/>
    <x v="0"/>
    <x v="2"/>
    <x v="2"/>
    <n v="0"/>
    <n v="0"/>
    <n v="1.032"/>
    <n v="0.51600000000000001"/>
    <n v="0"/>
    <n v="0"/>
    <n v="0"/>
    <x v="1"/>
    <n v="0"/>
    <n v="0"/>
    <n v="23"/>
    <n v="0"/>
    <n v="0"/>
    <n v="2545.94"/>
    <n v="0"/>
    <m/>
    <n v="3640.0032141838496"/>
    <m/>
    <n v="0"/>
    <n v="1313.7050400000001"/>
    <n v="0"/>
    <n v="0"/>
    <n v="1878.2416585188664"/>
    <n v="0"/>
  </r>
  <r>
    <s v="Regular"/>
    <x v="0"/>
    <x v="0"/>
    <x v="1"/>
    <x v="0"/>
    <x v="1"/>
    <x v="0"/>
    <x v="2"/>
    <x v="3"/>
    <n v="0"/>
    <n v="0"/>
    <n v="0.99099999999999999"/>
    <n v="0.4955"/>
    <n v="0"/>
    <n v="0"/>
    <n v="0"/>
    <x v="1"/>
    <n v="0"/>
    <n v="0"/>
    <n v="23"/>
    <n v="0"/>
    <n v="0"/>
    <n v="2545.94"/>
    <n v="0"/>
    <m/>
    <n v="3640.0032141838496"/>
    <m/>
    <n v="0"/>
    <n v="1261.5132699999999"/>
    <n v="0"/>
    <n v="0"/>
    <n v="1803.6215926280975"/>
    <n v="0"/>
  </r>
  <r>
    <s v="Refaturamento - Regular"/>
    <x v="0"/>
    <x v="0"/>
    <x v="1"/>
    <x v="0"/>
    <x v="1"/>
    <x v="0"/>
    <x v="2"/>
    <x v="3"/>
    <n v="0"/>
    <n v="0"/>
    <n v="0.99099999999999999"/>
    <n v="0.4955"/>
    <n v="0"/>
    <n v="0"/>
    <n v="0"/>
    <x v="1"/>
    <n v="0"/>
    <n v="0"/>
    <n v="23"/>
    <n v="0"/>
    <n v="0"/>
    <n v="2545.94"/>
    <n v="0"/>
    <m/>
    <n v="3640.0032141838496"/>
    <m/>
    <n v="0"/>
    <n v="1261.5132699999999"/>
    <n v="0"/>
    <n v="0"/>
    <n v="1803.6215926280975"/>
    <n v="0"/>
  </r>
  <r>
    <s v="Regular"/>
    <x v="0"/>
    <x v="0"/>
    <x v="1"/>
    <x v="0"/>
    <x v="1"/>
    <x v="0"/>
    <x v="2"/>
    <x v="4"/>
    <n v="0"/>
    <n v="0"/>
    <n v="1.056"/>
    <n v="0.52800000000000002"/>
    <n v="0"/>
    <n v="0"/>
    <n v="0"/>
    <x v="1"/>
    <n v="0"/>
    <n v="0"/>
    <n v="23"/>
    <n v="0"/>
    <n v="0"/>
    <n v="2545.94"/>
    <n v="0"/>
    <m/>
    <n v="3640.0032141838496"/>
    <m/>
    <n v="0"/>
    <n v="1344.2563200000002"/>
    <n v="0"/>
    <n v="0"/>
    <n v="1921.9216970890727"/>
    <n v="0"/>
  </r>
  <r>
    <s v="Refaturamento - Regular"/>
    <x v="0"/>
    <x v="0"/>
    <x v="1"/>
    <x v="0"/>
    <x v="1"/>
    <x v="0"/>
    <x v="2"/>
    <x v="4"/>
    <n v="0"/>
    <n v="0"/>
    <n v="1.056"/>
    <n v="0.52800000000000002"/>
    <n v="0"/>
    <n v="0"/>
    <n v="0"/>
    <x v="1"/>
    <n v="0"/>
    <n v="0"/>
    <n v="23"/>
    <n v="0"/>
    <n v="0"/>
    <n v="2545.94"/>
    <n v="0"/>
    <m/>
    <n v="3640.0032141838496"/>
    <m/>
    <n v="0"/>
    <n v="1344.2563200000002"/>
    <n v="0"/>
    <n v="0"/>
    <n v="1921.9216970890727"/>
    <n v="0"/>
  </r>
  <r>
    <s v="Regular"/>
    <x v="0"/>
    <x v="0"/>
    <x v="1"/>
    <x v="0"/>
    <x v="1"/>
    <x v="0"/>
    <x v="2"/>
    <x v="5"/>
    <n v="0"/>
    <n v="0"/>
    <n v="0.85099999999999998"/>
    <n v="0.42549999999999999"/>
    <n v="0"/>
    <n v="0"/>
    <n v="0"/>
    <x v="1"/>
    <n v="0"/>
    <n v="0"/>
    <n v="23"/>
    <n v="0"/>
    <n v="0"/>
    <n v="2545.94"/>
    <n v="0"/>
    <m/>
    <n v="3640.0032141838496"/>
    <m/>
    <n v="0"/>
    <n v="1083.29747"/>
    <n v="0"/>
    <n v="0"/>
    <n v="1548.8213676352279"/>
    <n v="0"/>
  </r>
  <r>
    <s v="Refaturamento - Regular"/>
    <x v="0"/>
    <x v="0"/>
    <x v="1"/>
    <x v="0"/>
    <x v="1"/>
    <x v="0"/>
    <x v="2"/>
    <x v="5"/>
    <n v="0"/>
    <n v="0"/>
    <n v="0.85099999999999998"/>
    <n v="0.42549999999999999"/>
    <n v="0"/>
    <n v="0"/>
    <n v="0"/>
    <x v="1"/>
    <n v="0"/>
    <n v="0"/>
    <n v="23"/>
    <n v="0"/>
    <n v="0"/>
    <n v="2545.94"/>
    <n v="0"/>
    <m/>
    <n v="3640.0032141838496"/>
    <m/>
    <n v="0"/>
    <n v="1083.29747"/>
    <n v="0"/>
    <n v="0"/>
    <n v="1548.8213676352279"/>
    <n v="0"/>
  </r>
  <r>
    <s v="Regular"/>
    <x v="0"/>
    <x v="0"/>
    <x v="1"/>
    <x v="0"/>
    <x v="1"/>
    <x v="0"/>
    <x v="2"/>
    <x v="6"/>
    <n v="0"/>
    <n v="0"/>
    <n v="1.2250000000000001"/>
    <n v="0.61250000000000004"/>
    <n v="0"/>
    <n v="0"/>
    <n v="0"/>
    <x v="1"/>
    <n v="0"/>
    <n v="0"/>
    <n v="23"/>
    <n v="0"/>
    <n v="0"/>
    <n v="2545.94"/>
    <n v="0"/>
    <m/>
    <n v="3640.0032141838496"/>
    <m/>
    <n v="0"/>
    <n v="1559.3882500000002"/>
    <n v="0"/>
    <n v="0"/>
    <n v="2229.501968687608"/>
    <n v="0"/>
  </r>
  <r>
    <s v="Refaturamento - Regular"/>
    <x v="0"/>
    <x v="0"/>
    <x v="1"/>
    <x v="0"/>
    <x v="1"/>
    <x v="0"/>
    <x v="2"/>
    <x v="6"/>
    <n v="0"/>
    <n v="0"/>
    <n v="1.2250000000000001"/>
    <n v="0.61250000000000004"/>
    <n v="0"/>
    <n v="0"/>
    <n v="0"/>
    <x v="1"/>
    <n v="0"/>
    <n v="0"/>
    <n v="23"/>
    <n v="0"/>
    <n v="0"/>
    <n v="2545.94"/>
    <n v="0"/>
    <m/>
    <n v="3640.0032141838496"/>
    <m/>
    <n v="0"/>
    <n v="1559.3882500000002"/>
    <n v="0"/>
    <n v="0"/>
    <n v="2229.501968687608"/>
    <n v="0"/>
  </r>
  <r>
    <s v="Regular"/>
    <x v="0"/>
    <x v="0"/>
    <x v="1"/>
    <x v="0"/>
    <x v="1"/>
    <x v="0"/>
    <x v="2"/>
    <x v="7"/>
    <n v="0"/>
    <n v="0"/>
    <n v="1.232"/>
    <n v="0.61599999999999999"/>
    <n v="0"/>
    <n v="0"/>
    <n v="0"/>
    <x v="1"/>
    <n v="0"/>
    <n v="0"/>
    <n v="23"/>
    <n v="0"/>
    <n v="0"/>
    <n v="2545.94"/>
    <n v="0"/>
    <m/>
    <n v="3640.0032141838496"/>
    <m/>
    <n v="0"/>
    <n v="1568.2990400000001"/>
    <n v="0"/>
    <n v="0"/>
    <n v="2242.2419799372515"/>
    <n v="0"/>
  </r>
  <r>
    <s v="Refaturamento - Regular"/>
    <x v="0"/>
    <x v="0"/>
    <x v="1"/>
    <x v="0"/>
    <x v="1"/>
    <x v="0"/>
    <x v="2"/>
    <x v="7"/>
    <n v="0"/>
    <n v="0"/>
    <n v="1.232"/>
    <n v="0.61599999999999999"/>
    <n v="0"/>
    <n v="0"/>
    <n v="0"/>
    <x v="1"/>
    <n v="0"/>
    <n v="0"/>
    <n v="23"/>
    <n v="0"/>
    <n v="0"/>
    <n v="2545.94"/>
    <n v="0"/>
    <m/>
    <n v="3640.0032141838496"/>
    <m/>
    <n v="0"/>
    <n v="1568.2990400000001"/>
    <n v="0"/>
    <n v="0"/>
    <n v="2242.2419799372515"/>
    <n v="0"/>
  </r>
  <r>
    <s v="Regular"/>
    <x v="0"/>
    <x v="0"/>
    <x v="1"/>
    <x v="0"/>
    <x v="1"/>
    <x v="0"/>
    <x v="2"/>
    <x v="8"/>
    <n v="0"/>
    <n v="0"/>
    <n v="1.4910000000000001"/>
    <n v="0.74550000000000005"/>
    <n v="0"/>
    <n v="0"/>
    <n v="0"/>
    <x v="1"/>
    <n v="0"/>
    <n v="0"/>
    <n v="23"/>
    <n v="0"/>
    <n v="0"/>
    <n v="2545.94"/>
    <n v="0"/>
    <m/>
    <n v="3640.0032141838496"/>
    <m/>
    <n v="0"/>
    <n v="1897.9982700000003"/>
    <n v="0"/>
    <n v="0"/>
    <n v="2713.6223961740602"/>
    <n v="0"/>
  </r>
  <r>
    <s v="Refaturamento - Regular"/>
    <x v="0"/>
    <x v="0"/>
    <x v="1"/>
    <x v="0"/>
    <x v="1"/>
    <x v="0"/>
    <x v="2"/>
    <x v="8"/>
    <n v="0"/>
    <n v="0"/>
    <n v="1.4910000000000001"/>
    <n v="0.74550000000000005"/>
    <n v="0"/>
    <n v="0"/>
    <n v="0"/>
    <x v="1"/>
    <n v="0"/>
    <n v="0"/>
    <n v="23"/>
    <n v="0"/>
    <n v="0"/>
    <n v="2545.94"/>
    <n v="0"/>
    <m/>
    <n v="3640.0032141838496"/>
    <m/>
    <n v="0"/>
    <n v="1897.9982700000003"/>
    <n v="0"/>
    <n v="0"/>
    <n v="2713.6223961740602"/>
    <n v="0"/>
  </r>
  <r>
    <s v="Regular"/>
    <x v="0"/>
    <x v="0"/>
    <x v="1"/>
    <x v="0"/>
    <x v="1"/>
    <x v="0"/>
    <x v="2"/>
    <x v="9"/>
    <n v="0"/>
    <n v="0"/>
    <n v="1.47"/>
    <n v="0.73499999999999999"/>
    <n v="0"/>
    <n v="0"/>
    <n v="0"/>
    <x v="1"/>
    <n v="0"/>
    <n v="0"/>
    <n v="23"/>
    <n v="0"/>
    <n v="0"/>
    <n v="2545.94"/>
    <n v="0"/>
    <m/>
    <n v="3640.0032141838496"/>
    <m/>
    <n v="0"/>
    <n v="1871.2659000000001"/>
    <n v="0"/>
    <n v="0"/>
    <n v="2675.4023624251295"/>
    <n v="0"/>
  </r>
  <r>
    <s v="Refaturamento - Regular"/>
    <x v="0"/>
    <x v="0"/>
    <x v="1"/>
    <x v="0"/>
    <x v="1"/>
    <x v="0"/>
    <x v="2"/>
    <x v="9"/>
    <n v="0"/>
    <n v="0"/>
    <n v="1.47"/>
    <n v="0.73499999999999999"/>
    <n v="0"/>
    <n v="0"/>
    <n v="0"/>
    <x v="1"/>
    <n v="0"/>
    <n v="0"/>
    <n v="23"/>
    <n v="0"/>
    <n v="0"/>
    <n v="2545.94"/>
    <n v="0"/>
    <m/>
    <n v="3640.0032141838496"/>
    <m/>
    <n v="0"/>
    <n v="1871.2659000000001"/>
    <n v="0"/>
    <n v="0"/>
    <n v="2675.4023624251295"/>
    <n v="0"/>
  </r>
  <r>
    <s v="Regular"/>
    <x v="0"/>
    <x v="0"/>
    <x v="1"/>
    <x v="0"/>
    <x v="1"/>
    <x v="0"/>
    <x v="2"/>
    <x v="10"/>
    <n v="0"/>
    <n v="0"/>
    <n v="1.5820000000000001"/>
    <n v="0.79100000000000004"/>
    <n v="0"/>
    <n v="0"/>
    <n v="0"/>
    <x v="1"/>
    <n v="0"/>
    <n v="0"/>
    <n v="23"/>
    <n v="0"/>
    <n v="0"/>
    <n v="2545.94"/>
    <n v="0"/>
    <m/>
    <n v="3640.0032141838496"/>
    <m/>
    <n v="0"/>
    <n v="2013.8385400000002"/>
    <n v="0"/>
    <n v="0"/>
    <n v="2879.2425424194253"/>
    <n v="0"/>
  </r>
  <r>
    <s v="Refaturamento - Regular"/>
    <x v="0"/>
    <x v="0"/>
    <x v="1"/>
    <x v="0"/>
    <x v="1"/>
    <x v="0"/>
    <x v="2"/>
    <x v="10"/>
    <n v="0"/>
    <n v="0"/>
    <n v="1.5820000000000001"/>
    <n v="0.79100000000000004"/>
    <n v="0"/>
    <n v="0"/>
    <n v="0"/>
    <x v="1"/>
    <n v="0"/>
    <n v="0"/>
    <n v="23"/>
    <n v="0"/>
    <n v="0"/>
    <n v="2545.94"/>
    <n v="0"/>
    <m/>
    <n v="3640.0032141838496"/>
    <m/>
    <n v="0"/>
    <n v="2013.8385400000002"/>
    <n v="0"/>
    <n v="0"/>
    <n v="2879.2425424194253"/>
    <n v="0"/>
  </r>
  <r>
    <s v="Regular"/>
    <x v="0"/>
    <x v="0"/>
    <x v="1"/>
    <x v="0"/>
    <x v="1"/>
    <x v="0"/>
    <x v="2"/>
    <x v="11"/>
    <n v="0"/>
    <n v="0"/>
    <n v="1.419"/>
    <n v="0.73064309999999999"/>
    <n v="0"/>
    <n v="0"/>
    <n v="0"/>
    <x v="1"/>
    <n v="0"/>
    <n v="0"/>
    <n v="23"/>
    <n v="0"/>
    <n v="0"/>
    <n v="2545.94"/>
    <n v="0"/>
    <m/>
    <n v="3640.0032141838496"/>
    <m/>
    <n v="0"/>
    <n v="1860.173494014"/>
    <n v="0"/>
    <n v="0"/>
    <n v="2659.543232421252"/>
    <n v="0"/>
  </r>
  <r>
    <s v="Refaturamento - Regular"/>
    <x v="0"/>
    <x v="0"/>
    <x v="1"/>
    <x v="0"/>
    <x v="1"/>
    <x v="0"/>
    <x v="2"/>
    <x v="11"/>
    <n v="0"/>
    <n v="0"/>
    <n v="1.419"/>
    <n v="0.73064309999999999"/>
    <n v="0"/>
    <n v="0"/>
    <n v="0"/>
    <x v="1"/>
    <n v="0"/>
    <n v="0"/>
    <n v="23"/>
    <n v="0"/>
    <n v="0"/>
    <n v="2545.94"/>
    <n v="0"/>
    <m/>
    <n v="3640.0032141838496"/>
    <m/>
    <n v="0"/>
    <n v="1860.173494014"/>
    <n v="0"/>
    <n v="0"/>
    <n v="2659.543232421252"/>
    <n v="0"/>
  </r>
  <r>
    <s v="Regular"/>
    <x v="0"/>
    <x v="0"/>
    <x v="1"/>
    <x v="0"/>
    <x v="0"/>
    <x v="0"/>
    <x v="0"/>
    <x v="0"/>
    <n v="0"/>
    <n v="0"/>
    <n v="177.37100000000001"/>
    <n v="177.37100000000001"/>
    <n v="177.37100000000001"/>
    <n v="177.37100000000001"/>
    <n v="0"/>
    <x v="0"/>
    <n v="0"/>
    <n v="0"/>
    <n v="6"/>
    <n v="50"/>
    <n v="0"/>
    <n v="67.489999999999995"/>
    <n v="223.07"/>
    <m/>
    <n v="94.544461461160509"/>
    <n v="133.74179569551256"/>
    <n v="0"/>
    <n v="11970.76879"/>
    <n v="39566.148970000002"/>
    <n v="0"/>
    <n v="16769.4456738275"/>
    <n v="23721.91604430876"/>
  </r>
  <r>
    <s v="Sistema de Compensação"/>
    <x v="0"/>
    <x v="0"/>
    <x v="1"/>
    <x v="0"/>
    <x v="0"/>
    <x v="0"/>
    <x v="0"/>
    <x v="0"/>
    <n v="0"/>
    <n v="0"/>
    <n v="1.42"/>
    <n v="1.42"/>
    <n v="1.42"/>
    <n v="1.42"/>
    <n v="0"/>
    <x v="0"/>
    <n v="0"/>
    <n v="0"/>
    <n v="6"/>
    <n v="50"/>
    <n v="0"/>
    <n v="67.489999999999995"/>
    <n v="223.07"/>
    <m/>
    <n v="94.544461461160509"/>
    <n v="133.74179569551256"/>
    <n v="0"/>
    <n v="95.835799999999992"/>
    <n v="316.75939999999997"/>
    <n v="0"/>
    <n v="134.25313527484792"/>
    <n v="189.91334988762785"/>
  </r>
  <r>
    <s v="Regular"/>
    <x v="0"/>
    <x v="0"/>
    <x v="1"/>
    <x v="0"/>
    <x v="0"/>
    <x v="0"/>
    <x v="0"/>
    <x v="1"/>
    <n v="0"/>
    <n v="0"/>
    <n v="97.475999999999999"/>
    <n v="97.475999999999999"/>
    <n v="97.475999999999999"/>
    <n v="97.475999999999999"/>
    <n v="0"/>
    <x v="0"/>
    <n v="0"/>
    <n v="0"/>
    <n v="6"/>
    <n v="50"/>
    <n v="0"/>
    <n v="67.489999999999995"/>
    <n v="223.07"/>
    <m/>
    <n v="94.544461461160509"/>
    <n v="133.74179569551256"/>
    <n v="0"/>
    <n v="6578.6552399999991"/>
    <n v="21743.971320000001"/>
    <n v="0"/>
    <n v="9215.8159253880822"/>
    <n v="13036.615277215782"/>
  </r>
  <r>
    <s v="Regular"/>
    <x v="0"/>
    <x v="0"/>
    <x v="1"/>
    <x v="0"/>
    <x v="0"/>
    <x v="0"/>
    <x v="0"/>
    <x v="2"/>
    <n v="0"/>
    <n v="0"/>
    <n v="112.797"/>
    <n v="112.797"/>
    <n v="112.797"/>
    <n v="112.797"/>
    <n v="0"/>
    <x v="0"/>
    <n v="0"/>
    <n v="0"/>
    <n v="6"/>
    <n v="50"/>
    <n v="0"/>
    <n v="67.489999999999995"/>
    <n v="223.07"/>
    <m/>
    <n v="94.544461461160509"/>
    <n v="133.74179569551256"/>
    <n v="0"/>
    <n v="7612.6695299999992"/>
    <n v="25161.626789999998"/>
    <n v="0"/>
    <n v="10664.331619434523"/>
    <n v="15085.673329066731"/>
  </r>
  <r>
    <s v="Regular"/>
    <x v="0"/>
    <x v="0"/>
    <x v="1"/>
    <x v="0"/>
    <x v="0"/>
    <x v="0"/>
    <x v="0"/>
    <x v="3"/>
    <n v="0"/>
    <n v="0"/>
    <n v="122.096"/>
    <n v="122.096"/>
    <n v="122.096"/>
    <n v="122.096"/>
    <n v="0"/>
    <x v="0"/>
    <n v="0"/>
    <n v="0"/>
    <n v="6"/>
    <n v="50"/>
    <n v="0"/>
    <n v="67.489999999999995"/>
    <n v="223.07"/>
    <m/>
    <n v="94.544461461160509"/>
    <n v="133.74179569551256"/>
    <n v="0"/>
    <n v="8240.259039999999"/>
    <n v="27235.954720000002"/>
    <n v="0"/>
    <n v="11543.500566561854"/>
    <n v="16329.338287239303"/>
  </r>
  <r>
    <s v="Regular"/>
    <x v="0"/>
    <x v="0"/>
    <x v="1"/>
    <x v="0"/>
    <x v="0"/>
    <x v="0"/>
    <x v="0"/>
    <x v="4"/>
    <n v="0"/>
    <n v="0"/>
    <n v="99.01"/>
    <n v="99.01"/>
    <n v="99.01"/>
    <n v="99.01"/>
    <n v="0"/>
    <x v="0"/>
    <n v="0"/>
    <n v="0"/>
    <n v="6"/>
    <n v="50"/>
    <n v="0"/>
    <n v="67.489999999999995"/>
    <n v="223.07"/>
    <m/>
    <n v="94.544461461160509"/>
    <n v="133.74179569551256"/>
    <n v="0"/>
    <n v="6682.1849000000002"/>
    <n v="22086.1607"/>
    <n v="0"/>
    <n v="9360.8471292695031"/>
    <n v="13241.7751918127"/>
  </r>
  <r>
    <s v="Regular"/>
    <x v="0"/>
    <x v="0"/>
    <x v="1"/>
    <x v="0"/>
    <x v="0"/>
    <x v="0"/>
    <x v="0"/>
    <x v="5"/>
    <n v="0"/>
    <n v="0"/>
    <n v="138.72200000000001"/>
    <n v="138.72200000000001"/>
    <n v="138.72200000000001"/>
    <n v="138.72200000000001"/>
    <n v="0"/>
    <x v="0"/>
    <n v="0"/>
    <n v="0"/>
    <n v="6"/>
    <n v="50"/>
    <n v="0"/>
    <n v="67.489999999999995"/>
    <n v="223.07"/>
    <m/>
    <n v="94.544461461160509"/>
    <n v="133.74179569551256"/>
    <n v="0"/>
    <n v="9362.3477800000001"/>
    <n v="30944.716540000001"/>
    <n v="0"/>
    <n v="13115.396782815109"/>
    <n v="18552.929382472896"/>
  </r>
  <r>
    <s v="Regular"/>
    <x v="0"/>
    <x v="0"/>
    <x v="1"/>
    <x v="0"/>
    <x v="0"/>
    <x v="0"/>
    <x v="0"/>
    <x v="6"/>
    <n v="0"/>
    <n v="0"/>
    <n v="192.18899999999999"/>
    <n v="192.18899999999999"/>
    <n v="192.18899999999999"/>
    <n v="192.18899999999999"/>
    <n v="0"/>
    <x v="0"/>
    <n v="0"/>
    <n v="0"/>
    <n v="6"/>
    <n v="50"/>
    <n v="0"/>
    <n v="67.489999999999995"/>
    <n v="223.07"/>
    <m/>
    <n v="94.544461461160509"/>
    <n v="133.74179569551256"/>
    <n v="0"/>
    <n v="12970.835609999998"/>
    <n v="42871.600229999996"/>
    <n v="0"/>
    <n v="18170.405503758975"/>
    <n v="25703.701972924864"/>
  </r>
  <r>
    <s v="Regular"/>
    <x v="0"/>
    <x v="0"/>
    <x v="1"/>
    <x v="0"/>
    <x v="0"/>
    <x v="0"/>
    <x v="0"/>
    <x v="7"/>
    <n v="0"/>
    <n v="0"/>
    <n v="156.73699999999999"/>
    <n v="156.73699999999999"/>
    <n v="156.73699999999999"/>
    <n v="156.73699999999999"/>
    <n v="0"/>
    <x v="0"/>
    <n v="0"/>
    <n v="0"/>
    <n v="6"/>
    <n v="50"/>
    <n v="0"/>
    <n v="67.489999999999995"/>
    <n v="223.07"/>
    <m/>
    <n v="94.544461461160509"/>
    <n v="133.74179569551256"/>
    <n v="0"/>
    <n v="10578.180129999999"/>
    <n v="34963.322589999996"/>
    <n v="0"/>
    <n v="14818.615256037914"/>
    <n v="20962.287831927551"/>
  </r>
  <r>
    <s v="Regular"/>
    <x v="0"/>
    <x v="0"/>
    <x v="1"/>
    <x v="0"/>
    <x v="0"/>
    <x v="0"/>
    <x v="0"/>
    <x v="8"/>
    <n v="0"/>
    <n v="0"/>
    <n v="198.99"/>
    <n v="198.99"/>
    <n v="198.99"/>
    <n v="198.99"/>
    <n v="0"/>
    <x v="0"/>
    <n v="0"/>
    <n v="0"/>
    <n v="6"/>
    <n v="50"/>
    <n v="0"/>
    <n v="67.489999999999995"/>
    <n v="223.07"/>
    <m/>
    <n v="94.544461461160509"/>
    <n v="133.74179569551256"/>
    <n v="0"/>
    <n v="13429.8351"/>
    <n v="44388.6993"/>
    <n v="0"/>
    <n v="18813.402386156329"/>
    <n v="26613.279925450046"/>
  </r>
  <r>
    <s v="Regular"/>
    <x v="0"/>
    <x v="0"/>
    <x v="1"/>
    <x v="0"/>
    <x v="0"/>
    <x v="0"/>
    <x v="0"/>
    <x v="9"/>
    <n v="0"/>
    <n v="0"/>
    <n v="196.16499999999999"/>
    <n v="196.16499999999999"/>
    <n v="196.16499999999999"/>
    <n v="196.16499999999999"/>
    <n v="0"/>
    <x v="0"/>
    <n v="0"/>
    <n v="0"/>
    <n v="6"/>
    <n v="50"/>
    <n v="0"/>
    <n v="67.489999999999995"/>
    <n v="223.07"/>
    <m/>
    <n v="94.544461461160509"/>
    <n v="133.74179569551256"/>
    <n v="0"/>
    <n v="13239.175849999998"/>
    <n v="43758.526549999995"/>
    <n v="0"/>
    <n v="18546.31428252855"/>
    <n v="26235.459352610222"/>
  </r>
  <r>
    <s v="Regular"/>
    <x v="0"/>
    <x v="0"/>
    <x v="1"/>
    <x v="0"/>
    <x v="0"/>
    <x v="0"/>
    <x v="0"/>
    <x v="10"/>
    <n v="0"/>
    <n v="0"/>
    <n v="193.19300000000001"/>
    <n v="193.19300000000001"/>
    <n v="193.19300000000001"/>
    <n v="193.19300000000001"/>
    <n v="0"/>
    <x v="0"/>
    <n v="0"/>
    <n v="0"/>
    <n v="6"/>
    <n v="50"/>
    <n v="0"/>
    <n v="67.489999999999995"/>
    <n v="223.07"/>
    <m/>
    <n v="94.544461461160509"/>
    <n v="133.74179569551256"/>
    <n v="0"/>
    <n v="13038.595569999999"/>
    <n v="43095.562510000003"/>
    <n v="0"/>
    <n v="18265.328143065984"/>
    <n v="25837.978735803161"/>
  </r>
  <r>
    <s v="Regular"/>
    <x v="0"/>
    <x v="0"/>
    <x v="1"/>
    <x v="0"/>
    <x v="0"/>
    <x v="0"/>
    <x v="0"/>
    <x v="11"/>
    <n v="0"/>
    <n v="0"/>
    <n v="195.411"/>
    <n v="195.411"/>
    <n v="195.411"/>
    <n v="195.411"/>
    <n v="0"/>
    <x v="0"/>
    <n v="0"/>
    <n v="0"/>
    <n v="6"/>
    <n v="50"/>
    <n v="0"/>
    <n v="67.489999999999995"/>
    <n v="223.07"/>
    <m/>
    <n v="94.544461461160509"/>
    <n v="133.74179569551256"/>
    <n v="0"/>
    <n v="13188.28839"/>
    <n v="43590.331769999997"/>
    <n v="0"/>
    <n v="18475.027758586835"/>
    <n v="26134.618038655804"/>
  </r>
  <r>
    <s v="Regular"/>
    <x v="0"/>
    <x v="0"/>
    <x v="1"/>
    <x v="0"/>
    <x v="0"/>
    <x v="0"/>
    <x v="1"/>
    <x v="0"/>
    <n v="1633"/>
    <n v="1633"/>
    <n v="0"/>
    <n v="0"/>
    <n v="0"/>
    <n v="0"/>
    <n v="6"/>
    <x v="0"/>
    <n v="0"/>
    <n v="10"/>
    <n v="0"/>
    <n v="0"/>
    <n v="34.08"/>
    <n v="0"/>
    <n v="0"/>
    <n v="46.559537342020157"/>
    <m/>
    <m/>
    <n v="55652.639999999999"/>
    <n v="0"/>
    <n v="0"/>
    <n v="76031.724479518918"/>
    <n v="0"/>
    <n v="0"/>
  </r>
  <r>
    <s v="Sistema de Compensação"/>
    <x v="0"/>
    <x v="0"/>
    <x v="1"/>
    <x v="0"/>
    <x v="0"/>
    <x v="0"/>
    <x v="1"/>
    <x v="0"/>
    <n v="121"/>
    <n v="121"/>
    <n v="0"/>
    <n v="0"/>
    <n v="0"/>
    <n v="0"/>
    <n v="1"/>
    <x v="0"/>
    <n v="0"/>
    <n v="10"/>
    <n v="0"/>
    <n v="0"/>
    <n v="34.08"/>
    <n v="0"/>
    <n v="0"/>
    <n v="46.559537342020157"/>
    <m/>
    <m/>
    <n v="4123.6799999999994"/>
    <n v="0"/>
    <n v="0"/>
    <n v="5633.7040183844392"/>
    <n v="0"/>
    <n v="0"/>
  </r>
  <r>
    <s v="Regular"/>
    <x v="0"/>
    <x v="0"/>
    <x v="1"/>
    <x v="0"/>
    <x v="0"/>
    <x v="0"/>
    <x v="1"/>
    <x v="1"/>
    <n v="1643"/>
    <n v="1643"/>
    <n v="0"/>
    <n v="0"/>
    <n v="0"/>
    <n v="0"/>
    <n v="6"/>
    <x v="0"/>
    <n v="0"/>
    <n v="10"/>
    <n v="0"/>
    <n v="0"/>
    <n v="34.08"/>
    <n v="0"/>
    <n v="0"/>
    <n v="46.559537342020157"/>
    <m/>
    <m/>
    <n v="55993.439999999995"/>
    <n v="0"/>
    <n v="0"/>
    <n v="76497.319852939123"/>
    <n v="0"/>
    <n v="0"/>
  </r>
  <r>
    <s v="Sistema de Compensação"/>
    <x v="0"/>
    <x v="0"/>
    <x v="1"/>
    <x v="0"/>
    <x v="0"/>
    <x v="0"/>
    <x v="1"/>
    <x v="1"/>
    <n v="119"/>
    <n v="119"/>
    <n v="0"/>
    <n v="0"/>
    <n v="0"/>
    <n v="0"/>
    <n v="1"/>
    <x v="0"/>
    <n v="0"/>
    <n v="10"/>
    <n v="0"/>
    <n v="0"/>
    <n v="34.08"/>
    <n v="0"/>
    <n v="0"/>
    <n v="46.559537342020157"/>
    <m/>
    <m/>
    <n v="4055.52"/>
    <n v="0"/>
    <n v="0"/>
    <n v="5540.584943700399"/>
    <n v="0"/>
    <n v="0"/>
  </r>
  <r>
    <s v="Regular"/>
    <x v="0"/>
    <x v="0"/>
    <x v="1"/>
    <x v="0"/>
    <x v="0"/>
    <x v="0"/>
    <x v="1"/>
    <x v="2"/>
    <n v="1078"/>
    <n v="1078"/>
    <n v="0"/>
    <n v="0"/>
    <n v="0"/>
    <n v="0"/>
    <n v="5"/>
    <x v="0"/>
    <n v="0"/>
    <n v="10"/>
    <n v="0"/>
    <n v="0"/>
    <n v="34.08"/>
    <n v="0"/>
    <n v="0"/>
    <n v="46.559537342020157"/>
    <m/>
    <m/>
    <n v="36738.239999999998"/>
    <n v="0"/>
    <n v="0"/>
    <n v="50191.181254697731"/>
    <n v="0"/>
    <n v="0"/>
  </r>
  <r>
    <s v="Sistema de Compensação"/>
    <x v="0"/>
    <x v="0"/>
    <x v="1"/>
    <x v="0"/>
    <x v="0"/>
    <x v="0"/>
    <x v="1"/>
    <x v="2"/>
    <n v="121"/>
    <n v="121"/>
    <n v="0"/>
    <n v="0"/>
    <n v="0"/>
    <n v="0"/>
    <n v="1"/>
    <x v="0"/>
    <n v="0"/>
    <n v="10"/>
    <n v="0"/>
    <n v="0"/>
    <n v="34.08"/>
    <n v="0"/>
    <n v="0"/>
    <n v="46.559537342020157"/>
    <m/>
    <m/>
    <n v="4123.6799999999994"/>
    <n v="0"/>
    <n v="0"/>
    <n v="5633.7040183844392"/>
    <n v="0"/>
    <n v="0"/>
  </r>
  <r>
    <s v="Regular"/>
    <x v="0"/>
    <x v="0"/>
    <x v="1"/>
    <x v="0"/>
    <x v="0"/>
    <x v="0"/>
    <x v="1"/>
    <x v="3"/>
    <n v="979"/>
    <n v="979"/>
    <n v="0"/>
    <n v="0"/>
    <n v="0"/>
    <n v="0"/>
    <n v="5"/>
    <x v="0"/>
    <n v="0"/>
    <n v="10"/>
    <n v="0"/>
    <n v="0"/>
    <n v="34.08"/>
    <n v="0"/>
    <n v="0"/>
    <n v="46.559537342020157"/>
    <m/>
    <m/>
    <n v="33364.32"/>
    <n v="0"/>
    <n v="0"/>
    <n v="45581.787057837733"/>
    <n v="0"/>
    <n v="0"/>
  </r>
  <r>
    <s v="Sistema de Compensação"/>
    <x v="0"/>
    <x v="0"/>
    <x v="1"/>
    <x v="0"/>
    <x v="0"/>
    <x v="0"/>
    <x v="1"/>
    <x v="3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1"/>
    <x v="4"/>
    <n v="976"/>
    <n v="976"/>
    <n v="0"/>
    <n v="0"/>
    <n v="0"/>
    <n v="0"/>
    <n v="5"/>
    <x v="0"/>
    <n v="0"/>
    <n v="10"/>
    <n v="0"/>
    <n v="0"/>
    <n v="34.08"/>
    <n v="0"/>
    <n v="0"/>
    <n v="46.559537342020157"/>
    <m/>
    <m/>
    <n v="33262.080000000002"/>
    <n v="0"/>
    <n v="0"/>
    <n v="45442.108445811675"/>
    <n v="0"/>
    <n v="0"/>
  </r>
  <r>
    <s v="Sistema de Compensação"/>
    <x v="0"/>
    <x v="0"/>
    <x v="1"/>
    <x v="0"/>
    <x v="0"/>
    <x v="0"/>
    <x v="1"/>
    <x v="4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1"/>
    <x v="5"/>
    <n v="1224"/>
    <n v="1224"/>
    <n v="0"/>
    <n v="0"/>
    <n v="0"/>
    <n v="0"/>
    <n v="6"/>
    <x v="0"/>
    <n v="0"/>
    <n v="10"/>
    <n v="0"/>
    <n v="0"/>
    <n v="34.08"/>
    <n v="0"/>
    <n v="0"/>
    <n v="46.559537342020157"/>
    <m/>
    <m/>
    <n v="41713.919999999998"/>
    <n v="0"/>
    <n v="0"/>
    <n v="56988.873706632672"/>
    <n v="0"/>
    <n v="0"/>
  </r>
  <r>
    <s v="Regular"/>
    <x v="0"/>
    <x v="0"/>
    <x v="1"/>
    <x v="0"/>
    <x v="0"/>
    <x v="0"/>
    <x v="1"/>
    <x v="6"/>
    <n v="1194"/>
    <n v="1194"/>
    <n v="0"/>
    <n v="0"/>
    <n v="0"/>
    <n v="0"/>
    <n v="6"/>
    <x v="0"/>
    <n v="0"/>
    <n v="10"/>
    <n v="0"/>
    <n v="0"/>
    <n v="34.08"/>
    <n v="0"/>
    <n v="0"/>
    <n v="46.559537342020157"/>
    <m/>
    <m/>
    <n v="40691.519999999997"/>
    <n v="0"/>
    <n v="0"/>
    <n v="55592.087586372065"/>
    <n v="0"/>
    <n v="0"/>
  </r>
  <r>
    <s v="Sistema de Compensação"/>
    <x v="0"/>
    <x v="0"/>
    <x v="1"/>
    <x v="0"/>
    <x v="0"/>
    <x v="0"/>
    <x v="1"/>
    <x v="6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1"/>
    <x v="7"/>
    <n v="1189"/>
    <n v="1189"/>
    <n v="0"/>
    <n v="0"/>
    <n v="0"/>
    <n v="0"/>
    <n v="6"/>
    <x v="0"/>
    <n v="0"/>
    <n v="10"/>
    <n v="0"/>
    <n v="0"/>
    <n v="34.08"/>
    <n v="0"/>
    <n v="0"/>
    <n v="46.559537342020157"/>
    <m/>
    <m/>
    <n v="40521.119999999995"/>
    <n v="0"/>
    <n v="0"/>
    <n v="55359.28989966197"/>
    <n v="0"/>
    <n v="0"/>
  </r>
  <r>
    <s v="Sistema de Compensação"/>
    <x v="0"/>
    <x v="0"/>
    <x v="1"/>
    <x v="0"/>
    <x v="0"/>
    <x v="0"/>
    <x v="1"/>
    <x v="7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1"/>
    <x v="8"/>
    <n v="1264"/>
    <n v="1264"/>
    <n v="0"/>
    <n v="0"/>
    <n v="0"/>
    <n v="0"/>
    <n v="6"/>
    <x v="0"/>
    <n v="0"/>
    <n v="10"/>
    <n v="0"/>
    <n v="0"/>
    <n v="34.08"/>
    <n v="0"/>
    <n v="0"/>
    <n v="46.559537342020157"/>
    <m/>
    <m/>
    <n v="43077.119999999995"/>
    <n v="0"/>
    <n v="0"/>
    <n v="58851.255200313477"/>
    <n v="0"/>
    <n v="0"/>
  </r>
  <r>
    <s v="Sistema de Compensação"/>
    <x v="0"/>
    <x v="0"/>
    <x v="1"/>
    <x v="0"/>
    <x v="0"/>
    <x v="0"/>
    <x v="1"/>
    <x v="8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1"/>
    <x v="9"/>
    <n v="1243"/>
    <n v="1243"/>
    <n v="0"/>
    <n v="0"/>
    <n v="0"/>
    <n v="0"/>
    <n v="6"/>
    <x v="0"/>
    <n v="0"/>
    <n v="10"/>
    <n v="0"/>
    <n v="0"/>
    <n v="34.08"/>
    <n v="0"/>
    <n v="0"/>
    <n v="46.559537342020157"/>
    <m/>
    <m/>
    <n v="42361.439999999995"/>
    <n v="0"/>
    <n v="0"/>
    <n v="57873.504916131053"/>
    <n v="0"/>
    <n v="0"/>
  </r>
  <r>
    <s v="Sistema de Compensação"/>
    <x v="0"/>
    <x v="0"/>
    <x v="1"/>
    <x v="0"/>
    <x v="0"/>
    <x v="0"/>
    <x v="1"/>
    <x v="9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1"/>
    <x v="10"/>
    <n v="1315"/>
    <n v="1315"/>
    <n v="0"/>
    <n v="0"/>
    <n v="0"/>
    <n v="0"/>
    <n v="6"/>
    <x v="0"/>
    <n v="0"/>
    <n v="10"/>
    <n v="0"/>
    <n v="0"/>
    <n v="34.08"/>
    <n v="0"/>
    <n v="0"/>
    <n v="46.559537342020157"/>
    <m/>
    <m/>
    <n v="44815.199999999997"/>
    <n v="0"/>
    <n v="0"/>
    <n v="61225.791604756509"/>
    <n v="0"/>
    <n v="0"/>
  </r>
  <r>
    <s v="Sistema de Compensação"/>
    <x v="0"/>
    <x v="0"/>
    <x v="1"/>
    <x v="0"/>
    <x v="0"/>
    <x v="0"/>
    <x v="1"/>
    <x v="10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1"/>
    <x v="11"/>
    <n v="1295"/>
    <n v="1295"/>
    <n v="0"/>
    <n v="0"/>
    <n v="0"/>
    <n v="0"/>
    <n v="6"/>
    <x v="0"/>
    <n v="0"/>
    <n v="10"/>
    <n v="0"/>
    <n v="0"/>
    <n v="34.08"/>
    <n v="0"/>
    <n v="0"/>
    <n v="46.559537342020157"/>
    <m/>
    <m/>
    <n v="44133.599999999999"/>
    <n v="0"/>
    <n v="0"/>
    <n v="60294.600857916106"/>
    <n v="0"/>
    <n v="0"/>
  </r>
  <r>
    <s v="Sistema de Compensação"/>
    <x v="0"/>
    <x v="0"/>
    <x v="1"/>
    <x v="0"/>
    <x v="0"/>
    <x v="0"/>
    <x v="1"/>
    <x v="11"/>
    <n v="120"/>
    <n v="120"/>
    <n v="0"/>
    <n v="0"/>
    <n v="0"/>
    <n v="0"/>
    <n v="1"/>
    <x v="0"/>
    <n v="0"/>
    <n v="10"/>
    <n v="0"/>
    <n v="0"/>
    <n v="34.08"/>
    <n v="0"/>
    <n v="0"/>
    <n v="46.559537342020157"/>
    <m/>
    <m/>
    <n v="4089.6"/>
    <n v="0"/>
    <n v="0"/>
    <n v="5587.1444810424191"/>
    <n v="0"/>
    <n v="0"/>
  </r>
  <r>
    <s v="Regular"/>
    <x v="0"/>
    <x v="0"/>
    <x v="1"/>
    <x v="0"/>
    <x v="0"/>
    <x v="0"/>
    <x v="2"/>
    <x v="0"/>
    <n v="0"/>
    <n v="0"/>
    <n v="1.5349999999999999"/>
    <n v="1.5349999999999999"/>
    <n v="1.5349999999999999"/>
    <n v="1.5349999999999999"/>
    <n v="0"/>
    <x v="0"/>
    <n v="0"/>
    <n v="0"/>
    <n v="23"/>
    <n v="25"/>
    <n v="0"/>
    <n v="2545.94"/>
    <n v="223.07"/>
    <m/>
    <n v="3640.0032141838496"/>
    <n v="133.74179569551256"/>
    <n v="0"/>
    <n v="3908.0178999999998"/>
    <n v="342.41244999999998"/>
    <n v="0"/>
    <n v="5587.404933772209"/>
    <n v="205.29365639261178"/>
  </r>
  <r>
    <s v="Sistema de Compensação"/>
    <x v="0"/>
    <x v="0"/>
    <x v="1"/>
    <x v="0"/>
    <x v="0"/>
    <x v="0"/>
    <x v="2"/>
    <x v="0"/>
    <n v="0"/>
    <n v="0"/>
    <n v="1.78"/>
    <n v="1.78"/>
    <n v="1.78"/>
    <n v="1.78"/>
    <n v="0"/>
    <x v="0"/>
    <n v="0"/>
    <n v="0"/>
    <n v="23"/>
    <n v="25"/>
    <n v="0"/>
    <n v="2545.94"/>
    <n v="223.07"/>
    <m/>
    <n v="3640.0032141838496"/>
    <n v="133.74179569551256"/>
    <n v="0"/>
    <n v="4531.7732000000005"/>
    <n v="397.06459999999998"/>
    <n v="0"/>
    <n v="6479.2057212472528"/>
    <n v="238.06039633801237"/>
  </r>
  <r>
    <s v="Regular"/>
    <x v="0"/>
    <x v="0"/>
    <x v="1"/>
    <x v="0"/>
    <x v="0"/>
    <x v="0"/>
    <x v="2"/>
    <x v="1"/>
    <n v="0"/>
    <n v="0"/>
    <n v="1.2450000000000001"/>
    <n v="1.2450000000000001"/>
    <n v="1.2450000000000001"/>
    <n v="1.2450000000000001"/>
    <n v="0"/>
    <x v="0"/>
    <n v="0"/>
    <n v="0"/>
    <n v="23"/>
    <n v="25"/>
    <n v="0"/>
    <n v="2545.94"/>
    <n v="223.07"/>
    <m/>
    <n v="3640.0032141838496"/>
    <n v="133.74179569551256"/>
    <n v="0"/>
    <n v="3169.6953000000003"/>
    <n v="277.72215"/>
    <n v="0"/>
    <n v="4531.804001658893"/>
    <n v="166.50853564091315"/>
  </r>
  <r>
    <s v="Sistema de Compensação"/>
    <x v="0"/>
    <x v="0"/>
    <x v="1"/>
    <x v="0"/>
    <x v="0"/>
    <x v="0"/>
    <x v="2"/>
    <x v="1"/>
    <n v="0"/>
    <n v="0"/>
    <n v="1.3919999999999999"/>
    <n v="1.3919999999999999"/>
    <n v="1.3919999999999999"/>
    <n v="1.3919999999999999"/>
    <n v="0"/>
    <x v="0"/>
    <n v="0"/>
    <n v="0"/>
    <n v="23"/>
    <n v="25"/>
    <n v="0"/>
    <n v="2545.94"/>
    <n v="223.07"/>
    <m/>
    <n v="3640.0032141838496"/>
    <n v="133.74179569551256"/>
    <n v="0"/>
    <n v="3543.94848"/>
    <n v="310.51343999999995"/>
    <n v="0"/>
    <n v="5066.8844741439179"/>
    <n v="186.16857960815346"/>
  </r>
  <r>
    <s v="Regular"/>
    <x v="0"/>
    <x v="0"/>
    <x v="1"/>
    <x v="0"/>
    <x v="0"/>
    <x v="0"/>
    <x v="2"/>
    <x v="2"/>
    <n v="0"/>
    <n v="0"/>
    <n v="1.1579999999999999"/>
    <n v="1.1579999999999999"/>
    <n v="1.1579999999999999"/>
    <n v="1.1579999999999999"/>
    <n v="0"/>
    <x v="0"/>
    <n v="0"/>
    <n v="0"/>
    <n v="23"/>
    <n v="25"/>
    <n v="0"/>
    <n v="2545.94"/>
    <n v="223.07"/>
    <m/>
    <n v="3640.0032141838496"/>
    <n v="133.74179569551256"/>
    <n v="0"/>
    <n v="2948.1985199999999"/>
    <n v="258.31505999999996"/>
    <n v="0"/>
    <n v="4215.1237220248977"/>
    <n v="154.87299941540354"/>
  </r>
  <r>
    <s v="Regular"/>
    <x v="0"/>
    <x v="0"/>
    <x v="1"/>
    <x v="0"/>
    <x v="0"/>
    <x v="0"/>
    <x v="2"/>
    <x v="3"/>
    <n v="0"/>
    <n v="0"/>
    <n v="1.2150000000000001"/>
    <n v="1.2150000000000001"/>
    <n v="1.2150000000000001"/>
    <n v="1.2150000000000001"/>
    <n v="0"/>
    <x v="0"/>
    <n v="0"/>
    <n v="0"/>
    <n v="23"/>
    <n v="25"/>
    <n v="0"/>
    <n v="2545.94"/>
    <n v="223.07"/>
    <m/>
    <n v="3640.0032141838496"/>
    <n v="133.74179569551256"/>
    <n v="0"/>
    <n v="3093.3171000000002"/>
    <n v="271.03005000000002"/>
    <n v="0"/>
    <n v="4422.6039052333772"/>
    <n v="162.49628177004777"/>
  </r>
  <r>
    <s v="Regular"/>
    <x v="0"/>
    <x v="0"/>
    <x v="1"/>
    <x v="0"/>
    <x v="0"/>
    <x v="0"/>
    <x v="2"/>
    <x v="4"/>
    <n v="0"/>
    <n v="0"/>
    <n v="0.96599999999999997"/>
    <n v="0.96599999999999997"/>
    <n v="0.96599999999999997"/>
    <n v="0.96599999999999997"/>
    <n v="0"/>
    <x v="0"/>
    <n v="0"/>
    <n v="0"/>
    <n v="23"/>
    <n v="25"/>
    <n v="0"/>
    <n v="2545.94"/>
    <n v="223.07"/>
    <m/>
    <n v="3640.0032141838496"/>
    <n v="133.74179569551256"/>
    <n v="0"/>
    <n v="2459.3780400000001"/>
    <n v="215.48561999999998"/>
    <n v="0"/>
    <n v="3516.2431049015986"/>
    <n v="129.19457464186513"/>
  </r>
  <r>
    <s v="Regular"/>
    <x v="0"/>
    <x v="0"/>
    <x v="1"/>
    <x v="0"/>
    <x v="0"/>
    <x v="0"/>
    <x v="2"/>
    <x v="5"/>
    <n v="0"/>
    <n v="0"/>
    <n v="1.6419999999999999"/>
    <n v="1.6419999999999999"/>
    <n v="1.6419999999999999"/>
    <n v="1.6419999999999999"/>
    <n v="0"/>
    <x v="0"/>
    <n v="0"/>
    <n v="0"/>
    <n v="23"/>
    <n v="25"/>
    <n v="0"/>
    <n v="2545.94"/>
    <n v="223.07"/>
    <m/>
    <n v="3640.0032141838496"/>
    <n v="133.74179569551256"/>
    <n v="0"/>
    <n v="4180.4334799999997"/>
    <n v="366.28093999999999"/>
    <n v="0"/>
    <n v="5976.8852776898811"/>
    <n v="219.60402853203161"/>
  </r>
  <r>
    <s v="Regular"/>
    <x v="0"/>
    <x v="0"/>
    <x v="1"/>
    <x v="0"/>
    <x v="0"/>
    <x v="0"/>
    <x v="2"/>
    <x v="6"/>
    <n v="0"/>
    <n v="0"/>
    <n v="2.2719999999999998"/>
    <n v="2.2719999999999998"/>
    <n v="2.2719999999999998"/>
    <n v="2.2719999999999998"/>
    <n v="0"/>
    <x v="0"/>
    <n v="0"/>
    <n v="0"/>
    <n v="23"/>
    <n v="25"/>
    <n v="0"/>
    <n v="2545.94"/>
    <n v="223.07"/>
    <m/>
    <n v="3640.0032141838496"/>
    <n v="133.74179569551256"/>
    <n v="0"/>
    <n v="5784.3756799999992"/>
    <n v="506.81503999999995"/>
    <n v="0"/>
    <n v="8270.087302625705"/>
    <n v="303.86135982020454"/>
  </r>
  <r>
    <s v="Regular"/>
    <x v="0"/>
    <x v="0"/>
    <x v="1"/>
    <x v="0"/>
    <x v="0"/>
    <x v="0"/>
    <x v="2"/>
    <x v="7"/>
    <n v="0"/>
    <n v="0"/>
    <n v="2.94"/>
    <n v="2.94"/>
    <n v="2.94"/>
    <n v="2.94"/>
    <n v="0"/>
    <x v="0"/>
    <n v="0"/>
    <n v="0"/>
    <n v="23"/>
    <n v="25"/>
    <n v="0"/>
    <n v="2545.94"/>
    <n v="223.07"/>
    <m/>
    <n v="3640.0032141838496"/>
    <n v="133.74179569551256"/>
    <n v="0"/>
    <n v="7485.0636000000004"/>
    <n v="655.82579999999996"/>
    <n v="0"/>
    <n v="10701.609449700518"/>
    <n v="393.20087934480694"/>
  </r>
  <r>
    <s v="Regular"/>
    <x v="0"/>
    <x v="0"/>
    <x v="1"/>
    <x v="0"/>
    <x v="0"/>
    <x v="0"/>
    <x v="2"/>
    <x v="8"/>
    <n v="0"/>
    <n v="0"/>
    <n v="3.5430000000000001"/>
    <n v="3.5430000000000001"/>
    <n v="3.5430000000000001"/>
    <n v="3.5430000000000001"/>
    <n v="0"/>
    <x v="0"/>
    <n v="0"/>
    <n v="0"/>
    <n v="23"/>
    <n v="25"/>
    <n v="0"/>
    <n v="2545.94"/>
    <n v="223.07"/>
    <m/>
    <n v="3640.0032141838496"/>
    <n v="133.74179569551256"/>
    <n v="0"/>
    <n v="9020.2654199999997"/>
    <n v="790.33700999999996"/>
    <n v="0"/>
    <n v="12896.53138785338"/>
    <n v="473.84718214920105"/>
  </r>
  <r>
    <s v="Regular"/>
    <x v="0"/>
    <x v="0"/>
    <x v="1"/>
    <x v="0"/>
    <x v="0"/>
    <x v="0"/>
    <x v="2"/>
    <x v="9"/>
    <n v="0"/>
    <n v="0"/>
    <n v="3.0579999999999998"/>
    <n v="3.0579999999999998"/>
    <n v="3.0579999999999998"/>
    <n v="3.0579999999999998"/>
    <n v="0"/>
    <x v="0"/>
    <n v="0"/>
    <n v="0"/>
    <n v="23"/>
    <n v="25"/>
    <n v="0"/>
    <n v="2545.94"/>
    <n v="223.07"/>
    <m/>
    <n v="3640.0032141838496"/>
    <n v="133.74179569551256"/>
    <n v="0"/>
    <n v="7785.48452"/>
    <n v="682.14805999999999"/>
    <n v="0"/>
    <n v="11131.129828974212"/>
    <n v="408.9824112368774"/>
  </r>
  <r>
    <s v="Regular"/>
    <x v="0"/>
    <x v="0"/>
    <x v="1"/>
    <x v="0"/>
    <x v="0"/>
    <x v="0"/>
    <x v="2"/>
    <x v="10"/>
    <n v="0"/>
    <n v="0"/>
    <n v="4.4470000000000001"/>
    <n v="4.4470000000000001"/>
    <n v="4.4470000000000001"/>
    <n v="4.4470000000000001"/>
    <n v="0"/>
    <x v="0"/>
    <n v="0"/>
    <n v="0"/>
    <n v="23"/>
    <n v="25"/>
    <n v="0"/>
    <n v="2545.94"/>
    <n v="223.07"/>
    <m/>
    <n v="3640.0032141838496"/>
    <n v="133.74179569551256"/>
    <n v="0"/>
    <n v="11321.795180000001"/>
    <n v="991.99229000000003"/>
    <n v="0"/>
    <n v="16187.09429347558"/>
    <n v="594.74976545794436"/>
  </r>
  <r>
    <s v="Regular"/>
    <x v="0"/>
    <x v="0"/>
    <x v="1"/>
    <x v="0"/>
    <x v="0"/>
    <x v="0"/>
    <x v="2"/>
    <x v="11"/>
    <n v="0"/>
    <n v="0"/>
    <n v="3.3540000000000001"/>
    <n v="3.3540000000000001"/>
    <n v="3.3540000000000001"/>
    <n v="3.3540000000000001"/>
    <n v="0"/>
    <x v="0"/>
    <n v="0"/>
    <n v="0"/>
    <n v="23"/>
    <n v="25"/>
    <n v="0"/>
    <n v="2545.94"/>
    <n v="223.07"/>
    <m/>
    <n v="3640.0032141838496"/>
    <n v="133.74179569551256"/>
    <n v="0"/>
    <n v="8539.0827600000011"/>
    <n v="748.17678000000001"/>
    <n v="0"/>
    <n v="12208.570780372633"/>
    <n v="448.56998276274913"/>
  </r>
  <r>
    <s v="Sistema de Compensação"/>
    <x v="0"/>
    <x v="0"/>
    <x v="1"/>
    <x v="0"/>
    <x v="0"/>
    <x v="0"/>
    <x v="2"/>
    <x v="11"/>
    <n v="0"/>
    <n v="0"/>
    <n v="0.98399999999999999"/>
    <n v="0.98399999999999999"/>
    <n v="0.98399999999999999"/>
    <n v="0.98399999999999999"/>
    <n v="0"/>
    <x v="0"/>
    <n v="0"/>
    <n v="0"/>
    <n v="23"/>
    <n v="25"/>
    <n v="0"/>
    <n v="2545.94"/>
    <n v="223.07"/>
    <m/>
    <n v="3640.0032141838496"/>
    <n v="133.74179569551256"/>
    <n v="0"/>
    <n v="2505.20496"/>
    <n v="219.50088"/>
    <n v="0"/>
    <n v="3581.7631627569081"/>
    <n v="131.60192696438438"/>
  </r>
  <r>
    <s v="Regular"/>
    <x v="0"/>
    <x v="0"/>
    <x v="2"/>
    <x v="0"/>
    <x v="0"/>
    <x v="0"/>
    <x v="0"/>
    <x v="0"/>
    <n v="0"/>
    <n v="0"/>
    <n v="1.2929999999999999"/>
    <n v="1.2412799999999999"/>
    <n v="1.2929999999999999"/>
    <n v="1.2412799999999999"/>
    <n v="0"/>
    <x v="0"/>
    <n v="0"/>
    <n v="0"/>
    <n v="6"/>
    <n v="50"/>
    <n v="0"/>
    <n v="67.489999999999995"/>
    <n v="223.07"/>
    <m/>
    <n v="94.544461461160509"/>
    <n v="133.74179569551256"/>
    <n v="0"/>
    <n v="83.773987199999993"/>
    <n v="276.89232959999998"/>
    <n v="0"/>
    <n v="117.35614912250931"/>
    <n v="166.01101616092583"/>
  </r>
  <r>
    <s v="Regular"/>
    <x v="0"/>
    <x v="0"/>
    <x v="2"/>
    <x v="0"/>
    <x v="0"/>
    <x v="0"/>
    <x v="0"/>
    <x v="1"/>
    <n v="0"/>
    <n v="0"/>
    <n v="1.663"/>
    <n v="1.5964799999999999"/>
    <n v="1.663"/>
    <n v="1.5964799999999999"/>
    <n v="0"/>
    <x v="0"/>
    <n v="0"/>
    <n v="0"/>
    <n v="6"/>
    <n v="50"/>
    <n v="0"/>
    <n v="67.489999999999995"/>
    <n v="223.07"/>
    <m/>
    <n v="94.544461461160509"/>
    <n v="133.74179569551256"/>
    <n v="0"/>
    <n v="107.74643519999998"/>
    <n v="356.12679359999998"/>
    <n v="0"/>
    <n v="150.93834183351353"/>
    <n v="213.51610199197188"/>
  </r>
  <r>
    <s v="Regular"/>
    <x v="0"/>
    <x v="0"/>
    <x v="2"/>
    <x v="0"/>
    <x v="0"/>
    <x v="0"/>
    <x v="0"/>
    <x v="2"/>
    <n v="0"/>
    <n v="0"/>
    <n v="2.8610000000000002"/>
    <n v="2.7465600000000001"/>
    <n v="2.8610000000000002"/>
    <n v="2.7465600000000001"/>
    <n v="0"/>
    <x v="0"/>
    <n v="0"/>
    <n v="0"/>
    <n v="6"/>
    <n v="50"/>
    <n v="0"/>
    <n v="67.489999999999995"/>
    <n v="223.07"/>
    <m/>
    <n v="94.544461461160509"/>
    <n v="133.74179569551256"/>
    <n v="0"/>
    <n v="185.36533439999999"/>
    <n v="612.67513919999999"/>
    <n v="0"/>
    <n v="259.67203607076505"/>
    <n v="367.32986638546703"/>
  </r>
  <r>
    <s v="Regular"/>
    <x v="0"/>
    <x v="0"/>
    <x v="2"/>
    <x v="0"/>
    <x v="0"/>
    <x v="0"/>
    <x v="0"/>
    <x v="3"/>
    <n v="0"/>
    <n v="0"/>
    <n v="1.603"/>
    <n v="1.53888"/>
    <n v="1.603"/>
    <n v="1.53888"/>
    <n v="0"/>
    <x v="0"/>
    <n v="0"/>
    <n v="0"/>
    <n v="6"/>
    <n v="50"/>
    <n v="0"/>
    <n v="67.489999999999995"/>
    <n v="223.07"/>
    <m/>
    <n v="94.544461461160509"/>
    <n v="133.74179569551256"/>
    <n v="0"/>
    <n v="103.8590112"/>
    <n v="343.27796159999997"/>
    <n v="0"/>
    <n v="145.49258085335069"/>
    <n v="205.81257455991039"/>
  </r>
  <r>
    <s v="Regular"/>
    <x v="0"/>
    <x v="0"/>
    <x v="2"/>
    <x v="0"/>
    <x v="0"/>
    <x v="0"/>
    <x v="0"/>
    <x v="4"/>
    <n v="0"/>
    <n v="0"/>
    <n v="3.4369999999999998"/>
    <n v="3.2995199999999998"/>
    <n v="3.4369999999999998"/>
    <n v="3.2995199999999998"/>
    <n v="0"/>
    <x v="0"/>
    <n v="0"/>
    <n v="0"/>
    <n v="6"/>
    <n v="50"/>
    <n v="0"/>
    <n v="67.489999999999995"/>
    <n v="223.07"/>
    <m/>
    <n v="94.544461461160509"/>
    <n v="133.74179569551256"/>
    <n v="0"/>
    <n v="222.68460479999996"/>
    <n v="736.02392639999994"/>
    <n v="0"/>
    <n v="311.95134148032832"/>
    <n v="441.28372973325759"/>
  </r>
  <r>
    <s v="Regular"/>
    <x v="0"/>
    <x v="0"/>
    <x v="2"/>
    <x v="0"/>
    <x v="0"/>
    <x v="0"/>
    <x v="0"/>
    <x v="5"/>
    <n v="0"/>
    <n v="0"/>
    <n v="29.199000000000002"/>
    <n v="28.031040000000001"/>
    <n v="29.199000000000002"/>
    <n v="28.031040000000001"/>
    <n v="0"/>
    <x v="0"/>
    <n v="0"/>
    <n v="0"/>
    <n v="6"/>
    <n v="50"/>
    <n v="0"/>
    <n v="67.489999999999995"/>
    <n v="223.07"/>
    <m/>
    <n v="94.544461461160509"/>
    <n v="133.74179569551256"/>
    <n v="0"/>
    <n v="1891.8148896"/>
    <n v="6252.8840928"/>
    <n v="0"/>
    <n v="2650.1795809962487"/>
    <n v="3748.9216248127404"/>
  </r>
  <r>
    <s v="Regular"/>
    <x v="0"/>
    <x v="0"/>
    <x v="2"/>
    <x v="0"/>
    <x v="0"/>
    <x v="0"/>
    <x v="0"/>
    <x v="6"/>
    <n v="0"/>
    <n v="0"/>
    <n v="53.161000000000001"/>
    <n v="51.034559999999999"/>
    <n v="53.161000000000001"/>
    <n v="51.034559999999999"/>
    <n v="0"/>
    <x v="0"/>
    <n v="0"/>
    <n v="0"/>
    <n v="6"/>
    <n v="50"/>
    <n v="0"/>
    <n v="67.489999999999995"/>
    <n v="223.07"/>
    <m/>
    <n v="94.544461461160509"/>
    <n v="133.74179569551256"/>
    <n v="0"/>
    <n v="3444.3224543999995"/>
    <n v="11384.2792992"/>
    <n v="0"/>
    <n v="4825.0349911072835"/>
    <n v="6825.4536969303772"/>
  </r>
  <r>
    <s v="Regular"/>
    <x v="0"/>
    <x v="0"/>
    <x v="2"/>
    <x v="0"/>
    <x v="0"/>
    <x v="0"/>
    <x v="0"/>
    <x v="7"/>
    <n v="0"/>
    <n v="0"/>
    <n v="40.383000000000003"/>
    <n v="38.767679999999999"/>
    <n v="40.383000000000003"/>
    <n v="38.767679999999999"/>
    <n v="0"/>
    <x v="0"/>
    <n v="0"/>
    <n v="0"/>
    <n v="6"/>
    <n v="50"/>
    <n v="0"/>
    <n v="67.489999999999995"/>
    <n v="223.07"/>
    <m/>
    <n v="94.544461461160509"/>
    <n v="133.74179569551256"/>
    <n v="0"/>
    <n v="2616.4307231999996"/>
    <n v="8647.9063776000003"/>
    <n v="0"/>
    <n v="3665.2694276986031"/>
    <n v="5184.8591381490087"/>
  </r>
  <r>
    <s v="Regular"/>
    <x v="0"/>
    <x v="0"/>
    <x v="2"/>
    <x v="0"/>
    <x v="0"/>
    <x v="0"/>
    <x v="0"/>
    <x v="8"/>
    <n v="0"/>
    <n v="0"/>
    <n v="24.954999999999998"/>
    <n v="23.956800000000001"/>
    <n v="24.954999999999998"/>
    <n v="23.956800000000001"/>
    <n v="0"/>
    <x v="0"/>
    <n v="0"/>
    <n v="0"/>
    <n v="6"/>
    <n v="50"/>
    <n v="0"/>
    <n v="67.489999999999995"/>
    <n v="223.07"/>
    <m/>
    <n v="94.544461461160509"/>
    <n v="133.74179569551256"/>
    <n v="0"/>
    <n v="1616.8444319999999"/>
    <n v="5344.0433760000005"/>
    <n v="0"/>
    <n v="2264.9827543327301"/>
    <n v="3204.0254511182557"/>
  </r>
  <r>
    <s v="Regular"/>
    <x v="0"/>
    <x v="0"/>
    <x v="2"/>
    <x v="0"/>
    <x v="0"/>
    <x v="0"/>
    <x v="0"/>
    <x v="9"/>
    <n v="0"/>
    <n v="0"/>
    <n v="8.3390000000000004"/>
    <n v="8.0054400000000001"/>
    <n v="8.3390000000000004"/>
    <n v="8.0054400000000001"/>
    <n v="0"/>
    <x v="0"/>
    <n v="0"/>
    <n v="0"/>
    <n v="6"/>
    <n v="50"/>
    <n v="0"/>
    <n v="67.489999999999995"/>
    <n v="223.07"/>
    <m/>
    <n v="94.544461461160509"/>
    <n v="133.74179569551256"/>
    <n v="0"/>
    <n v="540.28714559999992"/>
    <n v="1785.7735008"/>
    <n v="0"/>
    <n v="756.87001355963275"/>
    <n v="1070.6619209326841"/>
  </r>
  <r>
    <s v="Regular"/>
    <x v="0"/>
    <x v="0"/>
    <x v="2"/>
    <x v="0"/>
    <x v="0"/>
    <x v="0"/>
    <x v="0"/>
    <x v="10"/>
    <n v="0"/>
    <n v="0"/>
    <n v="0.99399999999999999"/>
    <n v="0.95423999999999998"/>
    <n v="0.99399999999999999"/>
    <n v="0.95423999999999998"/>
    <n v="0"/>
    <x v="0"/>
    <n v="0"/>
    <n v="0"/>
    <n v="6"/>
    <n v="50"/>
    <n v="0"/>
    <n v="67.489999999999995"/>
    <n v="223.07"/>
    <m/>
    <n v="94.544461461160509"/>
    <n v="133.74179569551256"/>
    <n v="0"/>
    <n v="64.401657599999993"/>
    <n v="212.8623168"/>
    <n v="0"/>
    <n v="90.218106904697805"/>
    <n v="127.6217711244859"/>
  </r>
  <r>
    <s v="Regular"/>
    <x v="0"/>
    <x v="0"/>
    <x v="2"/>
    <x v="0"/>
    <x v="0"/>
    <x v="0"/>
    <x v="0"/>
    <x v="11"/>
    <n v="0"/>
    <n v="0"/>
    <n v="3.0830000000000002"/>
    <n v="2.9596800000000001"/>
    <n v="3.0830000000000002"/>
    <n v="2.9596800000000001"/>
    <n v="0"/>
    <x v="0"/>
    <n v="0"/>
    <n v="0"/>
    <n v="6"/>
    <n v="50"/>
    <n v="0"/>
    <n v="67.489999999999995"/>
    <n v="223.07"/>
    <m/>
    <n v="94.544461461160509"/>
    <n v="133.74179569551256"/>
    <n v="0"/>
    <n v="199.7488032"/>
    <n v="660.21581760000004"/>
    <n v="0"/>
    <n v="279.82135169736756"/>
    <n v="395.83291788409463"/>
  </r>
  <r>
    <s v="Regular"/>
    <x v="0"/>
    <x v="0"/>
    <x v="2"/>
    <x v="0"/>
    <x v="0"/>
    <x v="0"/>
    <x v="1"/>
    <x v="0"/>
    <n v="21"/>
    <n v="20.16"/>
    <n v="0"/>
    <n v="0"/>
    <n v="0"/>
    <n v="0"/>
    <n v="1"/>
    <x v="0"/>
    <n v="0"/>
    <n v="10"/>
    <n v="0"/>
    <n v="0"/>
    <n v="34.08"/>
    <n v="0"/>
    <n v="0"/>
    <n v="46.559537342020157"/>
    <m/>
    <m/>
    <n v="687.05279999999993"/>
    <n v="0"/>
    <n v="0"/>
    <n v="938.64027281512642"/>
    <n v="0"/>
    <n v="0"/>
  </r>
  <r>
    <s v="Regular"/>
    <x v="0"/>
    <x v="0"/>
    <x v="2"/>
    <x v="0"/>
    <x v="0"/>
    <x v="0"/>
    <x v="1"/>
    <x v="1"/>
    <n v="62"/>
    <n v="59.52"/>
    <n v="0"/>
    <n v="0"/>
    <n v="0"/>
    <n v="0"/>
    <n v="1"/>
    <x v="0"/>
    <n v="0"/>
    <n v="10"/>
    <n v="0"/>
    <n v="0"/>
    <n v="34.08"/>
    <n v="0"/>
    <n v="0"/>
    <n v="46.559537342020157"/>
    <m/>
    <m/>
    <n v="2028.4416000000001"/>
    <n v="0"/>
    <n v="0"/>
    <n v="2771.2236625970399"/>
    <n v="0"/>
    <n v="0"/>
  </r>
  <r>
    <s v="Regular"/>
    <x v="0"/>
    <x v="0"/>
    <x v="2"/>
    <x v="0"/>
    <x v="0"/>
    <x v="0"/>
    <x v="1"/>
    <x v="2"/>
    <n v="63"/>
    <n v="60.48"/>
    <n v="0"/>
    <n v="0"/>
    <n v="0"/>
    <n v="0"/>
    <n v="1"/>
    <x v="0"/>
    <n v="0"/>
    <n v="10"/>
    <n v="0"/>
    <n v="0"/>
    <n v="34.08"/>
    <n v="0"/>
    <n v="0"/>
    <n v="46.559537342020157"/>
    <m/>
    <m/>
    <n v="2061.1583999999998"/>
    <n v="0"/>
    <n v="0"/>
    <n v="2815.9208184453792"/>
    <n v="0"/>
    <n v="0"/>
  </r>
  <r>
    <s v="Regular"/>
    <x v="0"/>
    <x v="0"/>
    <x v="2"/>
    <x v="0"/>
    <x v="0"/>
    <x v="0"/>
    <x v="1"/>
    <x v="3"/>
    <n v="44"/>
    <n v="42.24"/>
    <n v="0"/>
    <n v="0"/>
    <n v="0"/>
    <n v="0"/>
    <n v="1"/>
    <x v="0"/>
    <n v="0"/>
    <n v="10"/>
    <n v="0"/>
    <n v="0"/>
    <n v="34.08"/>
    <n v="0"/>
    <n v="0"/>
    <n v="46.559537342020157"/>
    <m/>
    <m/>
    <n v="1439.5391999999999"/>
    <n v="0"/>
    <n v="0"/>
    <n v="1966.6748573269315"/>
    <n v="0"/>
    <n v="0"/>
  </r>
  <r>
    <s v="Regular"/>
    <x v="0"/>
    <x v="0"/>
    <x v="2"/>
    <x v="0"/>
    <x v="0"/>
    <x v="0"/>
    <x v="1"/>
    <x v="4"/>
    <n v="99"/>
    <n v="95.04"/>
    <n v="0"/>
    <n v="0"/>
    <n v="0"/>
    <n v="0"/>
    <n v="1"/>
    <x v="0"/>
    <n v="0"/>
    <n v="10"/>
    <n v="0"/>
    <n v="0"/>
    <n v="34.08"/>
    <n v="0"/>
    <n v="0"/>
    <n v="46.559537342020157"/>
    <m/>
    <m/>
    <n v="3238.9632000000001"/>
    <n v="0"/>
    <n v="0"/>
    <n v="4425.0184289855961"/>
    <n v="0"/>
    <n v="0"/>
  </r>
  <r>
    <s v="Regular"/>
    <x v="0"/>
    <x v="0"/>
    <x v="2"/>
    <x v="0"/>
    <x v="0"/>
    <x v="0"/>
    <x v="1"/>
    <x v="5"/>
    <n v="190"/>
    <n v="182.4"/>
    <n v="0"/>
    <n v="0"/>
    <n v="0"/>
    <n v="0"/>
    <n v="1"/>
    <x v="0"/>
    <n v="0"/>
    <n v="10"/>
    <n v="0"/>
    <n v="0"/>
    <n v="34.08"/>
    <n v="0"/>
    <n v="0"/>
    <n v="46.559537342020157"/>
    <m/>
    <m/>
    <n v="6216.192"/>
    <n v="0"/>
    <n v="0"/>
    <n v="8492.4596111844767"/>
    <n v="0"/>
    <n v="0"/>
  </r>
  <r>
    <s v="Regular"/>
    <x v="0"/>
    <x v="0"/>
    <x v="2"/>
    <x v="0"/>
    <x v="0"/>
    <x v="0"/>
    <x v="1"/>
    <x v="6"/>
    <n v="204"/>
    <n v="195.84"/>
    <n v="0"/>
    <n v="0"/>
    <n v="0"/>
    <n v="0"/>
    <n v="1"/>
    <x v="0"/>
    <n v="0"/>
    <n v="10"/>
    <n v="0"/>
    <n v="0"/>
    <n v="34.08"/>
    <n v="0"/>
    <n v="0"/>
    <n v="46.559537342020157"/>
    <m/>
    <m/>
    <n v="6674.2271999999994"/>
    <n v="0"/>
    <n v="0"/>
    <n v="9118.2197930612274"/>
    <n v="0"/>
    <n v="0"/>
  </r>
  <r>
    <s v="Regular"/>
    <x v="0"/>
    <x v="0"/>
    <x v="2"/>
    <x v="0"/>
    <x v="0"/>
    <x v="0"/>
    <x v="1"/>
    <x v="7"/>
    <n v="198"/>
    <n v="190.08"/>
    <n v="0"/>
    <n v="0"/>
    <n v="0"/>
    <n v="0"/>
    <n v="1"/>
    <x v="0"/>
    <n v="0"/>
    <n v="10"/>
    <n v="0"/>
    <n v="0"/>
    <n v="34.08"/>
    <n v="0"/>
    <n v="0"/>
    <n v="46.559537342020157"/>
    <m/>
    <m/>
    <n v="6477.9264000000003"/>
    <n v="0"/>
    <n v="0"/>
    <n v="8850.0368579711921"/>
    <n v="0"/>
    <n v="0"/>
  </r>
  <r>
    <s v="Regular"/>
    <x v="0"/>
    <x v="0"/>
    <x v="2"/>
    <x v="0"/>
    <x v="0"/>
    <x v="0"/>
    <x v="1"/>
    <x v="8"/>
    <n v="193"/>
    <n v="185.28"/>
    <n v="0"/>
    <n v="0"/>
    <n v="0"/>
    <n v="0"/>
    <n v="1"/>
    <x v="0"/>
    <n v="0"/>
    <n v="10"/>
    <n v="0"/>
    <n v="0"/>
    <n v="34.08"/>
    <n v="0"/>
    <n v="0"/>
    <n v="46.559537342020157"/>
    <m/>
    <m/>
    <n v="6314.3423999999995"/>
    <n v="0"/>
    <n v="0"/>
    <n v="8626.5510787294952"/>
    <n v="0"/>
    <n v="0"/>
  </r>
  <r>
    <s v="Regular"/>
    <x v="0"/>
    <x v="0"/>
    <x v="2"/>
    <x v="0"/>
    <x v="0"/>
    <x v="0"/>
    <x v="1"/>
    <x v="9"/>
    <n v="196"/>
    <n v="188.16"/>
    <n v="0"/>
    <n v="0"/>
    <n v="0"/>
    <n v="0"/>
    <n v="1"/>
    <x v="0"/>
    <n v="0"/>
    <n v="10"/>
    <n v="0"/>
    <n v="0"/>
    <n v="34.08"/>
    <n v="0"/>
    <n v="0"/>
    <n v="46.559537342020157"/>
    <m/>
    <m/>
    <n v="6412.4928"/>
    <n v="0"/>
    <n v="0"/>
    <n v="8760.6425462745119"/>
    <n v="0"/>
    <n v="0"/>
  </r>
  <r>
    <s v="Regular"/>
    <x v="0"/>
    <x v="0"/>
    <x v="2"/>
    <x v="0"/>
    <x v="0"/>
    <x v="0"/>
    <x v="1"/>
    <x v="10"/>
    <n v="20"/>
    <n v="19.2"/>
    <n v="0"/>
    <n v="0"/>
    <n v="0"/>
    <n v="0"/>
    <n v="1"/>
    <x v="0"/>
    <n v="0"/>
    <n v="10"/>
    <n v="0"/>
    <n v="0"/>
    <n v="34.08"/>
    <n v="0"/>
    <n v="0"/>
    <n v="46.559537342020157"/>
    <m/>
    <m/>
    <n v="654.3359999999999"/>
    <n v="0"/>
    <n v="0"/>
    <n v="893.94311696678699"/>
    <n v="0"/>
    <n v="0"/>
  </r>
  <r>
    <s v="Regular"/>
    <x v="0"/>
    <x v="0"/>
    <x v="2"/>
    <x v="0"/>
    <x v="0"/>
    <x v="0"/>
    <x v="1"/>
    <x v="11"/>
    <n v="198"/>
    <n v="190.08"/>
    <n v="0"/>
    <n v="0"/>
    <n v="0"/>
    <n v="0"/>
    <n v="1"/>
    <x v="0"/>
    <n v="0"/>
    <n v="10"/>
    <n v="0"/>
    <n v="0"/>
    <n v="34.08"/>
    <n v="0"/>
    <n v="0"/>
    <n v="46.559537342020157"/>
    <m/>
    <m/>
    <n v="6477.9264000000003"/>
    <n v="0"/>
    <n v="0"/>
    <n v="8850.0368579711921"/>
    <n v="0"/>
    <n v="0"/>
  </r>
  <r>
    <s v="Regular"/>
    <x v="0"/>
    <x v="0"/>
    <x v="2"/>
    <x v="0"/>
    <x v="0"/>
    <x v="0"/>
    <x v="2"/>
    <x v="0"/>
    <n v="0"/>
    <n v="0"/>
    <n v="0.20100000000000001"/>
    <n v="0.19295999999999999"/>
    <n v="0.20100000000000001"/>
    <n v="0.19295999999999999"/>
    <n v="0"/>
    <x v="0"/>
    <n v="0"/>
    <n v="0"/>
    <n v="23"/>
    <n v="25"/>
    <n v="0"/>
    <n v="2545.94"/>
    <n v="223.07"/>
    <m/>
    <n v="3640.0032141838496"/>
    <n v="133.74179569551256"/>
    <n v="0"/>
    <n v="491.26458239999999"/>
    <n v="43.043587199999997"/>
    <n v="0"/>
    <n v="702.37502020891566"/>
    <n v="25.806816897406105"/>
  </r>
  <r>
    <s v="Regular"/>
    <x v="0"/>
    <x v="0"/>
    <x v="2"/>
    <x v="0"/>
    <x v="0"/>
    <x v="0"/>
    <x v="2"/>
    <x v="1"/>
    <n v="0"/>
    <n v="0"/>
    <n v="0.20799999999999999"/>
    <n v="0.19968"/>
    <n v="0.20799999999999999"/>
    <n v="0.19968"/>
    <n v="0"/>
    <x v="0"/>
    <n v="0"/>
    <n v="0"/>
    <n v="23"/>
    <n v="25"/>
    <n v="0"/>
    <n v="2545.94"/>
    <n v="223.07"/>
    <m/>
    <n v="3640.0032141838496"/>
    <n v="133.74179569551256"/>
    <n v="0"/>
    <n v="508.37329920000002"/>
    <n v="44.5426176"/>
    <n v="0"/>
    <n v="726.83584180823107"/>
    <n v="26.705561764479949"/>
  </r>
  <r>
    <s v="Regular"/>
    <x v="0"/>
    <x v="0"/>
    <x v="2"/>
    <x v="0"/>
    <x v="0"/>
    <x v="0"/>
    <x v="2"/>
    <x v="2"/>
    <n v="0"/>
    <n v="0"/>
    <n v="0.245"/>
    <n v="0.23519999999999999"/>
    <n v="0.245"/>
    <n v="0.23519999999999999"/>
    <n v="0"/>
    <x v="0"/>
    <n v="0"/>
    <n v="0"/>
    <n v="23"/>
    <n v="25"/>
    <n v="0"/>
    <n v="2545.94"/>
    <n v="223.07"/>
    <m/>
    <n v="3640.0032141838496"/>
    <n v="133.74179569551256"/>
    <n v="0"/>
    <n v="598.80508799999996"/>
    <n v="52.466063999999996"/>
    <n v="0"/>
    <n v="856.12875597604136"/>
    <n v="31.456070347584554"/>
  </r>
  <r>
    <s v="Regular"/>
    <x v="0"/>
    <x v="0"/>
    <x v="2"/>
    <x v="0"/>
    <x v="0"/>
    <x v="0"/>
    <x v="2"/>
    <x v="3"/>
    <n v="0"/>
    <n v="0"/>
    <n v="0.20300000000000001"/>
    <n v="0.19488"/>
    <n v="0.20300000000000001"/>
    <n v="0.19488"/>
    <n v="0"/>
    <x v="0"/>
    <n v="0"/>
    <n v="0"/>
    <n v="23"/>
    <n v="25"/>
    <n v="0"/>
    <n v="2545.94"/>
    <n v="223.07"/>
    <m/>
    <n v="3640.0032141838496"/>
    <n v="133.74179569551256"/>
    <n v="0"/>
    <n v="496.15278719999998"/>
    <n v="43.471881599999996"/>
    <n v="0"/>
    <n v="709.36382638014857"/>
    <n v="26.063601145141487"/>
  </r>
  <r>
    <s v="Regular"/>
    <x v="0"/>
    <x v="0"/>
    <x v="2"/>
    <x v="0"/>
    <x v="0"/>
    <x v="0"/>
    <x v="2"/>
    <x v="4"/>
    <n v="0"/>
    <n v="0"/>
    <n v="0.16"/>
    <n v="0.15359999999999999"/>
    <n v="0.16"/>
    <n v="0.15359999999999999"/>
    <n v="0"/>
    <x v="0"/>
    <n v="0"/>
    <n v="0"/>
    <n v="23"/>
    <n v="25"/>
    <n v="0"/>
    <n v="2545.94"/>
    <n v="223.07"/>
    <m/>
    <n v="3640.0032141838496"/>
    <n v="133.74179569551256"/>
    <n v="0"/>
    <n v="391.05638399999998"/>
    <n v="34.263551999999997"/>
    <n v="0"/>
    <n v="559.1044936986392"/>
    <n v="20.542739818830729"/>
  </r>
  <r>
    <s v="Regular"/>
    <x v="0"/>
    <x v="0"/>
    <x v="2"/>
    <x v="0"/>
    <x v="0"/>
    <x v="0"/>
    <x v="2"/>
    <x v="5"/>
    <n v="0"/>
    <n v="0"/>
    <n v="0.64700000000000002"/>
    <n v="0.62112000000000001"/>
    <n v="0.64700000000000002"/>
    <n v="0.62112000000000001"/>
    <n v="0"/>
    <x v="0"/>
    <n v="0"/>
    <n v="0"/>
    <n v="23"/>
    <n v="25"/>
    <n v="0"/>
    <n v="2545.94"/>
    <n v="223.07"/>
    <m/>
    <n v="3640.0032141838496"/>
    <n v="133.74179569551256"/>
    <n v="0"/>
    <n v="1581.3342528000001"/>
    <n v="138.5532384"/>
    <n v="0"/>
    <n v="2260.8787963938726"/>
    <n v="83.069704142396759"/>
  </r>
  <r>
    <s v="Regular"/>
    <x v="0"/>
    <x v="0"/>
    <x v="2"/>
    <x v="0"/>
    <x v="0"/>
    <x v="0"/>
    <x v="2"/>
    <x v="6"/>
    <n v="0"/>
    <n v="0"/>
    <n v="0.501"/>
    <n v="0.48096"/>
    <n v="0.501"/>
    <n v="0.48096"/>
    <n v="0"/>
    <x v="0"/>
    <n v="0"/>
    <n v="0"/>
    <n v="23"/>
    <n v="25"/>
    <n v="0"/>
    <n v="2545.94"/>
    <n v="223.07"/>
    <m/>
    <n v="3640.0032141838496"/>
    <n v="133.74179569551256"/>
    <n v="0"/>
    <n v="1224.4953024000001"/>
    <n v="107.2877472"/>
    <n v="0"/>
    <n v="1750.6959458938643"/>
    <n v="64.324454057713723"/>
  </r>
  <r>
    <s v="Regular"/>
    <x v="0"/>
    <x v="0"/>
    <x v="2"/>
    <x v="0"/>
    <x v="0"/>
    <x v="0"/>
    <x v="2"/>
    <x v="7"/>
    <n v="0"/>
    <n v="0"/>
    <n v="0.442"/>
    <n v="0.42431999999999997"/>
    <n v="0.442"/>
    <n v="0.42431999999999997"/>
    <n v="0"/>
    <x v="0"/>
    <n v="0"/>
    <n v="0"/>
    <n v="23"/>
    <n v="25"/>
    <n v="0"/>
    <n v="2545.94"/>
    <n v="223.07"/>
    <m/>
    <n v="3640.0032141838496"/>
    <n v="133.74179569551256"/>
    <n v="0"/>
    <n v="1080.2932607999999"/>
    <n v="94.653062399999996"/>
    <n v="0"/>
    <n v="1544.5261638424911"/>
    <n v="56.749318749519887"/>
  </r>
  <r>
    <s v="Regular"/>
    <x v="0"/>
    <x v="0"/>
    <x v="2"/>
    <x v="0"/>
    <x v="0"/>
    <x v="0"/>
    <x v="2"/>
    <x v="8"/>
    <n v="0"/>
    <n v="0"/>
    <n v="0.17"/>
    <n v="0.16320000000000001"/>
    <n v="0.17"/>
    <n v="0.16320000000000001"/>
    <n v="0"/>
    <x v="0"/>
    <n v="0"/>
    <n v="0"/>
    <n v="23"/>
    <n v="25"/>
    <n v="0"/>
    <n v="2545.94"/>
    <n v="223.07"/>
    <m/>
    <n v="3640.0032141838496"/>
    <n v="133.74179569551256"/>
    <n v="0"/>
    <n v="415.49740800000006"/>
    <n v="36.405024000000004"/>
    <n v="0"/>
    <n v="594.04852455480432"/>
    <n v="21.826661057507653"/>
  </r>
  <r>
    <s v="Regular"/>
    <x v="0"/>
    <x v="0"/>
    <x v="2"/>
    <x v="0"/>
    <x v="0"/>
    <x v="0"/>
    <x v="2"/>
    <x v="9"/>
    <n v="0"/>
    <n v="0"/>
    <n v="0.159"/>
    <n v="0.15264"/>
    <n v="0.159"/>
    <n v="0.15264"/>
    <n v="0"/>
    <x v="0"/>
    <n v="0"/>
    <n v="0"/>
    <n v="23"/>
    <n v="25"/>
    <n v="0"/>
    <n v="2545.94"/>
    <n v="223.07"/>
    <m/>
    <n v="3640.0032141838496"/>
    <n v="133.74179569551256"/>
    <n v="0"/>
    <n v="388.61228160000002"/>
    <n v="34.049404799999998"/>
    <n v="0"/>
    <n v="555.61009061302275"/>
    <n v="20.414347694963038"/>
  </r>
  <r>
    <s v="Regular"/>
    <x v="0"/>
    <x v="0"/>
    <x v="2"/>
    <x v="0"/>
    <x v="0"/>
    <x v="0"/>
    <x v="2"/>
    <x v="10"/>
    <n v="0"/>
    <n v="0"/>
    <n v="0.14599999999999999"/>
    <n v="0.14016000000000001"/>
    <n v="0.14599999999999999"/>
    <n v="0.14016000000000001"/>
    <n v="0"/>
    <x v="0"/>
    <n v="0"/>
    <n v="0"/>
    <n v="23"/>
    <n v="25"/>
    <n v="0"/>
    <n v="2545.94"/>
    <n v="223.07"/>
    <m/>
    <n v="3640.0032141838496"/>
    <n v="133.74179569551256"/>
    <n v="0"/>
    <n v="356.83895040000004"/>
    <n v="31.2654912"/>
    <n v="0"/>
    <n v="510.18285050000839"/>
    <n v="18.745250084683043"/>
  </r>
  <r>
    <s v="Regular"/>
    <x v="0"/>
    <x v="0"/>
    <x v="2"/>
    <x v="0"/>
    <x v="0"/>
    <x v="0"/>
    <x v="2"/>
    <x v="11"/>
    <n v="0"/>
    <n v="0"/>
    <n v="0.14099999999999999"/>
    <n v="0.13536000000000001"/>
    <n v="0.14099999999999999"/>
    <n v="0.13536000000000001"/>
    <n v="0"/>
    <x v="0"/>
    <n v="0"/>
    <n v="0"/>
    <n v="23"/>
    <n v="25"/>
    <n v="0"/>
    <n v="2545.94"/>
    <n v="223.07"/>
    <m/>
    <n v="3640.0032141838496"/>
    <n v="133.74179569551256"/>
    <n v="0"/>
    <n v="344.6184384"/>
    <n v="30.194755199999999"/>
    <n v="0"/>
    <n v="492.71083507192594"/>
    <n v="18.103289465344581"/>
  </r>
  <r>
    <s v="Regular"/>
    <x v="0"/>
    <x v="0"/>
    <x v="3"/>
    <x v="1"/>
    <x v="0"/>
    <x v="0"/>
    <x v="0"/>
    <x v="0"/>
    <n v="0"/>
    <n v="0"/>
    <n v="138.11699999999999"/>
    <n v="129.82998000000001"/>
    <n v="138.11699999999999"/>
    <n v="129.82998000000001"/>
    <n v="0"/>
    <x v="0"/>
    <n v="0"/>
    <n v="0"/>
    <n v="6"/>
    <n v="50"/>
    <n v="0"/>
    <n v="67.489999999999995"/>
    <n v="223.07"/>
    <m/>
    <n v="94.544461461160509"/>
    <n v="133.74179569551256"/>
    <n v="0"/>
    <n v="8762.2253502000003"/>
    <n v="28961.173638600001"/>
    <n v="0"/>
    <n v="12274.70554061324"/>
    <n v="17363.694660312482"/>
  </r>
  <r>
    <s v="Regular"/>
    <x v="0"/>
    <x v="0"/>
    <x v="3"/>
    <x v="1"/>
    <x v="0"/>
    <x v="0"/>
    <x v="0"/>
    <x v="1"/>
    <n v="0"/>
    <n v="0"/>
    <n v="152.06100000000001"/>
    <n v="142.93734000000001"/>
    <n v="152.06100000000001"/>
    <n v="142.93734000000001"/>
    <n v="0"/>
    <x v="0"/>
    <n v="0"/>
    <n v="0"/>
    <n v="6"/>
    <n v="50"/>
    <n v="0"/>
    <n v="67.489999999999995"/>
    <n v="223.07"/>
    <m/>
    <n v="94.544461461160509"/>
    <n v="133.74179569551256"/>
    <n v="0"/>
    <n v="9646.8410765999997"/>
    <n v="31885.032433799999"/>
    <n v="0"/>
    <n v="13513.933832990797"/>
    <n v="19116.696523540017"/>
  </r>
  <r>
    <s v="Regular"/>
    <x v="0"/>
    <x v="0"/>
    <x v="3"/>
    <x v="1"/>
    <x v="0"/>
    <x v="0"/>
    <x v="0"/>
    <x v="2"/>
    <n v="0"/>
    <n v="0"/>
    <n v="155.066"/>
    <n v="145.76204000000001"/>
    <n v="155.066"/>
    <n v="145.76204000000001"/>
    <n v="0"/>
    <x v="0"/>
    <n v="0"/>
    <n v="0"/>
    <n v="6"/>
    <n v="50"/>
    <n v="0"/>
    <n v="67.489999999999995"/>
    <n v="223.07"/>
    <m/>
    <n v="94.544461461160509"/>
    <n v="133.74179569551256"/>
    <n v="0"/>
    <n v="9837.4800796"/>
    <n v="32515.138262800003"/>
    <n v="0"/>
    <n v="13780.993573280139"/>
    <n v="19494.476973841131"/>
  </r>
  <r>
    <s v="Regular"/>
    <x v="0"/>
    <x v="0"/>
    <x v="3"/>
    <x v="1"/>
    <x v="0"/>
    <x v="0"/>
    <x v="0"/>
    <x v="3"/>
    <n v="0"/>
    <n v="0"/>
    <n v="180.202"/>
    <n v="169.38988000000001"/>
    <n v="180.202"/>
    <n v="169.38988000000001"/>
    <n v="0"/>
    <x v="0"/>
    <n v="0"/>
    <n v="0"/>
    <n v="6"/>
    <n v="50"/>
    <n v="0"/>
    <n v="67.489999999999995"/>
    <n v="223.07"/>
    <m/>
    <n v="94.544461461160509"/>
    <n v="133.74179569551256"/>
    <n v="0"/>
    <n v="11432.1230012"/>
    <n v="37785.800531599998"/>
    <n v="0"/>
    <n v="16014.874981570603"/>
    <n v="22654.506723847389"/>
  </r>
  <r>
    <s v="Regular"/>
    <x v="0"/>
    <x v="0"/>
    <x v="3"/>
    <x v="1"/>
    <x v="0"/>
    <x v="0"/>
    <x v="0"/>
    <x v="4"/>
    <n v="0"/>
    <n v="0"/>
    <n v="222.1"/>
    <n v="208.774"/>
    <n v="222.1"/>
    <n v="208.774"/>
    <n v="0"/>
    <x v="0"/>
    <n v="0"/>
    <n v="0"/>
    <n v="6"/>
    <n v="50"/>
    <n v="0"/>
    <n v="67.489999999999995"/>
    <n v="223.07"/>
    <m/>
    <n v="94.544461461160509"/>
    <n v="133.74179569551256"/>
    <n v="0"/>
    <n v="14090.157259999998"/>
    <n v="46571.216179999996"/>
    <n v="0"/>
    <n v="19738.425397092324"/>
    <n v="27921.80965453494"/>
  </r>
  <r>
    <s v="Regular"/>
    <x v="0"/>
    <x v="0"/>
    <x v="3"/>
    <x v="1"/>
    <x v="0"/>
    <x v="0"/>
    <x v="0"/>
    <x v="5"/>
    <n v="0"/>
    <n v="0"/>
    <n v="190.614"/>
    <n v="179.17715999999999"/>
    <n v="190.614"/>
    <n v="179.17715999999999"/>
    <n v="0"/>
    <x v="0"/>
    <n v="0"/>
    <n v="0"/>
    <n v="6"/>
    <n v="50"/>
    <n v="0"/>
    <n v="67.489999999999995"/>
    <n v="223.07"/>
    <m/>
    <n v="94.544461461160509"/>
    <n v="133.74179569551256"/>
    <n v="0"/>
    <n v="12092.666528399997"/>
    <n v="39969.049081199999"/>
    <n v="0"/>
    <n v="16940.20809834019"/>
    <n v="23963.475126022164"/>
  </r>
  <r>
    <s v="Regular"/>
    <x v="0"/>
    <x v="0"/>
    <x v="3"/>
    <x v="1"/>
    <x v="0"/>
    <x v="0"/>
    <x v="0"/>
    <x v="6"/>
    <n v="0"/>
    <n v="0"/>
    <n v="182.78899999999999"/>
    <n v="171.82166000000001"/>
    <n v="182.78899999999999"/>
    <n v="171.82166000000001"/>
    <n v="0"/>
    <x v="0"/>
    <n v="0"/>
    <n v="0"/>
    <n v="6"/>
    <n v="50"/>
    <n v="0"/>
    <n v="67.489999999999995"/>
    <n v="223.07"/>
    <m/>
    <n v="94.544461461160509"/>
    <n v="133.74179569551256"/>
    <n v="0"/>
    <n v="11596.2438334"/>
    <n v="38328.257696200002"/>
    <n v="0"/>
    <n v="16244.786312062624"/>
    <n v="22979.737347783823"/>
  </r>
  <r>
    <s v="Regular"/>
    <x v="0"/>
    <x v="0"/>
    <x v="3"/>
    <x v="1"/>
    <x v="0"/>
    <x v="0"/>
    <x v="0"/>
    <x v="7"/>
    <n v="0"/>
    <n v="0"/>
    <n v="182.22300000000001"/>
    <n v="171.28962000000001"/>
    <n v="182.22300000000001"/>
    <n v="171.28962000000001"/>
    <n v="0"/>
    <x v="0"/>
    <n v="0"/>
    <n v="0"/>
    <n v="6"/>
    <n v="50"/>
    <n v="0"/>
    <n v="67.489999999999995"/>
    <n v="223.07"/>
    <m/>
    <n v="94.544461461160509"/>
    <n v="133.74179569551256"/>
    <n v="0"/>
    <n v="11560.336453800001"/>
    <n v="38209.575533399999"/>
    <n v="0"/>
    <n v="16194.48487678683"/>
    <n v="22908.581362801986"/>
  </r>
  <r>
    <s v="Regular"/>
    <x v="0"/>
    <x v="0"/>
    <x v="3"/>
    <x v="1"/>
    <x v="0"/>
    <x v="0"/>
    <x v="0"/>
    <x v="8"/>
    <n v="0"/>
    <n v="0"/>
    <n v="172.721"/>
    <n v="162.35774000000001"/>
    <n v="172.721"/>
    <n v="162.35774000000001"/>
    <n v="0"/>
    <x v="0"/>
    <n v="0"/>
    <n v="0"/>
    <n v="6"/>
    <n v="50"/>
    <n v="0"/>
    <n v="67.489999999999995"/>
    <n v="223.07"/>
    <m/>
    <n v="94.544461461160509"/>
    <n v="133.74179569551256"/>
    <n v="0"/>
    <n v="10957.523872599999"/>
    <n v="36217.141061800001"/>
    <n v="0"/>
    <n v="15350.025092351119"/>
    <n v="21714.015692665151"/>
  </r>
  <r>
    <s v="Regular"/>
    <x v="0"/>
    <x v="0"/>
    <x v="3"/>
    <x v="1"/>
    <x v="0"/>
    <x v="0"/>
    <x v="0"/>
    <x v="9"/>
    <n v="0"/>
    <n v="0"/>
    <n v="150.96"/>
    <n v="141.9024"/>
    <n v="150.96"/>
    <n v="141.9024"/>
    <n v="0"/>
    <x v="0"/>
    <n v="0"/>
    <n v="0"/>
    <n v="6"/>
    <n v="50"/>
    <n v="0"/>
    <n v="67.489999999999995"/>
    <n v="223.07"/>
    <m/>
    <n v="94.544461461160509"/>
    <n v="133.74179569551256"/>
    <n v="0"/>
    <n v="9576.9929759999995"/>
    <n v="31654.168367999999"/>
    <n v="0"/>
    <n v="13416.085988046183"/>
    <n v="18978.281789502904"/>
  </r>
  <r>
    <s v="Regular"/>
    <x v="0"/>
    <x v="0"/>
    <x v="3"/>
    <x v="1"/>
    <x v="0"/>
    <x v="0"/>
    <x v="0"/>
    <x v="10"/>
    <n v="0"/>
    <n v="0"/>
    <n v="167.42699999999999"/>
    <n v="157.38138000000001"/>
    <n v="167.42699999999999"/>
    <n v="157.38138000000001"/>
    <n v="0"/>
    <x v="0"/>
    <n v="0"/>
    <n v="0"/>
    <n v="6"/>
    <n v="50"/>
    <n v="0"/>
    <n v="67.489999999999995"/>
    <n v="223.07"/>
    <m/>
    <n v="94.544461461160509"/>
    <n v="133.74179569551256"/>
    <n v="0"/>
    <n v="10621.669336200001"/>
    <n v="35107.064436599998"/>
    <n v="0"/>
    <n v="14879.537816114258"/>
    <n v="21048.468370237828"/>
  </r>
  <r>
    <s v="Regular"/>
    <x v="0"/>
    <x v="0"/>
    <x v="3"/>
    <x v="1"/>
    <x v="0"/>
    <x v="0"/>
    <x v="0"/>
    <x v="11"/>
    <n v="0"/>
    <n v="0"/>
    <n v="161.76599999999999"/>
    <n v="152.06003999999999"/>
    <n v="161.76599999999999"/>
    <n v="152.06003999999999"/>
    <n v="0"/>
    <x v="0"/>
    <n v="0"/>
    <n v="0"/>
    <n v="6"/>
    <n v="50"/>
    <n v="0"/>
    <n v="67.489999999999995"/>
    <n v="223.07"/>
    <m/>
    <n v="94.544461461160509"/>
    <n v="133.74179569551256"/>
    <n v="0"/>
    <n v="10262.532099599999"/>
    <n v="33920.0331228"/>
    <n v="0"/>
    <n v="14376.434591562524"/>
    <n v="20336.782803131468"/>
  </r>
  <r>
    <s v="Regular"/>
    <x v="0"/>
    <x v="0"/>
    <x v="3"/>
    <x v="1"/>
    <x v="0"/>
    <x v="0"/>
    <x v="1"/>
    <x v="0"/>
    <n v="325"/>
    <n v="276.25"/>
    <n v="0"/>
    <n v="0"/>
    <n v="0"/>
    <n v="0"/>
    <n v="2"/>
    <x v="0"/>
    <n v="0"/>
    <n v="10"/>
    <n v="0"/>
    <n v="0"/>
    <n v="34.08"/>
    <n v="0"/>
    <n v="0"/>
    <n v="46.559537342020157"/>
    <m/>
    <m/>
    <n v="9414.6"/>
    <n v="0"/>
    <n v="0"/>
    <n v="12862.072190733068"/>
    <n v="0"/>
    <n v="0"/>
  </r>
  <r>
    <s v="Regular"/>
    <x v="0"/>
    <x v="0"/>
    <x v="3"/>
    <x v="1"/>
    <x v="0"/>
    <x v="0"/>
    <x v="1"/>
    <x v="1"/>
    <n v="333"/>
    <n v="283.05"/>
    <n v="0"/>
    <n v="0"/>
    <n v="0"/>
    <n v="0"/>
    <n v="2"/>
    <x v="0"/>
    <n v="0"/>
    <n v="10"/>
    <n v="0"/>
    <n v="0"/>
    <n v="34.08"/>
    <n v="0"/>
    <n v="0"/>
    <n v="46.559537342020157"/>
    <m/>
    <m/>
    <n v="9646.3439999999991"/>
    <n v="0"/>
    <n v="0"/>
    <n v="13178.677044658805"/>
    <n v="0"/>
    <n v="0"/>
  </r>
  <r>
    <s v="Regular"/>
    <x v="0"/>
    <x v="0"/>
    <x v="3"/>
    <x v="1"/>
    <x v="0"/>
    <x v="0"/>
    <x v="1"/>
    <x v="2"/>
    <n v="330"/>
    <n v="280.5"/>
    <n v="0"/>
    <n v="0"/>
    <n v="0"/>
    <n v="0"/>
    <n v="2"/>
    <x v="0"/>
    <n v="0"/>
    <n v="10"/>
    <n v="0"/>
    <n v="0"/>
    <n v="34.08"/>
    <n v="0"/>
    <n v="0"/>
    <n v="46.559537342020157"/>
    <m/>
    <m/>
    <n v="9559.4399999999987"/>
    <n v="0"/>
    <n v="0"/>
    <n v="13059.950224436654"/>
    <n v="0"/>
    <n v="0"/>
  </r>
  <r>
    <s v="Regular"/>
    <x v="0"/>
    <x v="0"/>
    <x v="3"/>
    <x v="1"/>
    <x v="0"/>
    <x v="0"/>
    <x v="1"/>
    <x v="3"/>
    <n v="381"/>
    <n v="323.84999999999997"/>
    <n v="0"/>
    <n v="0"/>
    <n v="0"/>
    <n v="0"/>
    <n v="2"/>
    <x v="0"/>
    <n v="0"/>
    <n v="10"/>
    <n v="0"/>
    <n v="0"/>
    <n v="34.08"/>
    <n v="0"/>
    <n v="0"/>
    <n v="46.559537342020157"/>
    <m/>
    <m/>
    <n v="11036.807999999999"/>
    <n v="0"/>
    <n v="0"/>
    <n v="15078.306168213227"/>
    <n v="0"/>
    <n v="0"/>
  </r>
  <r>
    <s v="Regular"/>
    <x v="0"/>
    <x v="0"/>
    <x v="3"/>
    <x v="1"/>
    <x v="0"/>
    <x v="0"/>
    <x v="1"/>
    <x v="4"/>
    <n v="381"/>
    <n v="323.84999999999997"/>
    <n v="0"/>
    <n v="0"/>
    <n v="0"/>
    <n v="0"/>
    <n v="2"/>
    <x v="0"/>
    <n v="0"/>
    <n v="10"/>
    <n v="0"/>
    <n v="0"/>
    <n v="34.08"/>
    <n v="0"/>
    <n v="0"/>
    <n v="46.559537342020157"/>
    <m/>
    <m/>
    <n v="11036.807999999999"/>
    <n v="0"/>
    <n v="0"/>
    <n v="15078.306168213227"/>
    <n v="0"/>
    <n v="0"/>
  </r>
  <r>
    <s v="Regular"/>
    <x v="0"/>
    <x v="0"/>
    <x v="3"/>
    <x v="1"/>
    <x v="0"/>
    <x v="0"/>
    <x v="1"/>
    <x v="5"/>
    <n v="392"/>
    <n v="333.2"/>
    <n v="0"/>
    <n v="0"/>
    <n v="0"/>
    <n v="0"/>
    <n v="2"/>
    <x v="0"/>
    <n v="0"/>
    <n v="10"/>
    <n v="0"/>
    <n v="0"/>
    <n v="34.08"/>
    <n v="0"/>
    <n v="0"/>
    <n v="46.559537342020157"/>
    <m/>
    <m/>
    <n v="11355.455999999998"/>
    <n v="0"/>
    <n v="0"/>
    <n v="15513.637842361115"/>
    <n v="0"/>
    <n v="0"/>
  </r>
  <r>
    <s v="Regular"/>
    <x v="0"/>
    <x v="0"/>
    <x v="3"/>
    <x v="1"/>
    <x v="0"/>
    <x v="0"/>
    <x v="1"/>
    <x v="6"/>
    <n v="379"/>
    <n v="322.14999999999998"/>
    <n v="0"/>
    <n v="0"/>
    <n v="0"/>
    <n v="0"/>
    <n v="2"/>
    <x v="0"/>
    <n v="0"/>
    <n v="10"/>
    <n v="0"/>
    <n v="0"/>
    <n v="34.08"/>
    <n v="0"/>
    <n v="0"/>
    <n v="46.559537342020157"/>
    <m/>
    <m/>
    <n v="10978.871999999999"/>
    <n v="0"/>
    <n v="0"/>
    <n v="14999.154954731792"/>
    <n v="0"/>
    <n v="0"/>
  </r>
  <r>
    <s v="Regular"/>
    <x v="0"/>
    <x v="0"/>
    <x v="3"/>
    <x v="1"/>
    <x v="0"/>
    <x v="0"/>
    <x v="1"/>
    <x v="7"/>
    <n v="374"/>
    <n v="317.89999999999998"/>
    <n v="0"/>
    <n v="0"/>
    <n v="0"/>
    <n v="0"/>
    <n v="2"/>
    <x v="0"/>
    <n v="0"/>
    <n v="10"/>
    <n v="0"/>
    <n v="0"/>
    <n v="34.08"/>
    <n v="0"/>
    <n v="0"/>
    <n v="46.559537342020157"/>
    <m/>
    <m/>
    <n v="10834.031999999999"/>
    <n v="0"/>
    <n v="0"/>
    <n v="14801.276921028208"/>
    <n v="0"/>
    <n v="0"/>
  </r>
  <r>
    <s v="Regular"/>
    <x v="0"/>
    <x v="0"/>
    <x v="3"/>
    <x v="1"/>
    <x v="0"/>
    <x v="0"/>
    <x v="1"/>
    <x v="8"/>
    <n v="382"/>
    <n v="324.7"/>
    <n v="0"/>
    <n v="0"/>
    <n v="0"/>
    <n v="0"/>
    <n v="2"/>
    <x v="0"/>
    <n v="0"/>
    <n v="10"/>
    <n v="0"/>
    <n v="0"/>
    <n v="34.08"/>
    <n v="0"/>
    <n v="0"/>
    <n v="46.559537342020157"/>
    <m/>
    <m/>
    <n v="11065.776"/>
    <n v="0"/>
    <n v="0"/>
    <n v="15117.881774953945"/>
    <n v="0"/>
    <n v="0"/>
  </r>
  <r>
    <s v="Regular"/>
    <x v="0"/>
    <x v="0"/>
    <x v="3"/>
    <x v="1"/>
    <x v="0"/>
    <x v="0"/>
    <x v="1"/>
    <x v="9"/>
    <n v="365"/>
    <n v="310.25"/>
    <n v="0"/>
    <n v="0"/>
    <n v="0"/>
    <n v="0"/>
    <n v="2"/>
    <x v="0"/>
    <n v="0"/>
    <n v="10"/>
    <n v="0"/>
    <n v="0"/>
    <n v="34.08"/>
    <n v="0"/>
    <n v="0"/>
    <n v="46.559537342020157"/>
    <m/>
    <m/>
    <n v="10573.32"/>
    <n v="0"/>
    <n v="0"/>
    <n v="14445.096460361754"/>
    <n v="0"/>
    <n v="0"/>
  </r>
  <r>
    <s v="Regular"/>
    <x v="0"/>
    <x v="0"/>
    <x v="3"/>
    <x v="1"/>
    <x v="0"/>
    <x v="0"/>
    <x v="1"/>
    <x v="10"/>
    <n v="372"/>
    <n v="316.2"/>
    <n v="0"/>
    <n v="0"/>
    <n v="0"/>
    <n v="0"/>
    <n v="2"/>
    <x v="0"/>
    <n v="0"/>
    <n v="10"/>
    <n v="0"/>
    <n v="0"/>
    <n v="34.08"/>
    <n v="0"/>
    <n v="0"/>
    <n v="46.559537342020157"/>
    <m/>
    <m/>
    <n v="10776.096"/>
    <n v="0"/>
    <n v="0"/>
    <n v="14722.125707546773"/>
    <n v="0"/>
    <n v="0"/>
  </r>
  <r>
    <s v="Regular"/>
    <x v="0"/>
    <x v="0"/>
    <x v="3"/>
    <x v="1"/>
    <x v="0"/>
    <x v="0"/>
    <x v="1"/>
    <x v="11"/>
    <n v="424"/>
    <n v="360.4"/>
    <n v="0"/>
    <n v="0"/>
    <n v="0"/>
    <n v="0"/>
    <n v="2"/>
    <x v="0"/>
    <n v="0"/>
    <n v="10"/>
    <n v="0"/>
    <n v="0"/>
    <n v="34.08"/>
    <n v="0"/>
    <n v="0"/>
    <n v="46.559537342020157"/>
    <m/>
    <m/>
    <n v="12282.431999999999"/>
    <n v="0"/>
    <n v="0"/>
    <n v="16780.057258064062"/>
    <n v="0"/>
    <n v="0"/>
  </r>
  <r>
    <s v="Regular"/>
    <x v="0"/>
    <x v="0"/>
    <x v="3"/>
    <x v="1"/>
    <x v="0"/>
    <x v="0"/>
    <x v="2"/>
    <x v="0"/>
    <n v="0"/>
    <n v="0"/>
    <n v="14.760999999999999"/>
    <n v="13.87534"/>
    <n v="14.760999999999999"/>
    <n v="13.87534"/>
    <n v="0"/>
    <x v="0"/>
    <n v="0"/>
    <n v="0"/>
    <n v="23"/>
    <n v="25"/>
    <n v="0"/>
    <n v="2545.94"/>
    <n v="223.07"/>
    <m/>
    <n v="3640.0032141838496"/>
    <n v="133.74179569551256"/>
    <n v="0"/>
    <n v="35325.783119599997"/>
    <n v="3095.1720937999999"/>
    <n v="0"/>
    <n v="50506.282197893735"/>
    <n v="1855.7128874857733"/>
  </r>
  <r>
    <s v="Regular"/>
    <x v="0"/>
    <x v="0"/>
    <x v="3"/>
    <x v="1"/>
    <x v="0"/>
    <x v="0"/>
    <x v="2"/>
    <x v="1"/>
    <n v="0"/>
    <n v="0"/>
    <n v="15.125"/>
    <n v="14.217499999999999"/>
    <n v="15.125"/>
    <n v="14.217499999999999"/>
    <n v="0"/>
    <x v="0"/>
    <n v="0"/>
    <n v="0"/>
    <n v="23"/>
    <n v="25"/>
    <n v="0"/>
    <n v="2545.94"/>
    <n v="223.07"/>
    <m/>
    <n v="3640.0032141838496"/>
    <n v="133.74179569551256"/>
    <n v="0"/>
    <n v="36196.901949999999"/>
    <n v="3171.4977249999997"/>
    <n v="0"/>
    <n v="51751.74569765888"/>
    <n v="1901.4739803009497"/>
  </r>
  <r>
    <s v="Regular"/>
    <x v="0"/>
    <x v="0"/>
    <x v="3"/>
    <x v="1"/>
    <x v="0"/>
    <x v="0"/>
    <x v="2"/>
    <x v="2"/>
    <n v="0"/>
    <n v="0"/>
    <n v="13.497"/>
    <n v="12.68718"/>
    <n v="13.497"/>
    <n v="12.68718"/>
    <n v="0"/>
    <x v="0"/>
    <n v="0"/>
    <n v="0"/>
    <n v="23"/>
    <n v="25"/>
    <n v="0"/>
    <n v="2545.94"/>
    <n v="223.07"/>
    <m/>
    <n v="3640.0032141838496"/>
    <n v="133.74179569551256"/>
    <n v="0"/>
    <n v="32300.799049199999"/>
    <n v="2830.1292426"/>
    <n v="0"/>
    <n v="46181.375978929049"/>
    <n v="1696.8062355121931"/>
  </r>
  <r>
    <s v="Regular"/>
    <x v="0"/>
    <x v="0"/>
    <x v="3"/>
    <x v="1"/>
    <x v="0"/>
    <x v="0"/>
    <x v="2"/>
    <x v="3"/>
    <n v="0"/>
    <n v="0"/>
    <n v="19.161000000000001"/>
    <n v="18.011340000000001"/>
    <n v="19.161000000000001"/>
    <n v="18.011340000000001"/>
    <n v="0"/>
    <x v="0"/>
    <n v="0"/>
    <n v="0"/>
    <n v="23"/>
    <n v="25"/>
    <n v="0"/>
    <n v="2545.94"/>
    <n v="223.07"/>
    <m/>
    <n v="3640.0032141838496"/>
    <n v="133.74179569551256"/>
    <n v="0"/>
    <n v="45855.790959600003"/>
    <n v="4017.7896138000001"/>
    <n v="0"/>
    <n v="65561.335491758146"/>
    <n v="2408.8689544824133"/>
  </r>
  <r>
    <s v="Regular"/>
    <x v="0"/>
    <x v="0"/>
    <x v="3"/>
    <x v="1"/>
    <x v="0"/>
    <x v="0"/>
    <x v="2"/>
    <x v="4"/>
    <n v="0"/>
    <n v="0"/>
    <n v="22.17"/>
    <n v="20.8398"/>
    <n v="22.17"/>
    <n v="20.8398"/>
    <n v="0"/>
    <x v="0"/>
    <n v="0"/>
    <n v="0"/>
    <n v="23"/>
    <n v="25"/>
    <n v="0"/>
    <n v="2545.94"/>
    <n v="223.07"/>
    <m/>
    <n v="3640.0032141838496"/>
    <n v="133.74179569551256"/>
    <n v="0"/>
    <n v="53056.880411999999"/>
    <n v="4648.7341859999997"/>
    <n v="0"/>
    <n v="75856.938982948588"/>
    <n v="2787.1522739353427"/>
  </r>
  <r>
    <s v="Regular"/>
    <x v="0"/>
    <x v="0"/>
    <x v="3"/>
    <x v="1"/>
    <x v="0"/>
    <x v="0"/>
    <x v="2"/>
    <x v="5"/>
    <n v="0"/>
    <n v="0"/>
    <n v="21.122"/>
    <n v="19.854679999999998"/>
    <n v="21.122"/>
    <n v="19.854679999999998"/>
    <n v="0"/>
    <x v="0"/>
    <n v="0"/>
    <n v="0"/>
    <n v="23"/>
    <n v="25"/>
    <n v="0"/>
    <n v="2545.94"/>
    <n v="223.07"/>
    <m/>
    <n v="3640.0032141838496"/>
    <n v="133.74179569551256"/>
    <n v="0"/>
    <n v="50548.823999199994"/>
    <n v="4428.9834675999991"/>
    <n v="0"/>
    <n v="72271.09901659179"/>
    <n v="2655.4005561597792"/>
  </r>
  <r>
    <s v="Regular"/>
    <x v="0"/>
    <x v="0"/>
    <x v="3"/>
    <x v="1"/>
    <x v="0"/>
    <x v="0"/>
    <x v="2"/>
    <x v="6"/>
    <n v="0"/>
    <n v="0"/>
    <n v="19.91"/>
    <n v="18.715399999999999"/>
    <n v="19.91"/>
    <n v="18.715399999999999"/>
    <n v="0"/>
    <x v="0"/>
    <n v="0"/>
    <n v="0"/>
    <n v="23"/>
    <n v="25"/>
    <n v="0"/>
    <n v="2545.94"/>
    <n v="223.07"/>
    <m/>
    <n v="3640.0032141838496"/>
    <n v="133.74179569551256"/>
    <n v="0"/>
    <n v="47648.285475999997"/>
    <n v="4174.8442779999996"/>
    <n v="0"/>
    <n v="68124.116154736417"/>
    <n v="2503.0312031597955"/>
  </r>
  <r>
    <s v="Regular"/>
    <x v="0"/>
    <x v="0"/>
    <x v="3"/>
    <x v="1"/>
    <x v="0"/>
    <x v="0"/>
    <x v="2"/>
    <x v="7"/>
    <n v="0"/>
    <n v="0"/>
    <n v="17.25"/>
    <n v="16.215"/>
    <n v="17.25"/>
    <n v="16.215"/>
    <n v="0"/>
    <x v="0"/>
    <n v="0"/>
    <n v="0"/>
    <n v="23"/>
    <n v="25"/>
    <n v="0"/>
    <n v="2545.94"/>
    <n v="223.07"/>
    <m/>
    <n v="3640.0032141838496"/>
    <n v="133.74179569551256"/>
    <n v="0"/>
    <n v="41282.417099999999"/>
    <n v="3617.08005"/>
    <n v="0"/>
    <n v="59022.652117991121"/>
    <n v="2168.6232172027362"/>
  </r>
  <r>
    <s v="Regular"/>
    <x v="0"/>
    <x v="0"/>
    <x v="3"/>
    <x v="1"/>
    <x v="0"/>
    <x v="0"/>
    <x v="2"/>
    <x v="8"/>
    <n v="0"/>
    <n v="0"/>
    <n v="17.478000000000002"/>
    <n v="16.429320000000001"/>
    <n v="17.478000000000002"/>
    <n v="16.429320000000001"/>
    <n v="0"/>
    <x v="0"/>
    <n v="0"/>
    <n v="0"/>
    <n v="23"/>
    <n v="25"/>
    <n v="0"/>
    <n v="2545.94"/>
    <n v="223.07"/>
    <m/>
    <n v="3640.0032141838496"/>
    <n v="133.74179569551256"/>
    <n v="0"/>
    <n v="41828.062960800002"/>
    <n v="3664.8884124000001"/>
    <n v="0"/>
    <n v="59802.777606855008"/>
    <n v="2197.2867588561985"/>
  </r>
  <r>
    <s v="Regular"/>
    <x v="0"/>
    <x v="0"/>
    <x v="3"/>
    <x v="1"/>
    <x v="0"/>
    <x v="0"/>
    <x v="2"/>
    <x v="9"/>
    <n v="0"/>
    <n v="0"/>
    <n v="16.527000000000001"/>
    <n v="15.53538"/>
    <n v="16.527000000000001"/>
    <n v="15.53538"/>
    <n v="0"/>
    <x v="0"/>
    <n v="0"/>
    <n v="0"/>
    <n v="23"/>
    <n v="25"/>
    <n v="0"/>
    <n v="2545.94"/>
    <n v="223.07"/>
    <m/>
    <n v="3640.0032141838496"/>
    <n v="133.74179569551256"/>
    <n v="0"/>
    <n v="39552.145357200003"/>
    <n v="3465.4772165999998"/>
    <n v="0"/>
    <n v="56548.833133567496"/>
    <n v="2077.7296180121521"/>
  </r>
  <r>
    <s v="Regular"/>
    <x v="0"/>
    <x v="0"/>
    <x v="3"/>
    <x v="1"/>
    <x v="0"/>
    <x v="0"/>
    <x v="2"/>
    <x v="10"/>
    <n v="0"/>
    <n v="0"/>
    <n v="17.495000000000001"/>
    <n v="16.4453"/>
    <n v="17.495000000000001"/>
    <n v="16.4453"/>
    <n v="0"/>
    <x v="0"/>
    <n v="0"/>
    <n v="0"/>
    <n v="23"/>
    <n v="25"/>
    <n v="0"/>
    <n v="2545.94"/>
    <n v="223.07"/>
    <m/>
    <n v="3640.0032141838496"/>
    <n v="133.74179569551256"/>
    <n v="0"/>
    <n v="41868.747082000002"/>
    <n v="3668.4530709999999"/>
    <n v="0"/>
    <n v="59860.944858217663"/>
    <n v="2199.4239527514128"/>
  </r>
  <r>
    <s v="Regular"/>
    <x v="0"/>
    <x v="0"/>
    <x v="3"/>
    <x v="1"/>
    <x v="0"/>
    <x v="0"/>
    <x v="2"/>
    <x v="11"/>
    <n v="0"/>
    <n v="0"/>
    <n v="17.931000000000001"/>
    <n v="16.855139999999999"/>
    <n v="17.931000000000001"/>
    <n v="16.855139999999999"/>
    <n v="0"/>
    <x v="0"/>
    <n v="0"/>
    <n v="0"/>
    <n v="23"/>
    <n v="25"/>
    <n v="0"/>
    <n v="2545.94"/>
    <n v="223.07"/>
    <m/>
    <n v="3640.0032141838496"/>
    <n v="133.74179569551256"/>
    <n v="0"/>
    <n v="42912.175131600001"/>
    <n v="3759.8760797999994"/>
    <n v="0"/>
    <n v="61352.763775518768"/>
    <n v="2254.2366902992617"/>
  </r>
  <r>
    <s v="Regular"/>
    <x v="1"/>
    <x v="1"/>
    <x v="4"/>
    <x v="2"/>
    <x v="0"/>
    <x v="0"/>
    <x v="0"/>
    <x v="0"/>
    <n v="0"/>
    <n v="0"/>
    <n v="0.65800000000000003"/>
    <n v="0.65800000000000003"/>
    <n v="0.65800000000000003"/>
    <n v="0.65800000000000003"/>
    <n v="0"/>
    <x v="0"/>
    <n v="0"/>
    <n v="0"/>
    <n v="22"/>
    <n v="32"/>
    <n v="0"/>
    <n v="303.06"/>
    <n v="223.07"/>
    <m/>
    <n v="427.94896026622922"/>
    <n v="133.74179569551256"/>
    <n v="0"/>
    <n v="199.41348000000002"/>
    <n v="146.78005999999999"/>
    <n v="0"/>
    <n v="281.59041585517883"/>
    <n v="88.002101567647273"/>
  </r>
  <r>
    <s v="Regular"/>
    <x v="1"/>
    <x v="1"/>
    <x v="4"/>
    <x v="2"/>
    <x v="0"/>
    <x v="0"/>
    <x v="0"/>
    <x v="1"/>
    <n v="0"/>
    <n v="0"/>
    <n v="0.63500000000000001"/>
    <n v="0.63500000000000001"/>
    <n v="0.63500000000000001"/>
    <n v="0.63500000000000001"/>
    <n v="0"/>
    <x v="0"/>
    <n v="0"/>
    <n v="0"/>
    <n v="22"/>
    <n v="32"/>
    <n v="0"/>
    <n v="303.06"/>
    <n v="223.07"/>
    <m/>
    <n v="427.94896026622922"/>
    <n v="133.74179569551256"/>
    <n v="0"/>
    <n v="192.44310000000002"/>
    <n v="141.64945"/>
    <n v="0"/>
    <n v="271.74758976905554"/>
    <n v="84.926040266650475"/>
  </r>
  <r>
    <s v="Regular"/>
    <x v="1"/>
    <x v="1"/>
    <x v="4"/>
    <x v="2"/>
    <x v="0"/>
    <x v="0"/>
    <x v="0"/>
    <x v="2"/>
    <n v="0"/>
    <n v="0"/>
    <n v="0.67700000000000005"/>
    <n v="0.67700000000000005"/>
    <n v="0.67700000000000005"/>
    <n v="0.67700000000000005"/>
    <n v="0"/>
    <x v="0"/>
    <n v="0"/>
    <n v="0"/>
    <n v="22"/>
    <n v="32"/>
    <n v="0"/>
    <n v="303.06"/>
    <n v="223.07"/>
    <m/>
    <n v="427.94896026622922"/>
    <n v="133.74179569551256"/>
    <n v="0"/>
    <n v="205.17162000000002"/>
    <n v="151.01839000000001"/>
    <n v="0"/>
    <n v="289.72144610023719"/>
    <n v="90.543195685862017"/>
  </r>
  <r>
    <s v="Regular"/>
    <x v="1"/>
    <x v="1"/>
    <x v="4"/>
    <x v="2"/>
    <x v="0"/>
    <x v="0"/>
    <x v="0"/>
    <x v="3"/>
    <n v="0"/>
    <n v="0"/>
    <n v="0.71799999999999997"/>
    <n v="0.71799999999999997"/>
    <n v="0.71799999999999997"/>
    <n v="0.71799999999999997"/>
    <n v="0"/>
    <x v="0"/>
    <n v="0"/>
    <n v="0"/>
    <n v="22"/>
    <n v="32"/>
    <n v="0"/>
    <n v="303.06"/>
    <n v="223.07"/>
    <m/>
    <n v="427.94896026622922"/>
    <n v="133.74179569551256"/>
    <n v="0"/>
    <n v="217.59708000000001"/>
    <n v="160.16425999999998"/>
    <n v="0"/>
    <n v="307.26735347115255"/>
    <n v="96.026609309378017"/>
  </r>
  <r>
    <s v="Regular"/>
    <x v="1"/>
    <x v="1"/>
    <x v="4"/>
    <x v="2"/>
    <x v="0"/>
    <x v="0"/>
    <x v="0"/>
    <x v="4"/>
    <n v="0"/>
    <n v="0"/>
    <n v="0.748"/>
    <n v="0.748"/>
    <n v="0.748"/>
    <n v="0.748"/>
    <n v="0"/>
    <x v="0"/>
    <n v="0"/>
    <n v="0"/>
    <n v="22"/>
    <n v="32"/>
    <n v="0"/>
    <n v="303.06"/>
    <n v="223.07"/>
    <m/>
    <n v="427.94896026622922"/>
    <n v="133.74179569551256"/>
    <n v="0"/>
    <n v="226.68888000000001"/>
    <n v="166.85636"/>
    <n v="0"/>
    <n v="320.10582227913943"/>
    <n v="100.0388631802434"/>
  </r>
  <r>
    <s v="Regular"/>
    <x v="1"/>
    <x v="1"/>
    <x v="4"/>
    <x v="2"/>
    <x v="0"/>
    <x v="0"/>
    <x v="0"/>
    <x v="5"/>
    <n v="0"/>
    <n v="0"/>
    <n v="0.68100000000000005"/>
    <n v="0.68100000000000005"/>
    <n v="0.68100000000000005"/>
    <n v="0.68100000000000005"/>
    <n v="0"/>
    <x v="0"/>
    <n v="0"/>
    <n v="0"/>
    <n v="22"/>
    <n v="32"/>
    <n v="0"/>
    <n v="303.06"/>
    <n v="223.07"/>
    <m/>
    <n v="427.94896026622922"/>
    <n v="133.74179569551256"/>
    <n v="0"/>
    <n v="206.38386000000003"/>
    <n v="151.91067000000001"/>
    <n v="0"/>
    <n v="291.43324194130213"/>
    <n v="91.078162868644057"/>
  </r>
  <r>
    <s v="Regular"/>
    <x v="1"/>
    <x v="1"/>
    <x v="4"/>
    <x v="2"/>
    <x v="0"/>
    <x v="0"/>
    <x v="0"/>
    <x v="6"/>
    <n v="0"/>
    <n v="0"/>
    <n v="0.78400000000000003"/>
    <n v="0.78400000000000003"/>
    <n v="0.78400000000000003"/>
    <n v="0.78400000000000003"/>
    <n v="0"/>
    <x v="0"/>
    <n v="0"/>
    <n v="0"/>
    <n v="22"/>
    <n v="32"/>
    <n v="0"/>
    <n v="303.06"/>
    <n v="223.07"/>
    <m/>
    <n v="427.94896026622922"/>
    <n v="133.74179569551256"/>
    <n v="0"/>
    <n v="237.59904"/>
    <n v="174.88687999999999"/>
    <n v="0"/>
    <n v="335.51198484872373"/>
    <n v="104.85356782528186"/>
  </r>
  <r>
    <s v="Regular"/>
    <x v="1"/>
    <x v="1"/>
    <x v="4"/>
    <x v="2"/>
    <x v="0"/>
    <x v="0"/>
    <x v="0"/>
    <x v="7"/>
    <n v="0"/>
    <n v="0"/>
    <n v="0.44600000000000001"/>
    <n v="0.44600000000000001"/>
    <n v="0.44600000000000001"/>
    <n v="0.44600000000000001"/>
    <n v="0"/>
    <x v="0"/>
    <n v="0"/>
    <n v="0"/>
    <n v="22"/>
    <n v="32"/>
    <n v="0"/>
    <n v="303.06"/>
    <n v="223.07"/>
    <m/>
    <n v="427.94896026622922"/>
    <n v="133.74179569551256"/>
    <n v="0"/>
    <n v="135.16476"/>
    <n v="99.489220000000003"/>
    <n v="0"/>
    <n v="190.86523627873822"/>
    <n v="59.648840880198605"/>
  </r>
  <r>
    <s v="Regular"/>
    <x v="1"/>
    <x v="1"/>
    <x v="4"/>
    <x v="2"/>
    <x v="0"/>
    <x v="0"/>
    <x v="0"/>
    <x v="8"/>
    <n v="0"/>
    <n v="0"/>
    <n v="0.29599999999999999"/>
    <n v="0.29599999999999999"/>
    <n v="0.29599999999999999"/>
    <n v="0.29599999999999999"/>
    <n v="0"/>
    <x v="0"/>
    <n v="0"/>
    <n v="0"/>
    <n v="22"/>
    <n v="32"/>
    <n v="0"/>
    <n v="303.06"/>
    <n v="223.07"/>
    <m/>
    <n v="427.94896026622922"/>
    <n v="133.74179569551256"/>
    <n v="0"/>
    <n v="89.705759999999998"/>
    <n v="66.028719999999993"/>
    <n v="0"/>
    <n v="126.67289223880384"/>
    <n v="39.587571525871716"/>
  </r>
  <r>
    <s v="Regular"/>
    <x v="1"/>
    <x v="1"/>
    <x v="4"/>
    <x v="2"/>
    <x v="0"/>
    <x v="0"/>
    <x v="0"/>
    <x v="9"/>
    <n v="0"/>
    <n v="0"/>
    <n v="0.28299999999999997"/>
    <n v="0.28299999999999997"/>
    <n v="0.28299999999999997"/>
    <n v="0.28299999999999997"/>
    <n v="0"/>
    <x v="0"/>
    <n v="0"/>
    <n v="0"/>
    <n v="22"/>
    <n v="32"/>
    <n v="0"/>
    <n v="303.06"/>
    <n v="223.07"/>
    <m/>
    <n v="427.94896026622922"/>
    <n v="133.74179569551256"/>
    <n v="0"/>
    <n v="85.765979999999999"/>
    <n v="63.128809999999994"/>
    <n v="0"/>
    <n v="121.10955575534285"/>
    <n v="37.848928181830054"/>
  </r>
  <r>
    <s v="Regular"/>
    <x v="1"/>
    <x v="1"/>
    <x v="4"/>
    <x v="2"/>
    <x v="0"/>
    <x v="0"/>
    <x v="0"/>
    <x v="10"/>
    <n v="0"/>
    <n v="0"/>
    <n v="0.26400000000000001"/>
    <n v="0.26400000000000001"/>
    <n v="0.26400000000000001"/>
    <n v="0.26400000000000001"/>
    <n v="0"/>
    <x v="0"/>
    <n v="0"/>
    <n v="0"/>
    <n v="22"/>
    <n v="32"/>
    <n v="0"/>
    <n v="303.06"/>
    <n v="223.07"/>
    <m/>
    <n v="427.94896026622922"/>
    <n v="133.74179569551256"/>
    <n v="0"/>
    <n v="80.007840000000002"/>
    <n v="58.890480000000004"/>
    <n v="0"/>
    <n v="112.97852551028451"/>
    <n v="35.307834063615317"/>
  </r>
  <r>
    <s v="Regular"/>
    <x v="1"/>
    <x v="1"/>
    <x v="4"/>
    <x v="2"/>
    <x v="0"/>
    <x v="0"/>
    <x v="0"/>
    <x v="11"/>
    <n v="0"/>
    <n v="0"/>
    <n v="0.35499999999999998"/>
    <n v="0.35499999999999998"/>
    <n v="0.35499999999999998"/>
    <n v="0.35499999999999998"/>
    <n v="0"/>
    <x v="0"/>
    <n v="0"/>
    <n v="0"/>
    <n v="22"/>
    <n v="32"/>
    <n v="0"/>
    <n v="303.06"/>
    <n v="223.07"/>
    <m/>
    <n v="427.94896026622922"/>
    <n v="133.74179569551256"/>
    <n v="0"/>
    <n v="107.58629999999999"/>
    <n v="79.189849999999993"/>
    <n v="0"/>
    <n v="151.92188089451136"/>
    <n v="47.478337471906961"/>
  </r>
  <r>
    <s v="Regular"/>
    <x v="1"/>
    <x v="1"/>
    <x v="4"/>
    <x v="2"/>
    <x v="0"/>
    <x v="0"/>
    <x v="3"/>
    <x v="0"/>
    <n v="0"/>
    <n v="0"/>
    <n v="1.9E-2"/>
    <n v="1.9E-2"/>
    <n v="1.9E-2"/>
    <n v="1.9E-2"/>
    <n v="0"/>
    <x v="0"/>
    <n v="0"/>
    <n v="0"/>
    <n v="26"/>
    <n v="38"/>
    <n v="0"/>
    <n v="724.93"/>
    <n v="223.07"/>
    <m/>
    <n v="1048.6050030598144"/>
    <n v="133.74179569551256"/>
    <n v="0"/>
    <n v="13.773669999999999"/>
    <n v="4.2383299999999995"/>
    <n v="0"/>
    <n v="19.923495058136474"/>
    <n v="2.5410941182147386"/>
  </r>
  <r>
    <s v="Regular"/>
    <x v="1"/>
    <x v="1"/>
    <x v="4"/>
    <x v="2"/>
    <x v="0"/>
    <x v="0"/>
    <x v="3"/>
    <x v="1"/>
    <n v="0"/>
    <n v="0"/>
    <n v="1.6E-2"/>
    <n v="1.6E-2"/>
    <n v="1.6E-2"/>
    <n v="1.6E-2"/>
    <n v="0"/>
    <x v="0"/>
    <n v="0"/>
    <n v="0"/>
    <n v="26"/>
    <n v="38"/>
    <n v="0"/>
    <n v="724.93"/>
    <n v="223.07"/>
    <m/>
    <n v="1048.6050030598144"/>
    <n v="133.74179569551256"/>
    <n v="0"/>
    <n v="11.598879999999999"/>
    <n v="3.5691199999999998"/>
    <n v="0"/>
    <n v="16.777680048957031"/>
    <n v="2.139868731128201"/>
  </r>
  <r>
    <s v="Regular"/>
    <x v="1"/>
    <x v="1"/>
    <x v="4"/>
    <x v="2"/>
    <x v="0"/>
    <x v="0"/>
    <x v="3"/>
    <x v="2"/>
    <n v="0"/>
    <n v="0"/>
    <n v="2.4E-2"/>
    <n v="2.4E-2"/>
    <n v="2.4E-2"/>
    <n v="2.4E-2"/>
    <n v="0"/>
    <x v="0"/>
    <n v="0"/>
    <n v="0"/>
    <n v="26"/>
    <n v="38"/>
    <n v="0"/>
    <n v="724.93"/>
    <n v="223.07"/>
    <m/>
    <n v="1048.6050030598144"/>
    <n v="133.74179569551256"/>
    <n v="0"/>
    <n v="17.398319999999998"/>
    <n v="5.3536799999999998"/>
    <n v="0"/>
    <n v="25.166520073435546"/>
    <n v="3.2098030966923017"/>
  </r>
  <r>
    <s v="Regular"/>
    <x v="1"/>
    <x v="1"/>
    <x v="4"/>
    <x v="2"/>
    <x v="0"/>
    <x v="0"/>
    <x v="3"/>
    <x v="3"/>
    <n v="0"/>
    <n v="0"/>
    <n v="1.4999999999999999E-2"/>
    <n v="1.4999999999999999E-2"/>
    <n v="1.4999999999999999E-2"/>
    <n v="1.4999999999999999E-2"/>
    <n v="0"/>
    <x v="0"/>
    <n v="0"/>
    <n v="0"/>
    <n v="26"/>
    <n v="38"/>
    <n v="0"/>
    <n v="724.93"/>
    <n v="223.07"/>
    <m/>
    <n v="1048.6050030598144"/>
    <n v="133.74179569551256"/>
    <n v="0"/>
    <n v="10.873949999999999"/>
    <n v="3.34605"/>
    <n v="0"/>
    <n v="15.729075045897215"/>
    <n v="2.0061269354326883"/>
  </r>
  <r>
    <s v="Regular"/>
    <x v="1"/>
    <x v="1"/>
    <x v="4"/>
    <x v="2"/>
    <x v="0"/>
    <x v="0"/>
    <x v="3"/>
    <x v="4"/>
    <n v="0"/>
    <n v="0"/>
    <n v="3.4000000000000002E-2"/>
    <n v="3.4000000000000002E-2"/>
    <n v="3.4000000000000002E-2"/>
    <n v="3.4000000000000002E-2"/>
    <n v="0"/>
    <x v="0"/>
    <n v="0"/>
    <n v="0"/>
    <n v="26"/>
    <n v="38"/>
    <n v="0"/>
    <n v="724.93"/>
    <n v="223.07"/>
    <m/>
    <n v="1048.6050030598144"/>
    <n v="133.74179569551256"/>
    <n v="0"/>
    <n v="24.64762"/>
    <n v="7.5843800000000003"/>
    <n v="0"/>
    <n v="35.652570104033693"/>
    <n v="4.5472210536474273"/>
  </r>
  <r>
    <s v="Regular"/>
    <x v="1"/>
    <x v="1"/>
    <x v="4"/>
    <x v="2"/>
    <x v="0"/>
    <x v="0"/>
    <x v="3"/>
    <x v="5"/>
    <n v="0"/>
    <n v="0"/>
    <n v="2.1999999999999999E-2"/>
    <n v="2.1999999999999999E-2"/>
    <n v="2.1999999999999999E-2"/>
    <n v="2.1999999999999999E-2"/>
    <n v="0"/>
    <x v="0"/>
    <n v="0"/>
    <n v="0"/>
    <n v="26"/>
    <n v="38"/>
    <n v="0"/>
    <n v="724.93"/>
    <n v="223.07"/>
    <m/>
    <n v="1048.6050030598144"/>
    <n v="133.74179569551256"/>
    <n v="0"/>
    <n v="15.948459999999997"/>
    <n v="4.9075399999999991"/>
    <n v="0"/>
    <n v="23.069310067315914"/>
    <n v="2.9423195053012763"/>
  </r>
  <r>
    <s v="Regular"/>
    <x v="1"/>
    <x v="1"/>
    <x v="4"/>
    <x v="2"/>
    <x v="0"/>
    <x v="0"/>
    <x v="3"/>
    <x v="6"/>
    <n v="0"/>
    <n v="0"/>
    <n v="3.6999999999999998E-2"/>
    <n v="3.6999999999999998E-2"/>
    <n v="3.6999999999999998E-2"/>
    <n v="3.6999999999999998E-2"/>
    <n v="0"/>
    <x v="0"/>
    <n v="0"/>
    <n v="0"/>
    <n v="26"/>
    <n v="38"/>
    <n v="0"/>
    <n v="724.93"/>
    <n v="223.07"/>
    <m/>
    <n v="1048.6050030598144"/>
    <n v="133.74179569551256"/>
    <n v="0"/>
    <n v="26.822409999999998"/>
    <n v="8.2535899999999991"/>
    <n v="0"/>
    <n v="38.798385113213129"/>
    <n v="4.9484464407339646"/>
  </r>
  <r>
    <s v="Regular"/>
    <x v="1"/>
    <x v="1"/>
    <x v="4"/>
    <x v="2"/>
    <x v="0"/>
    <x v="0"/>
    <x v="3"/>
    <x v="7"/>
    <n v="0"/>
    <n v="0"/>
    <n v="2.1999999999999999E-2"/>
    <n v="2.1999999999999999E-2"/>
    <n v="2.1999999999999999E-2"/>
    <n v="2.1999999999999999E-2"/>
    <n v="0"/>
    <x v="0"/>
    <n v="0"/>
    <n v="0"/>
    <n v="26"/>
    <n v="38"/>
    <n v="0"/>
    <n v="724.93"/>
    <n v="223.07"/>
    <m/>
    <n v="1048.6050030598144"/>
    <n v="133.74179569551256"/>
    <n v="0"/>
    <n v="15.948459999999997"/>
    <n v="4.9075399999999991"/>
    <n v="0"/>
    <n v="23.069310067315914"/>
    <n v="2.9423195053012763"/>
  </r>
  <r>
    <s v="Regular"/>
    <x v="1"/>
    <x v="1"/>
    <x v="4"/>
    <x v="2"/>
    <x v="0"/>
    <x v="0"/>
    <x v="3"/>
    <x v="8"/>
    <n v="0"/>
    <n v="0"/>
    <n v="1.2E-2"/>
    <n v="1.2E-2"/>
    <n v="1.2E-2"/>
    <n v="1.2E-2"/>
    <n v="0"/>
    <x v="0"/>
    <n v="0"/>
    <n v="0"/>
    <n v="26"/>
    <n v="38"/>
    <n v="0"/>
    <n v="724.93"/>
    <n v="223.07"/>
    <m/>
    <n v="1048.6050030598144"/>
    <n v="133.74179569551256"/>
    <n v="0"/>
    <n v="8.6991599999999991"/>
    <n v="2.6768399999999999"/>
    <n v="0"/>
    <n v="12.583260036717773"/>
    <n v="1.6049015483461508"/>
  </r>
  <r>
    <s v="Regular"/>
    <x v="1"/>
    <x v="1"/>
    <x v="4"/>
    <x v="2"/>
    <x v="0"/>
    <x v="0"/>
    <x v="3"/>
    <x v="9"/>
    <n v="0"/>
    <n v="0"/>
    <n v="1.4999999999999999E-2"/>
    <n v="1.4999999999999999E-2"/>
    <n v="1.4999999999999999E-2"/>
    <n v="1.4999999999999999E-2"/>
    <n v="0"/>
    <x v="0"/>
    <n v="0"/>
    <n v="0"/>
    <n v="26"/>
    <n v="38"/>
    <n v="0"/>
    <n v="724.93"/>
    <n v="223.07"/>
    <m/>
    <n v="1048.6050030598144"/>
    <n v="133.74179569551256"/>
    <n v="0"/>
    <n v="10.873949999999999"/>
    <n v="3.34605"/>
    <n v="0"/>
    <n v="15.729075045897215"/>
    <n v="2.0061269354326883"/>
  </r>
  <r>
    <s v="Regular"/>
    <x v="1"/>
    <x v="1"/>
    <x v="4"/>
    <x v="2"/>
    <x v="0"/>
    <x v="0"/>
    <x v="3"/>
    <x v="10"/>
    <n v="0"/>
    <n v="0"/>
    <n v="1.2999999999999999E-2"/>
    <n v="1.2999999999999999E-2"/>
    <n v="1.2999999999999999E-2"/>
    <n v="1.2999999999999999E-2"/>
    <n v="0"/>
    <x v="0"/>
    <n v="0"/>
    <n v="0"/>
    <n v="26"/>
    <n v="38"/>
    <n v="0"/>
    <n v="724.93"/>
    <n v="223.07"/>
    <m/>
    <n v="1048.6050030598144"/>
    <n v="133.74179569551256"/>
    <n v="0"/>
    <n v="9.4240899999999996"/>
    <n v="2.8999099999999998"/>
    <n v="0"/>
    <n v="13.631865039777587"/>
    <n v="1.7386433440416633"/>
  </r>
  <r>
    <s v="Regular"/>
    <x v="1"/>
    <x v="1"/>
    <x v="4"/>
    <x v="2"/>
    <x v="0"/>
    <x v="0"/>
    <x v="3"/>
    <x v="11"/>
    <n v="0"/>
    <n v="0"/>
    <n v="1.9E-2"/>
    <n v="1.9E-2"/>
    <n v="1.9E-2"/>
    <n v="1.9E-2"/>
    <n v="0"/>
    <x v="0"/>
    <n v="0"/>
    <n v="0"/>
    <n v="26"/>
    <n v="38"/>
    <n v="0"/>
    <n v="724.93"/>
    <n v="223.07"/>
    <m/>
    <n v="1048.6050030598144"/>
    <n v="133.74179569551256"/>
    <n v="0"/>
    <n v="13.773669999999999"/>
    <n v="4.2383299999999995"/>
    <n v="0"/>
    <n v="19.923495058136474"/>
    <n v="2.5410941182147386"/>
  </r>
  <r>
    <s v="Regular"/>
    <x v="1"/>
    <x v="1"/>
    <x v="4"/>
    <x v="2"/>
    <x v="0"/>
    <x v="0"/>
    <x v="2"/>
    <x v="0"/>
    <n v="0"/>
    <n v="0"/>
    <n v="0.03"/>
    <n v="0.03"/>
    <n v="0.03"/>
    <n v="0.03"/>
    <n v="0"/>
    <x v="0"/>
    <n v="0"/>
    <n v="0"/>
    <n v="1"/>
    <n v="29"/>
    <n v="0"/>
    <n v="1146.8699999999999"/>
    <n v="223.07"/>
    <m/>
    <n v="1669.3292850318282"/>
    <n v="133.74179569551256"/>
    <n v="0"/>
    <n v="34.406099999999995"/>
    <n v="6.6920999999999999"/>
    <n v="0"/>
    <n v="50.079878550954845"/>
    <n v="4.0122538708653765"/>
  </r>
  <r>
    <s v="Regular"/>
    <x v="1"/>
    <x v="1"/>
    <x v="4"/>
    <x v="2"/>
    <x v="0"/>
    <x v="0"/>
    <x v="2"/>
    <x v="1"/>
    <n v="0"/>
    <n v="0"/>
    <n v="2.1000000000000001E-2"/>
    <n v="2.1000000000000001E-2"/>
    <n v="2.1000000000000001E-2"/>
    <n v="2.1000000000000001E-2"/>
    <n v="0"/>
    <x v="0"/>
    <n v="0"/>
    <n v="0"/>
    <n v="1"/>
    <n v="29"/>
    <n v="0"/>
    <n v="1146.8699999999999"/>
    <n v="223.07"/>
    <m/>
    <n v="1669.3292850318282"/>
    <n v="133.74179569551256"/>
    <n v="0"/>
    <n v="24.08427"/>
    <n v="4.6844700000000001"/>
    <n v="0"/>
    <n v="35.055914985668394"/>
    <n v="2.808577709605764"/>
  </r>
  <r>
    <s v="Regular"/>
    <x v="1"/>
    <x v="1"/>
    <x v="4"/>
    <x v="2"/>
    <x v="0"/>
    <x v="0"/>
    <x v="2"/>
    <x v="2"/>
    <n v="0"/>
    <n v="0"/>
    <n v="0.11600000000000001"/>
    <n v="0.11600000000000001"/>
    <n v="0.11600000000000001"/>
    <n v="0.11600000000000001"/>
    <n v="0"/>
    <x v="0"/>
    <n v="0"/>
    <n v="0"/>
    <n v="1"/>
    <n v="29"/>
    <n v="0"/>
    <n v="1146.8699999999999"/>
    <n v="223.07"/>
    <m/>
    <n v="1669.3292850318282"/>
    <n v="133.74179569551256"/>
    <n v="0"/>
    <n v="133.03691999999998"/>
    <n v="25.87612"/>
    <n v="0"/>
    <n v="193.64219706369209"/>
    <n v="15.514048300679459"/>
  </r>
  <r>
    <s v="Regular"/>
    <x v="1"/>
    <x v="1"/>
    <x v="4"/>
    <x v="2"/>
    <x v="0"/>
    <x v="0"/>
    <x v="2"/>
    <x v="3"/>
    <n v="0"/>
    <n v="0"/>
    <n v="0.03"/>
    <n v="0.03"/>
    <n v="0.03"/>
    <n v="0.03"/>
    <n v="0"/>
    <x v="0"/>
    <n v="0"/>
    <n v="0"/>
    <n v="1"/>
    <n v="29"/>
    <n v="0"/>
    <n v="1146.8699999999999"/>
    <n v="223.07"/>
    <m/>
    <n v="1669.3292850318282"/>
    <n v="133.74179569551256"/>
    <n v="0"/>
    <n v="34.406099999999995"/>
    <n v="6.6920999999999999"/>
    <n v="0"/>
    <n v="50.079878550954845"/>
    <n v="4.0122538708653765"/>
  </r>
  <r>
    <s v="Regular"/>
    <x v="1"/>
    <x v="1"/>
    <x v="4"/>
    <x v="2"/>
    <x v="0"/>
    <x v="0"/>
    <x v="2"/>
    <x v="4"/>
    <n v="0"/>
    <n v="0"/>
    <n v="4.7E-2"/>
    <n v="4.7E-2"/>
    <n v="4.7E-2"/>
    <n v="4.7E-2"/>
    <n v="0"/>
    <x v="0"/>
    <n v="0"/>
    <n v="0"/>
    <n v="1"/>
    <n v="29"/>
    <n v="0"/>
    <n v="1146.8699999999999"/>
    <n v="223.07"/>
    <m/>
    <n v="1669.3292850318282"/>
    <n v="133.74179569551256"/>
    <n v="0"/>
    <n v="53.902889999999992"/>
    <n v="10.48429"/>
    <n v="0"/>
    <n v="78.458476396495925"/>
    <n v="6.2858643976890907"/>
  </r>
  <r>
    <s v="Regular"/>
    <x v="1"/>
    <x v="1"/>
    <x v="4"/>
    <x v="2"/>
    <x v="0"/>
    <x v="0"/>
    <x v="2"/>
    <x v="5"/>
    <n v="0"/>
    <n v="0"/>
    <n v="4.2000000000000003E-2"/>
    <n v="4.2000000000000003E-2"/>
    <n v="4.2000000000000003E-2"/>
    <n v="4.2000000000000003E-2"/>
    <n v="0"/>
    <x v="0"/>
    <n v="0"/>
    <n v="0"/>
    <n v="1"/>
    <n v="29"/>
    <n v="0"/>
    <n v="1146.8699999999999"/>
    <n v="223.07"/>
    <m/>
    <n v="1669.3292850318282"/>
    <n v="133.74179569551256"/>
    <n v="0"/>
    <n v="48.16854"/>
    <n v="9.3689400000000003"/>
    <n v="0"/>
    <n v="70.111829971336789"/>
    <n v="5.6171554192115281"/>
  </r>
  <r>
    <s v="Regular"/>
    <x v="1"/>
    <x v="1"/>
    <x v="4"/>
    <x v="2"/>
    <x v="0"/>
    <x v="0"/>
    <x v="2"/>
    <x v="6"/>
    <n v="0"/>
    <n v="0"/>
    <n v="5.7000000000000002E-2"/>
    <n v="5.7000000000000002E-2"/>
    <n v="5.7000000000000002E-2"/>
    <n v="5.7000000000000002E-2"/>
    <n v="0"/>
    <x v="0"/>
    <n v="0"/>
    <n v="0"/>
    <n v="1"/>
    <n v="29"/>
    <n v="0"/>
    <n v="1146.8699999999999"/>
    <n v="223.07"/>
    <m/>
    <n v="1669.3292850318282"/>
    <n v="133.74179569551256"/>
    <n v="0"/>
    <n v="65.371589999999998"/>
    <n v="12.71499"/>
    <n v="0"/>
    <n v="95.151769246814212"/>
    <n v="7.6232823546442168"/>
  </r>
  <r>
    <s v="Regular"/>
    <x v="1"/>
    <x v="1"/>
    <x v="4"/>
    <x v="2"/>
    <x v="0"/>
    <x v="0"/>
    <x v="2"/>
    <x v="7"/>
    <n v="0"/>
    <n v="0"/>
    <n v="3.9E-2"/>
    <n v="3.9E-2"/>
    <n v="3.9E-2"/>
    <n v="3.9E-2"/>
    <n v="0"/>
    <x v="0"/>
    <n v="0"/>
    <n v="0"/>
    <n v="1"/>
    <n v="29"/>
    <n v="0"/>
    <n v="1146.8699999999999"/>
    <n v="223.07"/>
    <m/>
    <n v="1669.3292850318282"/>
    <n v="133.74179569551256"/>
    <n v="0"/>
    <n v="44.727929999999994"/>
    <n v="8.6997299999999989"/>
    <n v="0"/>
    <n v="65.103842116241296"/>
    <n v="5.21593003212499"/>
  </r>
  <r>
    <s v="Regular"/>
    <x v="1"/>
    <x v="1"/>
    <x v="4"/>
    <x v="2"/>
    <x v="0"/>
    <x v="0"/>
    <x v="2"/>
    <x v="8"/>
    <n v="0"/>
    <n v="0"/>
    <n v="2.3E-2"/>
    <n v="2.3E-2"/>
    <n v="2.3E-2"/>
    <n v="2.3E-2"/>
    <n v="0"/>
    <x v="0"/>
    <n v="0"/>
    <n v="0"/>
    <n v="1"/>
    <n v="29"/>
    <n v="0"/>
    <n v="1146.8699999999999"/>
    <n v="223.07"/>
    <m/>
    <n v="1669.3292850318282"/>
    <n v="133.74179569551256"/>
    <n v="0"/>
    <n v="26.378009999999996"/>
    <n v="5.1306099999999999"/>
    <n v="0"/>
    <n v="38.394573555732052"/>
    <n v="3.076061300996789"/>
  </r>
  <r>
    <s v="Regular"/>
    <x v="1"/>
    <x v="1"/>
    <x v="4"/>
    <x v="2"/>
    <x v="0"/>
    <x v="0"/>
    <x v="2"/>
    <x v="9"/>
    <n v="0"/>
    <n v="0"/>
    <n v="2.5999999999999999E-2"/>
    <n v="2.5999999999999999E-2"/>
    <n v="2.5999999999999999E-2"/>
    <n v="2.5999999999999999E-2"/>
    <n v="0"/>
    <x v="0"/>
    <n v="0"/>
    <n v="0"/>
    <n v="1"/>
    <n v="29"/>
    <n v="0"/>
    <n v="1146.8699999999999"/>
    <n v="223.07"/>
    <m/>
    <n v="1669.3292850318282"/>
    <n v="133.74179569551256"/>
    <n v="0"/>
    <n v="29.818619999999996"/>
    <n v="5.7998199999999995"/>
    <n v="0"/>
    <n v="43.402561410827531"/>
    <n v="3.4772866880833266"/>
  </r>
  <r>
    <s v="Regular"/>
    <x v="1"/>
    <x v="1"/>
    <x v="4"/>
    <x v="2"/>
    <x v="0"/>
    <x v="0"/>
    <x v="2"/>
    <x v="10"/>
    <n v="0"/>
    <n v="0"/>
    <n v="2.5000000000000001E-2"/>
    <n v="2.5000000000000001E-2"/>
    <n v="2.5000000000000001E-2"/>
    <n v="2.5000000000000001E-2"/>
    <n v="0"/>
    <x v="0"/>
    <n v="0"/>
    <n v="0"/>
    <n v="1"/>
    <n v="29"/>
    <n v="0"/>
    <n v="1146.8699999999999"/>
    <n v="223.07"/>
    <m/>
    <n v="1669.3292850318282"/>
    <n v="133.74179569551256"/>
    <n v="0"/>
    <n v="28.671749999999999"/>
    <n v="5.5767500000000005"/>
    <n v="0"/>
    <n v="41.733232125795709"/>
    <n v="3.3435448923878144"/>
  </r>
  <r>
    <s v="Regular"/>
    <x v="1"/>
    <x v="1"/>
    <x v="4"/>
    <x v="2"/>
    <x v="0"/>
    <x v="0"/>
    <x v="2"/>
    <x v="11"/>
    <n v="0"/>
    <n v="0"/>
    <n v="3.9E-2"/>
    <n v="3.9E-2"/>
    <n v="3.9E-2"/>
    <n v="3.9E-2"/>
    <n v="0"/>
    <x v="0"/>
    <n v="0"/>
    <n v="0"/>
    <n v="1"/>
    <n v="29"/>
    <n v="0"/>
    <n v="1146.8699999999999"/>
    <n v="223.07"/>
    <m/>
    <n v="1669.3292850318282"/>
    <n v="133.74179569551256"/>
    <n v="0"/>
    <n v="44.727929999999994"/>
    <n v="8.6997299999999989"/>
    <n v="0"/>
    <n v="65.103842116241296"/>
    <n v="5.21593003212499"/>
  </r>
  <r>
    <s v="Regular"/>
    <x v="1"/>
    <x v="2"/>
    <x v="4"/>
    <x v="2"/>
    <x v="0"/>
    <x v="0"/>
    <x v="1"/>
    <x v="0"/>
    <n v="0"/>
    <n v="0"/>
    <n v="2217.5830000000001"/>
    <n v="2217.5830000000001"/>
    <n v="2217.5830000000001"/>
    <n v="2217.5830000000001"/>
    <n v="13311"/>
    <x v="0"/>
    <n v="0"/>
    <n v="0"/>
    <n v="18"/>
    <n v="42"/>
    <n v="0"/>
    <n v="482.65"/>
    <n v="223.07"/>
    <m/>
    <n v="692.19856331572464"/>
    <n v="133.74179569551256"/>
    <n v="0"/>
    <n v="1070316.4349499999"/>
    <n v="494676.23981"/>
    <n v="0"/>
    <n v="1535007.7666333746"/>
    <n v="296583.53252384183"/>
  </r>
  <r>
    <s v="Refaturamento - Regular"/>
    <x v="1"/>
    <x v="2"/>
    <x v="4"/>
    <x v="2"/>
    <x v="0"/>
    <x v="0"/>
    <x v="1"/>
    <x v="0"/>
    <n v="0"/>
    <n v="0"/>
    <n v="-0.09"/>
    <n v="-0.09"/>
    <n v="-0.09"/>
    <n v="-0.09"/>
    <n v="0"/>
    <x v="0"/>
    <n v="0"/>
    <n v="0"/>
    <n v="18"/>
    <n v="42"/>
    <n v="0"/>
    <n v="482.65"/>
    <n v="223.07"/>
    <m/>
    <n v="692.19856331572464"/>
    <n v="133.74179569551256"/>
    <n v="0"/>
    <n v="-43.438499999999998"/>
    <n v="-20.0763"/>
    <n v="0"/>
    <n v="-62.297870698415217"/>
    <n v="-12.036761612596131"/>
  </r>
  <r>
    <s v="Sistema de Compensação"/>
    <x v="1"/>
    <x v="2"/>
    <x v="4"/>
    <x v="2"/>
    <x v="0"/>
    <x v="0"/>
    <x v="1"/>
    <x v="0"/>
    <n v="0"/>
    <n v="0"/>
    <n v="29.766999999999999"/>
    <n v="29.766999999999999"/>
    <n v="29.766999999999999"/>
    <n v="29.766999999999999"/>
    <n v="173"/>
    <x v="0"/>
    <n v="0"/>
    <n v="0"/>
    <n v="18"/>
    <n v="42"/>
    <n v="0"/>
    <n v="482.65"/>
    <n v="223.07"/>
    <m/>
    <n v="692.19856331572464"/>
    <n v="133.74179569551256"/>
    <n v="0"/>
    <n v="14367.042549999998"/>
    <n v="6640.1246899999996"/>
    <n v="0"/>
    <n v="20604.674634219176"/>
    <n v="3981.0920324683225"/>
  </r>
  <r>
    <s v="Sistema de Compensação"/>
    <x v="1"/>
    <x v="2"/>
    <x v="4"/>
    <x v="2"/>
    <x v="0"/>
    <x v="0"/>
    <x v="1"/>
    <x v="0"/>
    <n v="0"/>
    <n v="0"/>
    <n v="-0.23400000000000001"/>
    <n v="-0.23400000000000001"/>
    <n v="-0.23400000000000001"/>
    <n v="-0.23400000000000001"/>
    <n v="2"/>
    <x v="0"/>
    <n v="0"/>
    <n v="0"/>
    <n v="18"/>
    <n v="42"/>
    <n v="0"/>
    <n v="482.65"/>
    <n v="223.07"/>
    <m/>
    <n v="692.19856331572464"/>
    <n v="133.74179569551256"/>
    <n v="0"/>
    <n v="-112.9401"/>
    <n v="-52.19838"/>
    <n v="0"/>
    <n v="-161.97446381587957"/>
    <n v="-31.295580192749942"/>
  </r>
  <r>
    <s v="Regular"/>
    <x v="1"/>
    <x v="2"/>
    <x v="4"/>
    <x v="2"/>
    <x v="0"/>
    <x v="0"/>
    <x v="1"/>
    <x v="1"/>
    <n v="0"/>
    <n v="0"/>
    <n v="2158.1280000000002"/>
    <n v="2158.1280000000002"/>
    <n v="2158.1280000000002"/>
    <n v="2158.1280000000002"/>
    <n v="13363"/>
    <x v="0"/>
    <n v="0"/>
    <n v="0"/>
    <n v="18"/>
    <n v="42"/>
    <n v="0"/>
    <n v="482.65"/>
    <n v="223.07"/>
    <m/>
    <n v="692.19856331572464"/>
    <n v="133.74179569551256"/>
    <n v="0"/>
    <n v="1041620.4792000001"/>
    <n v="481413.61296"/>
    <n v="0"/>
    <n v="1493853.1010514384"/>
    <n v="288631.91406076518"/>
  </r>
  <r>
    <s v="Refaturamento - Regular"/>
    <x v="1"/>
    <x v="2"/>
    <x v="4"/>
    <x v="2"/>
    <x v="0"/>
    <x v="0"/>
    <x v="1"/>
    <x v="1"/>
    <n v="0"/>
    <n v="0"/>
    <n v="-1.913"/>
    <n v="-1.913"/>
    <n v="-1.913"/>
    <n v="-1.913"/>
    <n v="0"/>
    <x v="0"/>
    <n v="0"/>
    <n v="0"/>
    <n v="18"/>
    <n v="42"/>
    <n v="0"/>
    <n v="482.65"/>
    <n v="223.07"/>
    <m/>
    <n v="692.19856331572464"/>
    <n v="133.74179569551256"/>
    <n v="0"/>
    <n v="-923.30944999999997"/>
    <n v="-426.73291"/>
    <n v="0"/>
    <n v="-1324.1758516229813"/>
    <n v="-255.84805516551555"/>
  </r>
  <r>
    <s v="Sistema de Compensação"/>
    <x v="1"/>
    <x v="2"/>
    <x v="4"/>
    <x v="2"/>
    <x v="0"/>
    <x v="0"/>
    <x v="1"/>
    <x v="1"/>
    <n v="0"/>
    <n v="0"/>
    <n v="33.496000000000002"/>
    <n v="33.496000000000002"/>
    <n v="33.496000000000002"/>
    <n v="33.496000000000002"/>
    <n v="192"/>
    <x v="0"/>
    <n v="0"/>
    <n v="0"/>
    <n v="18"/>
    <n v="42"/>
    <n v="0"/>
    <n v="482.65"/>
    <n v="223.07"/>
    <m/>
    <n v="692.19856331572464"/>
    <n v="133.74179569551256"/>
    <n v="0"/>
    <n v="16166.8444"/>
    <n v="7471.9527200000002"/>
    <n v="0"/>
    <n v="23185.883076823513"/>
    <n v="4479.8151886168889"/>
  </r>
  <r>
    <s v="Regular"/>
    <x v="1"/>
    <x v="2"/>
    <x v="4"/>
    <x v="2"/>
    <x v="0"/>
    <x v="0"/>
    <x v="1"/>
    <x v="2"/>
    <n v="0"/>
    <n v="0"/>
    <n v="2260.319"/>
    <n v="2260.319"/>
    <n v="2260.319"/>
    <n v="2260.319"/>
    <n v="13411"/>
    <x v="0"/>
    <n v="0"/>
    <n v="0"/>
    <n v="18"/>
    <n v="42"/>
    <n v="0"/>
    <n v="482.65"/>
    <n v="223.07"/>
    <m/>
    <n v="692.19856331572464"/>
    <n v="133.74179569551256"/>
    <n v="0"/>
    <n v="1090942.96535"/>
    <n v="504209.35932999995"/>
    <n v="0"/>
    <n v="1564589.5644352355"/>
    <n v="302299.12190468528"/>
  </r>
  <r>
    <s v="Refaturamento - Regular"/>
    <x v="1"/>
    <x v="2"/>
    <x v="4"/>
    <x v="2"/>
    <x v="0"/>
    <x v="0"/>
    <x v="1"/>
    <x v="2"/>
    <n v="0"/>
    <n v="0"/>
    <n v="-1.266"/>
    <n v="-1.266"/>
    <n v="-1.266"/>
    <n v="-1.266"/>
    <n v="0"/>
    <x v="0"/>
    <n v="0"/>
    <n v="0"/>
    <n v="18"/>
    <n v="42"/>
    <n v="0"/>
    <n v="482.65"/>
    <n v="223.07"/>
    <m/>
    <n v="692.19856331572464"/>
    <n v="133.74179569551256"/>
    <n v="0"/>
    <n v="-611.03489999999999"/>
    <n v="-282.40661999999998"/>
    <n v="0"/>
    <n v="-876.32338115770744"/>
    <n v="-169.31711335051889"/>
  </r>
  <r>
    <s v="Sistema de Compensação"/>
    <x v="1"/>
    <x v="2"/>
    <x v="4"/>
    <x v="2"/>
    <x v="0"/>
    <x v="0"/>
    <x v="1"/>
    <x v="2"/>
    <n v="0"/>
    <n v="0"/>
    <n v="27.536999999999999"/>
    <n v="27.536999999999999"/>
    <n v="27.536999999999999"/>
    <n v="27.536999999999999"/>
    <n v="213"/>
    <x v="0"/>
    <n v="0"/>
    <n v="0"/>
    <n v="18"/>
    <n v="42"/>
    <n v="0"/>
    <n v="482.65"/>
    <n v="223.07"/>
    <m/>
    <n v="692.19856331572464"/>
    <n v="133.74179569551256"/>
    <n v="0"/>
    <n v="13290.733049999999"/>
    <n v="6142.6785899999995"/>
    <n v="0"/>
    <n v="19061.071838025109"/>
    <n v="3682.8478280673294"/>
  </r>
  <r>
    <s v="Regular"/>
    <x v="1"/>
    <x v="2"/>
    <x v="4"/>
    <x v="2"/>
    <x v="0"/>
    <x v="0"/>
    <x v="1"/>
    <x v="3"/>
    <n v="0"/>
    <n v="0"/>
    <n v="2234.596"/>
    <n v="2234.596"/>
    <n v="2234.596"/>
    <n v="2234.596"/>
    <n v="13510"/>
    <x v="0"/>
    <n v="0"/>
    <n v="0"/>
    <n v="18"/>
    <n v="42"/>
    <n v="0"/>
    <n v="482.65"/>
    <n v="223.07"/>
    <m/>
    <n v="692.19856331572464"/>
    <n v="133.74179569551256"/>
    <n v="0"/>
    <n v="1078527.7593999999"/>
    <n v="498471.32971999998"/>
    <n v="0"/>
    <n v="1546784.1407910651"/>
    <n v="298858.88169400959"/>
  </r>
  <r>
    <s v="Refaturamento - Regular"/>
    <x v="1"/>
    <x v="2"/>
    <x v="4"/>
    <x v="2"/>
    <x v="0"/>
    <x v="0"/>
    <x v="1"/>
    <x v="3"/>
    <n v="0"/>
    <n v="0"/>
    <n v="-109.896"/>
    <n v="-109.896"/>
    <n v="-109.896"/>
    <n v="-109.896"/>
    <n v="0"/>
    <x v="0"/>
    <n v="0"/>
    <n v="0"/>
    <n v="18"/>
    <n v="42"/>
    <n v="0"/>
    <n v="482.65"/>
    <n v="223.07"/>
    <m/>
    <n v="692.19856331572464"/>
    <n v="133.74179569551256"/>
    <n v="0"/>
    <n v="-53041.304400000001"/>
    <n v="-24514.50072"/>
    <n v="0"/>
    <n v="-76069.853314144872"/>
    <n v="-14697.688379754049"/>
  </r>
  <r>
    <s v="Sistema de Compensação"/>
    <x v="1"/>
    <x v="2"/>
    <x v="4"/>
    <x v="2"/>
    <x v="0"/>
    <x v="0"/>
    <x v="1"/>
    <x v="3"/>
    <n v="0"/>
    <n v="0"/>
    <n v="28.148"/>
    <n v="28.148"/>
    <n v="28.148"/>
    <n v="28.148"/>
    <n v="228"/>
    <x v="0"/>
    <n v="0"/>
    <n v="0"/>
    <n v="18"/>
    <n v="42"/>
    <n v="0"/>
    <n v="482.65"/>
    <n v="223.07"/>
    <m/>
    <n v="692.19856331572464"/>
    <n v="133.74179569551256"/>
    <n v="0"/>
    <n v="13585.6322"/>
    <n v="6278.9743600000002"/>
    <n v="0"/>
    <n v="19484.005160211018"/>
    <n v="3764.5640652372877"/>
  </r>
  <r>
    <s v="Regular"/>
    <x v="1"/>
    <x v="2"/>
    <x v="4"/>
    <x v="2"/>
    <x v="0"/>
    <x v="0"/>
    <x v="1"/>
    <x v="4"/>
    <n v="0"/>
    <n v="0"/>
    <n v="3119.2469999999998"/>
    <n v="3119.2469999999998"/>
    <n v="3119.2469999999998"/>
    <n v="3119.2469999999998"/>
    <n v="13518"/>
    <x v="0"/>
    <n v="0"/>
    <n v="0"/>
    <n v="18"/>
    <n v="42"/>
    <n v="0"/>
    <n v="482.65"/>
    <n v="223.07"/>
    <m/>
    <n v="692.19856331572464"/>
    <n v="133.74179569551256"/>
    <n v="0"/>
    <n v="1505504.5645499998"/>
    <n v="695810.42828999995"/>
    <n v="0"/>
    <n v="2159138.2920268839"/>
    <n v="417173.69499784044"/>
  </r>
  <r>
    <s v="Refaturamento - Regular"/>
    <x v="1"/>
    <x v="2"/>
    <x v="4"/>
    <x v="2"/>
    <x v="0"/>
    <x v="0"/>
    <x v="1"/>
    <x v="4"/>
    <n v="0"/>
    <n v="0"/>
    <n v="-0.78500000000000003"/>
    <n v="-0.78500000000000003"/>
    <n v="-0.78500000000000003"/>
    <n v="-0.78500000000000003"/>
    <n v="0"/>
    <x v="0"/>
    <n v="0"/>
    <n v="0"/>
    <n v="18"/>
    <n v="42"/>
    <n v="0"/>
    <n v="482.65"/>
    <n v="223.07"/>
    <m/>
    <n v="692.19856331572464"/>
    <n v="133.74179569551256"/>
    <n v="0"/>
    <n v="-378.88024999999999"/>
    <n v="-175.10995"/>
    <n v="0"/>
    <n v="-543.37587220284388"/>
    <n v="-104.98730962097737"/>
  </r>
  <r>
    <s v="Sistema de Compensação"/>
    <x v="1"/>
    <x v="2"/>
    <x v="4"/>
    <x v="2"/>
    <x v="0"/>
    <x v="0"/>
    <x v="1"/>
    <x v="4"/>
    <n v="0"/>
    <n v="0"/>
    <n v="39.787999999999997"/>
    <n v="39.787999999999997"/>
    <n v="39.787999999999997"/>
    <n v="39.787999999999997"/>
    <n v="236"/>
    <x v="0"/>
    <n v="0"/>
    <n v="0"/>
    <n v="18"/>
    <n v="42"/>
    <n v="0"/>
    <n v="482.65"/>
    <n v="223.07"/>
    <m/>
    <n v="692.19856331572464"/>
    <n v="133.74179569551256"/>
    <n v="0"/>
    <n v="19203.678199999998"/>
    <n v="8875.5091599999996"/>
    <n v="0"/>
    <n v="27541.19643720605"/>
    <n v="5321.3185671330539"/>
  </r>
  <r>
    <s v="Regular"/>
    <x v="1"/>
    <x v="2"/>
    <x v="4"/>
    <x v="2"/>
    <x v="0"/>
    <x v="0"/>
    <x v="1"/>
    <x v="5"/>
    <n v="0"/>
    <n v="0"/>
    <n v="3250.5459999999998"/>
    <n v="3250.5459999999998"/>
    <n v="3250.5459999999998"/>
    <n v="3250.5459999999998"/>
    <n v="13567"/>
    <x v="0"/>
    <n v="0"/>
    <n v="0"/>
    <n v="18"/>
    <n v="42"/>
    <n v="0"/>
    <n v="482.65"/>
    <n v="223.07"/>
    <m/>
    <n v="692.19856331572464"/>
    <n v="133.74179569551256"/>
    <n v="0"/>
    <n v="1568876.0268999999"/>
    <n v="725099.2962199999"/>
    <n v="0"/>
    <n v="2250023.2711916752"/>
    <n v="434733.85903086554"/>
  </r>
  <r>
    <s v="Refaturamento - Regular"/>
    <x v="1"/>
    <x v="2"/>
    <x v="4"/>
    <x v="2"/>
    <x v="0"/>
    <x v="0"/>
    <x v="1"/>
    <x v="5"/>
    <n v="0"/>
    <n v="0"/>
    <n v="-0.84799999999999998"/>
    <n v="-0.84799999999999998"/>
    <n v="-0.84799999999999998"/>
    <n v="-0.84799999999999998"/>
    <n v="0"/>
    <x v="0"/>
    <n v="0"/>
    <n v="0"/>
    <n v="18"/>
    <n v="42"/>
    <n v="0"/>
    <n v="482.65"/>
    <n v="223.07"/>
    <m/>
    <n v="692.19856331572464"/>
    <n v="133.74179569551256"/>
    <n v="0"/>
    <n v="-409.28719999999998"/>
    <n v="-189.16335999999998"/>
    <n v="0"/>
    <n v="-586.98438169173448"/>
    <n v="-113.41304274979466"/>
  </r>
  <r>
    <s v="Regular"/>
    <x v="1"/>
    <x v="2"/>
    <x v="4"/>
    <x v="2"/>
    <x v="0"/>
    <x v="0"/>
    <x v="1"/>
    <x v="6"/>
    <n v="0"/>
    <n v="0"/>
    <n v="3087.9009999999998"/>
    <n v="3087.9009999999998"/>
    <n v="3087.9009999999998"/>
    <n v="3087.9009999999998"/>
    <n v="13653"/>
    <x v="0"/>
    <n v="0"/>
    <n v="0"/>
    <n v="18"/>
    <n v="42"/>
    <n v="0"/>
    <n v="482.65"/>
    <n v="223.07"/>
    <m/>
    <n v="692.19856331572464"/>
    <n v="133.74179569551256"/>
    <n v="0"/>
    <n v="1490375.41765"/>
    <n v="688818.07606999995"/>
    <n v="0"/>
    <n v="2137440.6358611891"/>
    <n v="412981.4246699689"/>
  </r>
  <r>
    <s v="Refaturamento - Regular"/>
    <x v="1"/>
    <x v="2"/>
    <x v="4"/>
    <x v="2"/>
    <x v="0"/>
    <x v="0"/>
    <x v="1"/>
    <x v="6"/>
    <n v="0"/>
    <n v="0"/>
    <n v="-1.0069999999999999"/>
    <n v="-1.0069999999999999"/>
    <n v="-1.0069999999999999"/>
    <n v="-1.0069999999999999"/>
    <n v="0"/>
    <x v="0"/>
    <n v="0"/>
    <n v="0"/>
    <n v="18"/>
    <n v="42"/>
    <n v="0"/>
    <n v="482.65"/>
    <n v="223.07"/>
    <m/>
    <n v="692.19856331572464"/>
    <n v="133.74179569551256"/>
    <n v="0"/>
    <n v="-486.02854999999994"/>
    <n v="-224.63148999999996"/>
    <n v="0"/>
    <n v="-697.04395325893461"/>
    <n v="-134.67798826538115"/>
  </r>
  <r>
    <s v="Sistema de Compensação"/>
    <x v="1"/>
    <x v="2"/>
    <x v="4"/>
    <x v="2"/>
    <x v="0"/>
    <x v="0"/>
    <x v="1"/>
    <x v="6"/>
    <n v="0"/>
    <n v="0"/>
    <n v="53.518999999999998"/>
    <n v="53.518999999999998"/>
    <n v="53.518999999999998"/>
    <n v="53.518999999999998"/>
    <n v="261"/>
    <x v="0"/>
    <n v="0"/>
    <n v="0"/>
    <n v="18"/>
    <n v="42"/>
    <n v="0"/>
    <n v="482.65"/>
    <n v="223.07"/>
    <m/>
    <n v="692.19856331572464"/>
    <n v="133.74179569551256"/>
    <n v="0"/>
    <n v="25830.945349999998"/>
    <n v="11938.483329999999"/>
    <n v="0"/>
    <n v="37045.774910094267"/>
    <n v="7157.7271638281363"/>
  </r>
  <r>
    <s v="Regular"/>
    <x v="1"/>
    <x v="2"/>
    <x v="4"/>
    <x v="2"/>
    <x v="0"/>
    <x v="0"/>
    <x v="1"/>
    <x v="7"/>
    <n v="0"/>
    <n v="0"/>
    <n v="2391.2469999999998"/>
    <n v="2391.2469999999998"/>
    <n v="2391.2469999999998"/>
    <n v="2391.2469999999998"/>
    <n v="13640"/>
    <x v="0"/>
    <n v="0"/>
    <n v="0"/>
    <n v="18"/>
    <n v="42"/>
    <n v="0"/>
    <n v="482.65"/>
    <n v="223.07"/>
    <m/>
    <n v="692.19856331572464"/>
    <n v="133.74179569551256"/>
    <n v="0"/>
    <n v="1154135.3645499998"/>
    <n v="533415.46828999999"/>
    <n v="0"/>
    <n v="1655217.7379330364"/>
    <n v="319809.66773150733"/>
  </r>
  <r>
    <s v="Refaturamento - Regular"/>
    <x v="1"/>
    <x v="2"/>
    <x v="4"/>
    <x v="2"/>
    <x v="0"/>
    <x v="0"/>
    <x v="1"/>
    <x v="7"/>
    <n v="0"/>
    <n v="0"/>
    <n v="-1.425"/>
    <n v="-1.425"/>
    <n v="-1.425"/>
    <n v="-1.425"/>
    <n v="0"/>
    <x v="0"/>
    <n v="0"/>
    <n v="0"/>
    <n v="18"/>
    <n v="42"/>
    <n v="0"/>
    <n v="482.65"/>
    <n v="223.07"/>
    <m/>
    <n v="692.19856331572464"/>
    <n v="133.74179569551256"/>
    <n v="0"/>
    <n v="-687.77625"/>
    <n v="-317.87475000000001"/>
    <n v="0"/>
    <n v="-986.38295272490768"/>
    <n v="-190.5820588661054"/>
  </r>
  <r>
    <s v="Sistema de Compensação"/>
    <x v="1"/>
    <x v="2"/>
    <x v="4"/>
    <x v="2"/>
    <x v="0"/>
    <x v="0"/>
    <x v="1"/>
    <x v="7"/>
    <n v="0"/>
    <n v="0"/>
    <n v="44.313000000000002"/>
    <n v="44.313000000000002"/>
    <n v="44.313000000000002"/>
    <n v="44.313000000000002"/>
    <n v="274"/>
    <x v="0"/>
    <n v="0"/>
    <n v="0"/>
    <n v="18"/>
    <n v="42"/>
    <n v="0"/>
    <n v="482.65"/>
    <n v="223.07"/>
    <m/>
    <n v="692.19856331572464"/>
    <n v="133.74179569551256"/>
    <n v="0"/>
    <n v="21387.669450000001"/>
    <n v="9884.9009100000003"/>
    <n v="0"/>
    <n v="30673.394936209708"/>
    <n v="5926.5001926552486"/>
  </r>
  <r>
    <s v="Regular"/>
    <x v="1"/>
    <x v="2"/>
    <x v="4"/>
    <x v="2"/>
    <x v="0"/>
    <x v="0"/>
    <x v="1"/>
    <x v="8"/>
    <n v="0"/>
    <n v="0"/>
    <n v="2203.8879999999999"/>
    <n v="2203.8879999999999"/>
    <n v="2203.8879999999999"/>
    <n v="2203.8879999999999"/>
    <n v="13601"/>
    <x v="0"/>
    <n v="0"/>
    <n v="0"/>
    <n v="18"/>
    <n v="42"/>
    <n v="0"/>
    <n v="482.65"/>
    <n v="223.07"/>
    <m/>
    <n v="692.19856331572464"/>
    <n v="133.74179569551256"/>
    <n v="0"/>
    <n v="1063706.5432"/>
    <n v="491621.29615999997"/>
    <n v="0"/>
    <n v="1525528.1073087656"/>
    <n v="294751.9386317918"/>
  </r>
  <r>
    <s v="Refaturamento - Regular"/>
    <x v="1"/>
    <x v="2"/>
    <x v="4"/>
    <x v="2"/>
    <x v="0"/>
    <x v="0"/>
    <x v="1"/>
    <x v="8"/>
    <n v="0"/>
    <n v="0"/>
    <n v="-8.6999999999999994E-2"/>
    <n v="-8.6999999999999994E-2"/>
    <n v="-8.6999999999999994E-2"/>
    <n v="-8.6999999999999994E-2"/>
    <n v="0"/>
    <x v="0"/>
    <n v="0"/>
    <n v="0"/>
    <n v="18"/>
    <n v="42"/>
    <n v="0"/>
    <n v="482.65"/>
    <n v="223.07"/>
    <m/>
    <n v="692.19856331572464"/>
    <n v="133.74179569551256"/>
    <n v="0"/>
    <n v="-41.990549999999992"/>
    <n v="-19.407089999999997"/>
    <n v="0"/>
    <n v="-60.221275008468041"/>
    <n v="-11.635536225509592"/>
  </r>
  <r>
    <s v="Sistema de Compensação"/>
    <x v="1"/>
    <x v="2"/>
    <x v="4"/>
    <x v="2"/>
    <x v="0"/>
    <x v="0"/>
    <x v="1"/>
    <x v="8"/>
    <n v="0"/>
    <n v="0"/>
    <n v="38.017000000000003"/>
    <n v="38.017000000000003"/>
    <n v="38.017000000000003"/>
    <n v="38.017000000000003"/>
    <n v="291"/>
    <x v="0"/>
    <n v="0"/>
    <n v="0"/>
    <n v="18"/>
    <n v="42"/>
    <n v="0"/>
    <n v="482.65"/>
    <n v="223.07"/>
    <m/>
    <n v="692.19856331572464"/>
    <n v="133.74179569551256"/>
    <n v="0"/>
    <n v="18348.905050000001"/>
    <n v="8480.45219"/>
    <n v="0"/>
    <n v="26315.312781573906"/>
    <n v="5084.461846956302"/>
  </r>
  <r>
    <s v="Regular"/>
    <x v="1"/>
    <x v="2"/>
    <x v="4"/>
    <x v="2"/>
    <x v="0"/>
    <x v="0"/>
    <x v="1"/>
    <x v="9"/>
    <n v="0"/>
    <n v="0"/>
    <n v="2254.5949999999998"/>
    <n v="2254.5949999999998"/>
    <n v="2254.5949999999998"/>
    <n v="2254.5949999999998"/>
    <n v="13596"/>
    <x v="0"/>
    <n v="0"/>
    <n v="0"/>
    <n v="18"/>
    <n v="42"/>
    <n v="0"/>
    <n v="482.65"/>
    <n v="223.07"/>
    <m/>
    <n v="692.19856331572464"/>
    <n v="133.74179569551256"/>
    <n v="0"/>
    <n v="1088180.27675"/>
    <n v="502932.50664999994"/>
    <n v="0"/>
    <n v="1560627.4198588161"/>
    <n v="301533.5838661241"/>
  </r>
  <r>
    <s v="Refaturamento - Regular"/>
    <x v="1"/>
    <x v="2"/>
    <x v="4"/>
    <x v="2"/>
    <x v="0"/>
    <x v="0"/>
    <x v="1"/>
    <x v="9"/>
    <n v="0"/>
    <n v="0"/>
    <n v="-1.488"/>
    <n v="-1.488"/>
    <n v="-1.488"/>
    <n v="-1.488"/>
    <n v="0"/>
    <x v="0"/>
    <n v="0"/>
    <n v="0"/>
    <n v="18"/>
    <n v="42"/>
    <n v="0"/>
    <n v="482.65"/>
    <n v="223.07"/>
    <m/>
    <n v="692.19856331572464"/>
    <n v="133.74179569551256"/>
    <n v="0"/>
    <n v="-718.18319999999994"/>
    <n v="-331.92815999999999"/>
    <n v="0"/>
    <n v="-1029.9914622137983"/>
    <n v="-199.00779199492268"/>
  </r>
  <r>
    <s v="Sistema de Compensação"/>
    <x v="1"/>
    <x v="2"/>
    <x v="4"/>
    <x v="2"/>
    <x v="0"/>
    <x v="0"/>
    <x v="1"/>
    <x v="9"/>
    <n v="0"/>
    <n v="0"/>
    <n v="55.933999999999997"/>
    <n v="55.933999999999997"/>
    <n v="55.933999999999997"/>
    <n v="55.933999999999997"/>
    <n v="296"/>
    <x v="0"/>
    <n v="0"/>
    <n v="0"/>
    <n v="18"/>
    <n v="42"/>
    <n v="0"/>
    <n v="482.65"/>
    <n v="223.07"/>
    <m/>
    <n v="692.19856331572464"/>
    <n v="133.74179569551256"/>
    <n v="0"/>
    <n v="26996.545099999996"/>
    <n v="12477.19738"/>
    <n v="0"/>
    <n v="38717.43444050174"/>
    <n v="7480.7136004327995"/>
  </r>
  <r>
    <s v="Regular"/>
    <x v="1"/>
    <x v="2"/>
    <x v="4"/>
    <x v="2"/>
    <x v="0"/>
    <x v="0"/>
    <x v="1"/>
    <x v="10"/>
    <n v="0"/>
    <n v="0"/>
    <n v="1975.5319999999999"/>
    <n v="1975.5319999999999"/>
    <n v="1975.5319999999999"/>
    <n v="1975.5319999999999"/>
    <n v="13580"/>
    <x v="0"/>
    <n v="0"/>
    <n v="0"/>
    <n v="18"/>
    <n v="42"/>
    <n v="0"/>
    <n v="482.65"/>
    <n v="223.07"/>
    <m/>
    <n v="692.19856331572464"/>
    <n v="133.74179569551256"/>
    <n v="0"/>
    <n v="953490.51979999989"/>
    <n v="440681.92323999997"/>
    <n v="0"/>
    <n v="1367460.4121842401"/>
    <n v="264211.19713394734"/>
  </r>
  <r>
    <s v="Refaturamento - Regular"/>
    <x v="1"/>
    <x v="2"/>
    <x v="4"/>
    <x v="2"/>
    <x v="0"/>
    <x v="0"/>
    <x v="1"/>
    <x v="10"/>
    <n v="0"/>
    <n v="0"/>
    <n v="-0.36"/>
    <n v="-0.36"/>
    <n v="-0.36"/>
    <n v="-0.36"/>
    <n v="0"/>
    <x v="0"/>
    <n v="0"/>
    <n v="0"/>
    <n v="18"/>
    <n v="42"/>
    <n v="0"/>
    <n v="482.65"/>
    <n v="223.07"/>
    <m/>
    <n v="692.19856331572464"/>
    <n v="133.74179569551256"/>
    <n v="0"/>
    <n v="-173.75399999999999"/>
    <n v="-80.305199999999999"/>
    <n v="0"/>
    <n v="-249.19148279366087"/>
    <n v="-48.147046450384522"/>
  </r>
  <r>
    <s v="Sistema de Compensação"/>
    <x v="1"/>
    <x v="2"/>
    <x v="4"/>
    <x v="2"/>
    <x v="0"/>
    <x v="0"/>
    <x v="1"/>
    <x v="10"/>
    <n v="0"/>
    <n v="0"/>
    <n v="49.317999999999998"/>
    <n v="49.317999999999998"/>
    <n v="49.317999999999998"/>
    <n v="49.317999999999998"/>
    <n v="314"/>
    <x v="0"/>
    <n v="0"/>
    <n v="0"/>
    <n v="18"/>
    <n v="42"/>
    <n v="0"/>
    <n v="482.65"/>
    <n v="223.07"/>
    <m/>
    <n v="692.19856331572464"/>
    <n v="133.74179569551256"/>
    <n v="0"/>
    <n v="23803.332699999999"/>
    <n v="11001.366259999999"/>
    <n v="0"/>
    <n v="34137.848745604904"/>
    <n v="6595.8778801112885"/>
  </r>
  <r>
    <s v="Regular"/>
    <x v="1"/>
    <x v="2"/>
    <x v="4"/>
    <x v="2"/>
    <x v="0"/>
    <x v="0"/>
    <x v="1"/>
    <x v="11"/>
    <n v="0"/>
    <n v="0"/>
    <n v="2253.9299999999998"/>
    <n v="2253.9299999999998"/>
    <n v="2253.9299999999998"/>
    <n v="2253.9299999999998"/>
    <n v="13661"/>
    <x v="0"/>
    <n v="0"/>
    <n v="0"/>
    <n v="18"/>
    <n v="42"/>
    <n v="0"/>
    <n v="482.65"/>
    <n v="223.07"/>
    <m/>
    <n v="692.19856331572464"/>
    <n v="133.74179569551256"/>
    <n v="0"/>
    <n v="1087859.3144999999"/>
    <n v="502784.16509999993"/>
    <n v="0"/>
    <n v="1560167.1078142112"/>
    <n v="301444.64557198662"/>
  </r>
  <r>
    <s v="Sistema de Compensação"/>
    <x v="1"/>
    <x v="2"/>
    <x v="4"/>
    <x v="2"/>
    <x v="0"/>
    <x v="0"/>
    <x v="1"/>
    <x v="11"/>
    <n v="0"/>
    <n v="0"/>
    <n v="50.036000000000001"/>
    <n v="50.036000000000001"/>
    <n v="50.036000000000001"/>
    <n v="50.036000000000001"/>
    <n v="335"/>
    <x v="0"/>
    <n v="0"/>
    <n v="0"/>
    <n v="18"/>
    <n v="42"/>
    <n v="0"/>
    <n v="482.65"/>
    <n v="223.07"/>
    <m/>
    <n v="692.19856331572464"/>
    <n v="133.74179569551256"/>
    <n v="0"/>
    <n v="24149.875400000001"/>
    <n v="11161.53052"/>
    <n v="0"/>
    <n v="34634.847314065599"/>
    <n v="6691.9044894206672"/>
  </r>
  <r>
    <s v="Regular"/>
    <x v="1"/>
    <x v="2"/>
    <x v="4"/>
    <x v="3"/>
    <x v="0"/>
    <x v="0"/>
    <x v="1"/>
    <x v="0"/>
    <n v="0"/>
    <n v="0"/>
    <n v="5.7"/>
    <n v="5.7"/>
    <n v="5.7"/>
    <n v="5.7"/>
    <n v="11"/>
    <x v="0"/>
    <n v="0"/>
    <n v="0"/>
    <n v="13"/>
    <n v="68"/>
    <n v="0"/>
    <n v="146.74"/>
    <n v="78.069999999999993"/>
    <m/>
    <n v="206.33427093031264"/>
    <n v="46.809628493429393"/>
    <n v="0"/>
    <n v="836.41800000000012"/>
    <n v="444.99899999999997"/>
    <n v="0"/>
    <n v="1176.105344302782"/>
    <n v="266.81488241254755"/>
  </r>
  <r>
    <s v="Regular"/>
    <x v="1"/>
    <x v="2"/>
    <x v="4"/>
    <x v="3"/>
    <x v="0"/>
    <x v="0"/>
    <x v="1"/>
    <x v="1"/>
    <n v="0"/>
    <n v="0"/>
    <n v="5.7"/>
    <n v="5.7"/>
    <n v="5.7"/>
    <n v="5.7"/>
    <n v="9"/>
    <x v="0"/>
    <n v="0"/>
    <n v="0"/>
    <n v="13"/>
    <n v="68"/>
    <n v="0"/>
    <n v="146.74"/>
    <n v="78.069999999999993"/>
    <m/>
    <n v="206.33427093031264"/>
    <n v="46.809628493429393"/>
    <n v="0"/>
    <n v="836.41800000000012"/>
    <n v="444.99899999999997"/>
    <n v="0"/>
    <n v="1176.105344302782"/>
    <n v="266.81488241254755"/>
  </r>
  <r>
    <s v="Regular"/>
    <x v="1"/>
    <x v="2"/>
    <x v="4"/>
    <x v="3"/>
    <x v="0"/>
    <x v="0"/>
    <x v="1"/>
    <x v="2"/>
    <n v="0"/>
    <n v="0"/>
    <n v="5.82"/>
    <n v="5.82"/>
    <n v="5.82"/>
    <n v="5.82"/>
    <n v="6"/>
    <x v="0"/>
    <n v="0"/>
    <n v="0"/>
    <n v="13"/>
    <n v="68"/>
    <n v="0"/>
    <n v="146.74"/>
    <n v="78.069999999999993"/>
    <m/>
    <n v="206.33427093031264"/>
    <n v="46.809628493429393"/>
    <n v="0"/>
    <n v="854.02680000000009"/>
    <n v="454.36739999999998"/>
    <n v="0"/>
    <n v="1200.8654568144195"/>
    <n v="272.43203783175909"/>
  </r>
  <r>
    <s v="Regular"/>
    <x v="1"/>
    <x v="2"/>
    <x v="4"/>
    <x v="3"/>
    <x v="0"/>
    <x v="0"/>
    <x v="1"/>
    <x v="3"/>
    <n v="0"/>
    <n v="0"/>
    <n v="5.79"/>
    <n v="5.79"/>
    <n v="5.79"/>
    <n v="5.79"/>
    <n v="6"/>
    <x v="0"/>
    <n v="0"/>
    <n v="0"/>
    <n v="13"/>
    <n v="68"/>
    <n v="0"/>
    <n v="146.74"/>
    <n v="78.069999999999993"/>
    <m/>
    <n v="206.33427093031264"/>
    <n v="46.809628493429393"/>
    <n v="0"/>
    <n v="849.6246000000001"/>
    <n v="452.02529999999996"/>
    <n v="0"/>
    <n v="1194.6754286865103"/>
    <n v="271.02774897695616"/>
  </r>
  <r>
    <s v="Regular"/>
    <x v="1"/>
    <x v="2"/>
    <x v="4"/>
    <x v="3"/>
    <x v="0"/>
    <x v="0"/>
    <x v="1"/>
    <x v="4"/>
    <n v="0"/>
    <n v="0"/>
    <n v="5.73"/>
    <n v="5.73"/>
    <n v="5.73"/>
    <n v="5.73"/>
    <n v="4"/>
    <x v="0"/>
    <n v="0"/>
    <n v="0"/>
    <n v="13"/>
    <n v="68"/>
    <n v="0"/>
    <n v="146.74"/>
    <n v="78.069999999999993"/>
    <m/>
    <n v="206.33427093031264"/>
    <n v="46.809628493429393"/>
    <n v="0"/>
    <n v="840.82020000000011"/>
    <n v="447.34109999999998"/>
    <n v="0"/>
    <n v="1182.2953724306915"/>
    <n v="268.21917126735042"/>
  </r>
  <r>
    <s v="Regular"/>
    <x v="1"/>
    <x v="2"/>
    <x v="4"/>
    <x v="3"/>
    <x v="0"/>
    <x v="0"/>
    <x v="1"/>
    <x v="5"/>
    <n v="0"/>
    <n v="0"/>
    <n v="5.85"/>
    <n v="5.85"/>
    <n v="5.85"/>
    <n v="5.85"/>
    <n v="3"/>
    <x v="0"/>
    <n v="0"/>
    <n v="0"/>
    <n v="13"/>
    <n v="68"/>
    <n v="0"/>
    <n v="146.74"/>
    <n v="78.069999999999993"/>
    <m/>
    <n v="206.33427093031264"/>
    <n v="46.809628493429393"/>
    <n v="0"/>
    <n v="858.42899999999997"/>
    <n v="456.70949999999993"/>
    <n v="0"/>
    <n v="1207.0554849423288"/>
    <n v="273.83632668656196"/>
  </r>
  <r>
    <s v="Regular"/>
    <x v="1"/>
    <x v="2"/>
    <x v="4"/>
    <x v="3"/>
    <x v="0"/>
    <x v="0"/>
    <x v="1"/>
    <x v="6"/>
    <n v="0"/>
    <n v="0"/>
    <n v="6"/>
    <n v="6"/>
    <n v="6"/>
    <n v="6"/>
    <n v="4"/>
    <x v="0"/>
    <n v="0"/>
    <n v="0"/>
    <n v="13"/>
    <n v="68"/>
    <n v="0"/>
    <n v="146.74"/>
    <n v="78.069999999999993"/>
    <m/>
    <n v="206.33427093031264"/>
    <n v="46.809628493429393"/>
    <n v="0"/>
    <n v="880.44"/>
    <n v="468.41999999999996"/>
    <n v="0"/>
    <n v="1238.0056255818758"/>
    <n v="280.85777096057637"/>
  </r>
  <r>
    <s v="Regular"/>
    <x v="1"/>
    <x v="2"/>
    <x v="4"/>
    <x v="3"/>
    <x v="0"/>
    <x v="0"/>
    <x v="1"/>
    <x v="7"/>
    <n v="0"/>
    <n v="0"/>
    <n v="8.82"/>
    <n v="8.82"/>
    <n v="8.82"/>
    <n v="8.82"/>
    <n v="14"/>
    <x v="0"/>
    <n v="0"/>
    <n v="0"/>
    <n v="13"/>
    <n v="68"/>
    <n v="0"/>
    <n v="146.74"/>
    <n v="78.069999999999993"/>
    <m/>
    <n v="206.33427093031264"/>
    <n v="46.809628493429393"/>
    <n v="0"/>
    <n v="1294.2468000000001"/>
    <n v="688.57740000000001"/>
    <n v="0"/>
    <n v="1819.8682696053575"/>
    <n v="412.86092331204725"/>
  </r>
  <r>
    <s v="Regular"/>
    <x v="1"/>
    <x v="2"/>
    <x v="4"/>
    <x v="3"/>
    <x v="0"/>
    <x v="0"/>
    <x v="1"/>
    <x v="8"/>
    <n v="0"/>
    <n v="0"/>
    <n v="8.82"/>
    <n v="8.82"/>
    <n v="8.82"/>
    <n v="8.82"/>
    <n v="11"/>
    <x v="0"/>
    <n v="0"/>
    <n v="0"/>
    <n v="13"/>
    <n v="68"/>
    <n v="0"/>
    <n v="146.74"/>
    <n v="78.069999999999993"/>
    <m/>
    <n v="206.33427093031264"/>
    <n v="46.809628493429393"/>
    <n v="0"/>
    <n v="1294.2468000000001"/>
    <n v="688.57740000000001"/>
    <n v="0"/>
    <n v="1819.8682696053575"/>
    <n v="412.86092331204725"/>
  </r>
  <r>
    <s v="Regular"/>
    <x v="1"/>
    <x v="2"/>
    <x v="4"/>
    <x v="3"/>
    <x v="0"/>
    <x v="0"/>
    <x v="1"/>
    <x v="9"/>
    <n v="0"/>
    <n v="0"/>
    <n v="8.58"/>
    <n v="8.58"/>
    <n v="8.58"/>
    <n v="8.58"/>
    <n v="13"/>
    <x v="0"/>
    <n v="0"/>
    <n v="0"/>
    <n v="13"/>
    <n v="68"/>
    <n v="0"/>
    <n v="146.74"/>
    <n v="78.069999999999993"/>
    <m/>
    <n v="206.33427093031264"/>
    <n v="46.809628493429393"/>
    <n v="0"/>
    <n v="1259.0292000000002"/>
    <n v="669.84059999999999"/>
    <n v="0"/>
    <n v="1770.3480445820824"/>
    <n v="401.62661247362422"/>
  </r>
  <r>
    <s v="Regular"/>
    <x v="1"/>
    <x v="2"/>
    <x v="4"/>
    <x v="3"/>
    <x v="0"/>
    <x v="0"/>
    <x v="1"/>
    <x v="10"/>
    <n v="0"/>
    <n v="0"/>
    <n v="8.3230000000000004"/>
    <n v="8.3230000000000004"/>
    <n v="8.3230000000000004"/>
    <n v="8.3230000000000004"/>
    <n v="15"/>
    <x v="0"/>
    <n v="0"/>
    <n v="0"/>
    <n v="13"/>
    <n v="68"/>
    <n v="0"/>
    <n v="146.74"/>
    <n v="78.069999999999993"/>
    <m/>
    <n v="206.33427093031264"/>
    <n v="46.809628493429393"/>
    <n v="0"/>
    <n v="1221.3170200000002"/>
    <n v="649.77661000000001"/>
    <n v="0"/>
    <n v="1717.3201369529922"/>
    <n v="389.59653795081289"/>
  </r>
  <r>
    <s v="Regular"/>
    <x v="1"/>
    <x v="2"/>
    <x v="4"/>
    <x v="3"/>
    <x v="0"/>
    <x v="0"/>
    <x v="1"/>
    <x v="11"/>
    <n v="0"/>
    <n v="0"/>
    <n v="8.19"/>
    <n v="8.19"/>
    <n v="8.19"/>
    <n v="8.19"/>
    <n v="9"/>
    <x v="0"/>
    <n v="0"/>
    <n v="0"/>
    <n v="13"/>
    <n v="68"/>
    <n v="0"/>
    <n v="146.74"/>
    <n v="78.069999999999993"/>
    <m/>
    <n v="206.33427093031264"/>
    <n v="46.809628493429393"/>
    <n v="0"/>
    <n v="1201.8006"/>
    <n v="639.39329999999995"/>
    <n v="0"/>
    <n v="1689.8776789192605"/>
    <n v="383.37085736118672"/>
  </r>
  <r>
    <s v="Regular"/>
    <x v="1"/>
    <x v="2"/>
    <x v="4"/>
    <x v="4"/>
    <x v="0"/>
    <x v="0"/>
    <x v="1"/>
    <x v="0"/>
    <n v="0"/>
    <n v="0"/>
    <n v="11.907999999999999"/>
    <n v="11.907999999999999"/>
    <n v="11.907999999999999"/>
    <n v="11.907999999999999"/>
    <n v="22"/>
    <x v="0"/>
    <n v="0"/>
    <n v="0"/>
    <n v="9"/>
    <n v="66"/>
    <n v="0"/>
    <n v="251.56"/>
    <n v="133.84"/>
    <m/>
    <n v="353.71589302339311"/>
    <n v="80.245077417307542"/>
    <n v="0"/>
    <n v="2995.5764799999997"/>
    <n v="1593.7667200000001"/>
    <n v="0"/>
    <n v="4212.048854122565"/>
    <n v="955.55838188529822"/>
  </r>
  <r>
    <s v="Regular"/>
    <x v="1"/>
    <x v="2"/>
    <x v="4"/>
    <x v="4"/>
    <x v="0"/>
    <x v="0"/>
    <x v="1"/>
    <x v="1"/>
    <n v="0"/>
    <n v="0"/>
    <n v="11.816000000000001"/>
    <n v="11.816000000000001"/>
    <n v="11.816000000000001"/>
    <n v="11.816000000000001"/>
    <n v="31"/>
    <x v="0"/>
    <n v="0"/>
    <n v="0"/>
    <n v="9"/>
    <n v="66"/>
    <n v="0"/>
    <n v="251.56"/>
    <n v="133.84"/>
    <m/>
    <n v="353.71589302339311"/>
    <n v="80.245077417307542"/>
    <n v="0"/>
    <n v="2972.4329600000001"/>
    <n v="1581.4534400000002"/>
    <n v="0"/>
    <n v="4179.5069919644129"/>
    <n v="948.17583476290599"/>
  </r>
  <r>
    <s v="Regular"/>
    <x v="1"/>
    <x v="2"/>
    <x v="4"/>
    <x v="4"/>
    <x v="0"/>
    <x v="0"/>
    <x v="1"/>
    <x v="2"/>
    <n v="0"/>
    <n v="0"/>
    <n v="12.362"/>
    <n v="12.362"/>
    <n v="12.362"/>
    <n v="12.362"/>
    <n v="26"/>
    <x v="0"/>
    <n v="0"/>
    <n v="0"/>
    <n v="9"/>
    <n v="66"/>
    <n v="0"/>
    <n v="251.56"/>
    <n v="133.84"/>
    <m/>
    <n v="353.71589302339311"/>
    <n v="80.245077417307542"/>
    <n v="0"/>
    <n v="3109.7847200000001"/>
    <n v="1654.53008"/>
    <n v="0"/>
    <n v="4372.6358695551853"/>
    <n v="991.98964703275578"/>
  </r>
  <r>
    <s v="Regular"/>
    <x v="1"/>
    <x v="2"/>
    <x v="4"/>
    <x v="4"/>
    <x v="0"/>
    <x v="0"/>
    <x v="1"/>
    <x v="3"/>
    <n v="0"/>
    <n v="0"/>
    <n v="12.407"/>
    <n v="12.407"/>
    <n v="12.407"/>
    <n v="12.407"/>
    <n v="33"/>
    <x v="0"/>
    <n v="0"/>
    <n v="0"/>
    <n v="9"/>
    <n v="66"/>
    <n v="0"/>
    <n v="251.56"/>
    <n v="133.84"/>
    <m/>
    <n v="353.71589302339311"/>
    <n v="80.245077417307542"/>
    <n v="0"/>
    <n v="3121.1049200000002"/>
    <n v="1660.55288"/>
    <n v="0"/>
    <n v="4388.5530847412383"/>
    <n v="995.60067551653469"/>
  </r>
  <r>
    <s v="Regular"/>
    <x v="1"/>
    <x v="2"/>
    <x v="4"/>
    <x v="4"/>
    <x v="0"/>
    <x v="0"/>
    <x v="1"/>
    <x v="4"/>
    <n v="0"/>
    <n v="0"/>
    <n v="12.515000000000001"/>
    <n v="12.515000000000001"/>
    <n v="12.515000000000001"/>
    <n v="12.515000000000001"/>
    <n v="24"/>
    <x v="0"/>
    <n v="0"/>
    <n v="0"/>
    <n v="9"/>
    <n v="66"/>
    <n v="0"/>
    <n v="251.56"/>
    <n v="133.84"/>
    <m/>
    <n v="353.71589302339311"/>
    <n v="80.245077417307542"/>
    <n v="0"/>
    <n v="3148.2734"/>
    <n v="1675.0076000000001"/>
    <n v="0"/>
    <n v="4426.7544011877653"/>
    <n v="1004.267143877604"/>
  </r>
  <r>
    <s v="Regular"/>
    <x v="1"/>
    <x v="2"/>
    <x v="4"/>
    <x v="4"/>
    <x v="0"/>
    <x v="0"/>
    <x v="1"/>
    <x v="5"/>
    <n v="0"/>
    <n v="0"/>
    <n v="12.965"/>
    <n v="12.965"/>
    <n v="12.965"/>
    <n v="12.965"/>
    <n v="16"/>
    <x v="0"/>
    <n v="0"/>
    <n v="0"/>
    <n v="9"/>
    <n v="66"/>
    <n v="0"/>
    <n v="251.56"/>
    <n v="133.84"/>
    <m/>
    <n v="353.71589302339311"/>
    <n v="80.245077417307542"/>
    <n v="0"/>
    <n v="3261.4753999999998"/>
    <n v="1735.2356"/>
    <n v="0"/>
    <n v="4585.9265530482917"/>
    <n v="1040.3774287153922"/>
  </r>
  <r>
    <s v="Regular"/>
    <x v="1"/>
    <x v="2"/>
    <x v="4"/>
    <x v="4"/>
    <x v="0"/>
    <x v="0"/>
    <x v="1"/>
    <x v="6"/>
    <n v="0"/>
    <n v="0"/>
    <n v="13.321999999999999"/>
    <n v="13.321999999999999"/>
    <n v="13.321999999999999"/>
    <n v="13.321999999999999"/>
    <n v="17"/>
    <x v="0"/>
    <n v="0"/>
    <n v="0"/>
    <n v="9"/>
    <n v="66"/>
    <n v="0"/>
    <n v="251.56"/>
    <n v="133.84"/>
    <m/>
    <n v="353.71589302339311"/>
    <n v="80.245077417307542"/>
    <n v="0"/>
    <n v="3351.2823199999998"/>
    <n v="1783.01648"/>
    <n v="0"/>
    <n v="4712.2031268576429"/>
    <n v="1069.0249213533709"/>
  </r>
  <r>
    <s v="Regular"/>
    <x v="1"/>
    <x v="2"/>
    <x v="4"/>
    <x v="4"/>
    <x v="0"/>
    <x v="0"/>
    <x v="1"/>
    <x v="7"/>
    <n v="0"/>
    <n v="0"/>
    <n v="18.669"/>
    <n v="18.669"/>
    <n v="18.669"/>
    <n v="18.669"/>
    <n v="38"/>
    <x v="0"/>
    <n v="0"/>
    <n v="0"/>
    <n v="9"/>
    <n v="66"/>
    <n v="0"/>
    <n v="251.56"/>
    <n v="133.84"/>
    <m/>
    <n v="353.71589302339311"/>
    <n v="80.245077417307542"/>
    <n v="0"/>
    <n v="4696.3736399999998"/>
    <n v="2498.6589600000002"/>
    <n v="0"/>
    <n v="6603.5220068537265"/>
    <n v="1498.0953503037144"/>
  </r>
  <r>
    <s v="Regular"/>
    <x v="1"/>
    <x v="2"/>
    <x v="4"/>
    <x v="4"/>
    <x v="0"/>
    <x v="0"/>
    <x v="1"/>
    <x v="8"/>
    <n v="0"/>
    <n v="0"/>
    <n v="18.667000000000002"/>
    <n v="18.667000000000002"/>
    <n v="18.667000000000002"/>
    <n v="18.667000000000002"/>
    <n v="37"/>
    <x v="0"/>
    <n v="0"/>
    <n v="0"/>
    <n v="9"/>
    <n v="66"/>
    <n v="0"/>
    <n v="251.56"/>
    <n v="133.84"/>
    <m/>
    <n v="353.71589302339311"/>
    <n v="80.245077417307542"/>
    <n v="0"/>
    <n v="4695.8705200000004"/>
    <n v="2498.3912800000003"/>
    <n v="0"/>
    <n v="6602.8145750676795"/>
    <n v="1497.93486014888"/>
  </r>
  <r>
    <s v="Regular"/>
    <x v="1"/>
    <x v="2"/>
    <x v="4"/>
    <x v="4"/>
    <x v="0"/>
    <x v="0"/>
    <x v="1"/>
    <x v="9"/>
    <n v="0"/>
    <n v="0"/>
    <n v="17.456"/>
    <n v="17.456"/>
    <n v="17.456"/>
    <n v="17.456"/>
    <n v="54"/>
    <x v="0"/>
    <n v="0"/>
    <n v="0"/>
    <n v="9"/>
    <n v="66"/>
    <n v="0"/>
    <n v="251.56"/>
    <n v="133.84"/>
    <m/>
    <n v="353.71589302339311"/>
    <n v="80.245077417307542"/>
    <n v="0"/>
    <n v="4391.2313599999998"/>
    <n v="2336.31104"/>
    <n v="0"/>
    <n v="6174.4646286163497"/>
    <n v="1400.7580713965203"/>
  </r>
  <r>
    <s v="Regular"/>
    <x v="1"/>
    <x v="2"/>
    <x v="4"/>
    <x v="4"/>
    <x v="0"/>
    <x v="0"/>
    <x v="1"/>
    <x v="10"/>
    <n v="0"/>
    <n v="0"/>
    <n v="16.745999999999999"/>
    <n v="16.745999999999999"/>
    <n v="16.745999999999999"/>
    <n v="16.745999999999999"/>
    <n v="57"/>
    <x v="0"/>
    <n v="0"/>
    <n v="0"/>
    <n v="9"/>
    <n v="66"/>
    <n v="0"/>
    <n v="251.56"/>
    <n v="133.84"/>
    <m/>
    <n v="353.71589302339311"/>
    <n v="80.245077417307542"/>
    <n v="0"/>
    <n v="4212.6237599999995"/>
    <n v="2241.2846399999999"/>
    <n v="0"/>
    <n v="5923.3263445697403"/>
    <n v="1343.7840664302321"/>
  </r>
  <r>
    <s v="Regular"/>
    <x v="1"/>
    <x v="2"/>
    <x v="4"/>
    <x v="4"/>
    <x v="0"/>
    <x v="0"/>
    <x v="1"/>
    <x v="11"/>
    <n v="0"/>
    <n v="0"/>
    <n v="17.123000000000001"/>
    <n v="17.123000000000001"/>
    <n v="17.123000000000001"/>
    <n v="17.123000000000001"/>
    <n v="43"/>
    <x v="0"/>
    <n v="0"/>
    <n v="0"/>
    <n v="9"/>
    <n v="66"/>
    <n v="0"/>
    <n v="251.56"/>
    <n v="133.84"/>
    <m/>
    <n v="353.71589302339311"/>
    <n v="80.245077417307542"/>
    <n v="0"/>
    <n v="4307.4618800000007"/>
    <n v="2291.7423200000003"/>
    <n v="0"/>
    <n v="6056.6772362395604"/>
    <n v="1374.0364606165572"/>
  </r>
  <r>
    <s v="Regular"/>
    <x v="1"/>
    <x v="2"/>
    <x v="4"/>
    <x v="5"/>
    <x v="0"/>
    <x v="0"/>
    <x v="1"/>
    <x v="0"/>
    <n v="0"/>
    <n v="0"/>
    <n v="13.037000000000001"/>
    <n v="13.037000000000001"/>
    <n v="13.037000000000001"/>
    <n v="13.037000000000001"/>
    <n v="96"/>
    <x v="0"/>
    <n v="0"/>
    <n v="0"/>
    <n v="11"/>
    <n v="79"/>
    <n v="0"/>
    <n v="377.34"/>
    <n v="200.76"/>
    <m/>
    <n v="530.57383953508975"/>
    <n v="120.36761612596131"/>
    <n v="0"/>
    <n v="4919.3815800000002"/>
    <n v="2617.3081200000001"/>
    <n v="0"/>
    <n v="6917.0911460189654"/>
    <n v="1569.2326114341577"/>
  </r>
  <r>
    <s v="Regular"/>
    <x v="1"/>
    <x v="2"/>
    <x v="4"/>
    <x v="5"/>
    <x v="0"/>
    <x v="0"/>
    <x v="1"/>
    <x v="1"/>
    <n v="0"/>
    <n v="0"/>
    <n v="11.964"/>
    <n v="11.964"/>
    <n v="11.964"/>
    <n v="11.964"/>
    <n v="98"/>
    <x v="0"/>
    <n v="0"/>
    <n v="0"/>
    <n v="11"/>
    <n v="79"/>
    <n v="0"/>
    <n v="377.34"/>
    <n v="200.76"/>
    <m/>
    <n v="530.57383953508975"/>
    <n v="120.36761612596131"/>
    <n v="0"/>
    <n v="4514.4957599999998"/>
    <n v="2401.89264"/>
    <n v="0"/>
    <n v="6347.7854161978139"/>
    <n v="1440.0781593310012"/>
  </r>
  <r>
    <s v="Regular"/>
    <x v="1"/>
    <x v="2"/>
    <x v="4"/>
    <x v="5"/>
    <x v="0"/>
    <x v="0"/>
    <x v="1"/>
    <x v="2"/>
    <n v="0"/>
    <n v="0"/>
    <n v="12.827999999999999"/>
    <n v="12.827999999999999"/>
    <n v="12.827999999999999"/>
    <n v="12.827999999999999"/>
    <n v="105"/>
    <x v="0"/>
    <n v="0"/>
    <n v="0"/>
    <n v="11"/>
    <n v="79"/>
    <n v="0"/>
    <n v="377.34"/>
    <n v="200.76"/>
    <m/>
    <n v="530.57383953508975"/>
    <n v="120.36761612596131"/>
    <n v="0"/>
    <n v="4840.5175199999994"/>
    <n v="2575.3492799999999"/>
    <n v="0"/>
    <n v="6806.2012135561308"/>
    <n v="1544.0757796638316"/>
  </r>
  <r>
    <s v="Regular"/>
    <x v="1"/>
    <x v="2"/>
    <x v="4"/>
    <x v="5"/>
    <x v="0"/>
    <x v="0"/>
    <x v="1"/>
    <x v="3"/>
    <n v="0"/>
    <n v="0"/>
    <n v="11.624000000000001"/>
    <n v="11.624000000000001"/>
    <n v="11.624000000000001"/>
    <n v="11.624000000000001"/>
    <n v="109"/>
    <x v="0"/>
    <n v="0"/>
    <n v="0"/>
    <n v="11"/>
    <n v="79"/>
    <n v="0"/>
    <n v="377.34"/>
    <n v="200.76"/>
    <m/>
    <n v="530.57383953508975"/>
    <n v="120.36761612596131"/>
    <n v="0"/>
    <n v="4386.2001600000003"/>
    <n v="2333.6342399999999"/>
    <n v="0"/>
    <n v="6167.3903107558835"/>
    <n v="1399.1531698481742"/>
  </r>
  <r>
    <s v="Regular"/>
    <x v="1"/>
    <x v="2"/>
    <x v="4"/>
    <x v="5"/>
    <x v="0"/>
    <x v="0"/>
    <x v="1"/>
    <x v="4"/>
    <n v="0"/>
    <n v="0"/>
    <n v="13.792999999999999"/>
    <n v="13.792999999999999"/>
    <n v="13.792999999999999"/>
    <n v="13.792999999999999"/>
    <n v="96"/>
    <x v="0"/>
    <n v="0"/>
    <n v="0"/>
    <n v="11"/>
    <n v="79"/>
    <n v="0"/>
    <n v="377.34"/>
    <n v="200.76"/>
    <m/>
    <n v="530.57383953508975"/>
    <n v="120.36761612596131"/>
    <n v="0"/>
    <n v="5204.6506199999994"/>
    <n v="2769.0826799999995"/>
    <n v="0"/>
    <n v="7318.2049687074923"/>
    <n v="1660.2305292253841"/>
  </r>
  <r>
    <s v="Regular"/>
    <x v="1"/>
    <x v="2"/>
    <x v="4"/>
    <x v="5"/>
    <x v="0"/>
    <x v="0"/>
    <x v="1"/>
    <x v="5"/>
    <n v="0"/>
    <n v="0"/>
    <n v="16.074000000000002"/>
    <n v="16.074000000000002"/>
    <n v="16.074000000000002"/>
    <n v="16.074000000000002"/>
    <n v="83"/>
    <x v="0"/>
    <n v="0"/>
    <n v="0"/>
    <n v="11"/>
    <n v="79"/>
    <n v="0"/>
    <n v="377.34"/>
    <n v="200.76"/>
    <m/>
    <n v="530.57383953508975"/>
    <n v="120.36761612596131"/>
    <n v="0"/>
    <n v="6065.3631599999999"/>
    <n v="3227.0162400000004"/>
    <n v="0"/>
    <n v="8528.443896687033"/>
    <n v="1934.7890616087022"/>
  </r>
  <r>
    <s v="Regular"/>
    <x v="1"/>
    <x v="2"/>
    <x v="4"/>
    <x v="5"/>
    <x v="0"/>
    <x v="0"/>
    <x v="1"/>
    <x v="6"/>
    <n v="0"/>
    <n v="0"/>
    <n v="16.405999999999999"/>
    <n v="16.405999999999999"/>
    <n v="16.405999999999999"/>
    <n v="16.405999999999999"/>
    <n v="92"/>
    <x v="0"/>
    <n v="0"/>
    <n v="0"/>
    <n v="11"/>
    <n v="79"/>
    <n v="0"/>
    <n v="377.34"/>
    <n v="200.76"/>
    <m/>
    <n v="530.57383953508975"/>
    <n v="120.36761612596131"/>
    <n v="0"/>
    <n v="6190.6400399999993"/>
    <n v="3293.6685599999996"/>
    <n v="0"/>
    <n v="8704.5944114126814"/>
    <n v="1974.7511101625209"/>
  </r>
  <r>
    <s v="Regular"/>
    <x v="1"/>
    <x v="2"/>
    <x v="4"/>
    <x v="5"/>
    <x v="0"/>
    <x v="0"/>
    <x v="1"/>
    <x v="7"/>
    <n v="0"/>
    <n v="0"/>
    <n v="20.940999999999999"/>
    <n v="20.940999999999999"/>
    <n v="20.940999999999999"/>
    <n v="20.940999999999999"/>
    <n v="140"/>
    <x v="0"/>
    <n v="0"/>
    <n v="0"/>
    <n v="11"/>
    <n v="79"/>
    <n v="0"/>
    <n v="377.34"/>
    <n v="200.76"/>
    <m/>
    <n v="530.57383953508975"/>
    <n v="120.36761612596131"/>
    <n v="0"/>
    <n v="7901.8769399999992"/>
    <n v="4204.1151599999994"/>
    <n v="0"/>
    <n v="11110.746773704313"/>
    <n v="2520.6182492937555"/>
  </r>
  <r>
    <s v="Regular"/>
    <x v="1"/>
    <x v="2"/>
    <x v="4"/>
    <x v="5"/>
    <x v="0"/>
    <x v="0"/>
    <x v="1"/>
    <x v="8"/>
    <n v="0"/>
    <n v="0"/>
    <n v="20.719000000000001"/>
    <n v="20.719000000000001"/>
    <n v="20.719000000000001"/>
    <n v="20.719000000000001"/>
    <n v="141"/>
    <x v="0"/>
    <n v="0"/>
    <n v="0"/>
    <n v="11"/>
    <n v="79"/>
    <n v="0"/>
    <n v="377.34"/>
    <n v="200.76"/>
    <m/>
    <n v="530.57383953508975"/>
    <n v="120.36761612596131"/>
    <n v="0"/>
    <n v="7818.1074600000002"/>
    <n v="4159.5464400000001"/>
    <n v="0"/>
    <n v="10992.959381327526"/>
    <n v="2493.8966385137924"/>
  </r>
  <r>
    <s v="Regular"/>
    <x v="1"/>
    <x v="2"/>
    <x v="4"/>
    <x v="5"/>
    <x v="0"/>
    <x v="0"/>
    <x v="1"/>
    <x v="9"/>
    <n v="0"/>
    <n v="0"/>
    <n v="20.085000000000001"/>
    <n v="20.085000000000001"/>
    <n v="20.085000000000001"/>
    <n v="20.085000000000001"/>
    <n v="118"/>
    <x v="0"/>
    <n v="0"/>
    <n v="0"/>
    <n v="11"/>
    <n v="79"/>
    <n v="0"/>
    <n v="377.34"/>
    <n v="200.76"/>
    <m/>
    <n v="530.57383953508975"/>
    <n v="120.36761612596131"/>
    <n v="0"/>
    <n v="7578.8738999999996"/>
    <n v="4032.2646"/>
    <n v="0"/>
    <n v="10656.575567062278"/>
    <n v="2417.5835698899327"/>
  </r>
  <r>
    <s v="Regular"/>
    <x v="1"/>
    <x v="2"/>
    <x v="4"/>
    <x v="5"/>
    <x v="0"/>
    <x v="0"/>
    <x v="1"/>
    <x v="10"/>
    <n v="0"/>
    <n v="0"/>
    <n v="16.491"/>
    <n v="16.491"/>
    <n v="16.491"/>
    <n v="16.491"/>
    <n v="134"/>
    <x v="0"/>
    <n v="0"/>
    <n v="0"/>
    <n v="11"/>
    <n v="79"/>
    <n v="0"/>
    <n v="377.34"/>
    <n v="200.76"/>
    <m/>
    <n v="530.57383953508975"/>
    <n v="120.36761612596131"/>
    <n v="0"/>
    <n v="6222.7139399999996"/>
    <n v="3310.7331599999998"/>
    <n v="0"/>
    <n v="8749.693187773164"/>
    <n v="1984.9823575332277"/>
  </r>
  <r>
    <s v="Regular"/>
    <x v="1"/>
    <x v="2"/>
    <x v="4"/>
    <x v="5"/>
    <x v="0"/>
    <x v="0"/>
    <x v="1"/>
    <x v="11"/>
    <n v="0"/>
    <n v="0"/>
    <n v="19.074999999999999"/>
    <n v="19.074999999999999"/>
    <n v="19.074999999999999"/>
    <n v="19.074999999999999"/>
    <n v="122"/>
    <x v="0"/>
    <n v="0"/>
    <n v="0"/>
    <n v="11"/>
    <n v="79"/>
    <n v="0"/>
    <n v="377.34"/>
    <n v="200.76"/>
    <m/>
    <n v="530.57383953508975"/>
    <n v="120.36761612596131"/>
    <n v="0"/>
    <n v="7197.7604999999994"/>
    <n v="3829.4969999999998"/>
    <n v="0"/>
    <n v="10120.695989131837"/>
    <n v="2296.0122776027119"/>
  </r>
  <r>
    <s v="Regular"/>
    <x v="1"/>
    <x v="2"/>
    <x v="4"/>
    <x v="6"/>
    <x v="0"/>
    <x v="0"/>
    <x v="1"/>
    <x v="0"/>
    <n v="0"/>
    <n v="0"/>
    <n v="6.2409999999999997"/>
    <n v="6.2409999999999997"/>
    <n v="6.2409999999999997"/>
    <n v="6.2409999999999997"/>
    <n v="61"/>
    <x v="0"/>
    <n v="0"/>
    <n v="0"/>
    <n v="20"/>
    <n v="61"/>
    <n v="0"/>
    <n v="419.27"/>
    <n v="223.07"/>
    <m/>
    <n v="589.52648837232186"/>
    <n v="133.74179569551256"/>
    <n v="0"/>
    <n v="2616.6640699999998"/>
    <n v="1392.1798699999999"/>
    <n v="0"/>
    <n v="3679.2348139316605"/>
    <n v="834.68254693569384"/>
  </r>
  <r>
    <s v="Regular"/>
    <x v="1"/>
    <x v="2"/>
    <x v="4"/>
    <x v="6"/>
    <x v="0"/>
    <x v="0"/>
    <x v="1"/>
    <x v="1"/>
    <n v="0"/>
    <n v="0"/>
    <n v="4.742"/>
    <n v="4.742"/>
    <n v="4.742"/>
    <n v="4.742"/>
    <n v="52"/>
    <x v="0"/>
    <n v="0"/>
    <n v="0"/>
    <n v="20"/>
    <n v="61"/>
    <n v="0"/>
    <n v="419.27"/>
    <n v="223.07"/>
    <m/>
    <n v="589.52648837232186"/>
    <n v="133.74179569551256"/>
    <n v="0"/>
    <n v="1988.1783399999999"/>
    <n v="1057.7979399999999"/>
    <n v="0"/>
    <n v="2795.5346078615503"/>
    <n v="634.20359518812063"/>
  </r>
  <r>
    <s v="Regular"/>
    <x v="1"/>
    <x v="2"/>
    <x v="4"/>
    <x v="6"/>
    <x v="0"/>
    <x v="0"/>
    <x v="1"/>
    <x v="2"/>
    <n v="0"/>
    <n v="0"/>
    <n v="5.9029999999999996"/>
    <n v="5.9029999999999996"/>
    <n v="5.9029999999999996"/>
    <n v="5.9029999999999996"/>
    <n v="56"/>
    <x v="0"/>
    <n v="0"/>
    <n v="0"/>
    <n v="20"/>
    <n v="61"/>
    <n v="0"/>
    <n v="419.27"/>
    <n v="223.07"/>
    <m/>
    <n v="589.52648837232186"/>
    <n v="133.74179569551256"/>
    <n v="0"/>
    <n v="2474.9508099999998"/>
    <n v="1316.7822099999998"/>
    <n v="0"/>
    <n v="3479.9748608618156"/>
    <n v="789.47781999061067"/>
  </r>
  <r>
    <s v="Regular"/>
    <x v="1"/>
    <x v="2"/>
    <x v="4"/>
    <x v="6"/>
    <x v="0"/>
    <x v="0"/>
    <x v="1"/>
    <x v="3"/>
    <n v="0"/>
    <n v="0"/>
    <n v="3.8780000000000001"/>
    <n v="3.8780000000000001"/>
    <n v="3.8780000000000001"/>
    <n v="3.8780000000000001"/>
    <n v="46"/>
    <x v="0"/>
    <n v="0"/>
    <n v="0"/>
    <n v="20"/>
    <n v="61"/>
    <n v="0"/>
    <n v="419.27"/>
    <n v="223.07"/>
    <m/>
    <n v="589.52648837232186"/>
    <n v="133.74179569551256"/>
    <n v="0"/>
    <n v="1625.9290599999999"/>
    <n v="865.06546000000003"/>
    <n v="0"/>
    <n v="2286.1837219078643"/>
    <n v="518.65068370719769"/>
  </r>
  <r>
    <s v="Regular"/>
    <x v="1"/>
    <x v="2"/>
    <x v="4"/>
    <x v="6"/>
    <x v="0"/>
    <x v="0"/>
    <x v="1"/>
    <x v="4"/>
    <n v="0"/>
    <n v="0"/>
    <n v="7.048"/>
    <n v="7.048"/>
    <n v="7.048"/>
    <n v="7.048"/>
    <n v="67"/>
    <x v="0"/>
    <n v="0"/>
    <n v="0"/>
    <n v="20"/>
    <n v="61"/>
    <n v="0"/>
    <n v="419.27"/>
    <n v="223.07"/>
    <m/>
    <n v="589.52648837232186"/>
    <n v="133.74179569551256"/>
    <n v="0"/>
    <n v="2955.01496"/>
    <n v="1572.1973599999999"/>
    <n v="0"/>
    <n v="4154.9826900481248"/>
    <n v="942.6121760619726"/>
  </r>
  <r>
    <s v="Regular"/>
    <x v="1"/>
    <x v="2"/>
    <x v="4"/>
    <x v="6"/>
    <x v="0"/>
    <x v="0"/>
    <x v="1"/>
    <x v="5"/>
    <n v="0"/>
    <n v="0"/>
    <n v="10.411"/>
    <n v="10.411"/>
    <n v="10.411"/>
    <n v="10.411"/>
    <n v="93"/>
    <x v="0"/>
    <n v="0"/>
    <n v="0"/>
    <n v="20"/>
    <n v="61"/>
    <n v="0"/>
    <n v="419.27"/>
    <n v="223.07"/>
    <m/>
    <n v="589.52648837232186"/>
    <n v="133.74179569551256"/>
    <n v="0"/>
    <n v="4365.0199699999994"/>
    <n v="2322.38177"/>
    <n v="0"/>
    <n v="6137.5602704442426"/>
    <n v="1392.3858349859813"/>
  </r>
  <r>
    <s v="Regular"/>
    <x v="1"/>
    <x v="2"/>
    <x v="4"/>
    <x v="6"/>
    <x v="0"/>
    <x v="0"/>
    <x v="1"/>
    <x v="6"/>
    <n v="0"/>
    <n v="0"/>
    <n v="10.984"/>
    <n v="10.984"/>
    <n v="10.984"/>
    <n v="10.984"/>
    <n v="87"/>
    <x v="0"/>
    <n v="0"/>
    <n v="0"/>
    <n v="20"/>
    <n v="61"/>
    <n v="0"/>
    <n v="419.27"/>
    <n v="223.07"/>
    <m/>
    <n v="589.52648837232186"/>
    <n v="133.74179569551256"/>
    <n v="0"/>
    <n v="4605.2616799999996"/>
    <n v="2450.2008799999999"/>
    <n v="0"/>
    <n v="6475.3589482815833"/>
    <n v="1469.01988391951"/>
  </r>
  <r>
    <s v="Regular"/>
    <x v="1"/>
    <x v="2"/>
    <x v="4"/>
    <x v="6"/>
    <x v="0"/>
    <x v="0"/>
    <x v="1"/>
    <x v="7"/>
    <n v="0"/>
    <n v="0"/>
    <n v="11.212"/>
    <n v="11.212"/>
    <n v="11.212"/>
    <n v="11.212"/>
    <n v="102"/>
    <x v="0"/>
    <n v="0"/>
    <n v="0"/>
    <n v="20"/>
    <n v="61"/>
    <n v="0"/>
    <n v="419.27"/>
    <n v="223.07"/>
    <m/>
    <n v="589.52648837232186"/>
    <n v="133.74179569551256"/>
    <n v="0"/>
    <n v="4700.8552399999999"/>
    <n v="2501.0608399999996"/>
    <n v="0"/>
    <n v="6609.7709876304725"/>
    <n v="1499.5130133380869"/>
  </r>
  <r>
    <s v="Regular"/>
    <x v="1"/>
    <x v="2"/>
    <x v="4"/>
    <x v="6"/>
    <x v="0"/>
    <x v="0"/>
    <x v="1"/>
    <x v="8"/>
    <n v="0"/>
    <n v="0"/>
    <n v="10.695"/>
    <n v="10.695"/>
    <n v="10.695"/>
    <n v="10.695"/>
    <n v="105"/>
    <x v="0"/>
    <n v="0"/>
    <n v="0"/>
    <n v="20"/>
    <n v="61"/>
    <n v="0"/>
    <n v="419.27"/>
    <n v="223.07"/>
    <m/>
    <n v="589.52648837232186"/>
    <n v="133.74179569551256"/>
    <n v="0"/>
    <n v="4484.0926499999996"/>
    <n v="2385.7336500000001"/>
    <n v="0"/>
    <n v="6304.9857931419829"/>
    <n v="1430.3685049635069"/>
  </r>
  <r>
    <s v="Regular"/>
    <x v="1"/>
    <x v="2"/>
    <x v="4"/>
    <x v="6"/>
    <x v="0"/>
    <x v="0"/>
    <x v="1"/>
    <x v="9"/>
    <n v="0"/>
    <n v="0"/>
    <n v="10.532"/>
    <n v="10.532"/>
    <n v="10.532"/>
    <n v="10.532"/>
    <n v="101"/>
    <x v="0"/>
    <n v="0"/>
    <n v="0"/>
    <n v="20"/>
    <n v="61"/>
    <n v="0"/>
    <n v="419.27"/>
    <n v="223.07"/>
    <m/>
    <n v="589.52648837232186"/>
    <n v="133.74179569551256"/>
    <n v="0"/>
    <n v="4415.7516399999995"/>
    <n v="2349.3732399999999"/>
    <n v="0"/>
    <n v="6208.8929755372938"/>
    <n v="1408.5685922651382"/>
  </r>
  <r>
    <s v="Regular"/>
    <x v="1"/>
    <x v="2"/>
    <x v="4"/>
    <x v="6"/>
    <x v="0"/>
    <x v="0"/>
    <x v="1"/>
    <x v="10"/>
    <n v="0"/>
    <n v="0"/>
    <n v="6.1269999999999998"/>
    <n v="6.1269999999999998"/>
    <n v="6.1269999999999998"/>
    <n v="6.1269999999999998"/>
    <n v="74"/>
    <x v="0"/>
    <n v="0"/>
    <n v="0"/>
    <n v="20"/>
    <n v="61"/>
    <n v="0"/>
    <n v="419.27"/>
    <n v="223.07"/>
    <m/>
    <n v="589.52648837232186"/>
    <n v="133.74179569551256"/>
    <n v="0"/>
    <n v="2568.8672899999997"/>
    <n v="1366.7498899999998"/>
    <n v="0"/>
    <n v="3612.0287942572158"/>
    <n v="819.43598222640549"/>
  </r>
  <r>
    <s v="Regular"/>
    <x v="1"/>
    <x v="2"/>
    <x v="4"/>
    <x v="6"/>
    <x v="0"/>
    <x v="0"/>
    <x v="1"/>
    <x v="11"/>
    <n v="0"/>
    <n v="0"/>
    <n v="10.805999999999999"/>
    <n v="10.805999999999999"/>
    <n v="10.805999999999999"/>
    <n v="10.805999999999999"/>
    <n v="99"/>
    <x v="0"/>
    <n v="0"/>
    <n v="0"/>
    <n v="20"/>
    <n v="61"/>
    <n v="0"/>
    <n v="419.27"/>
    <n v="223.07"/>
    <m/>
    <n v="589.52648837232186"/>
    <n v="133.74179569551256"/>
    <n v="0"/>
    <n v="4530.6316199999992"/>
    <n v="2410.4944199999995"/>
    <n v="0"/>
    <n v="6370.4232333513091"/>
    <n v="1445.2138442857088"/>
  </r>
  <r>
    <s v="Regular"/>
    <x v="2"/>
    <x v="2"/>
    <x v="2"/>
    <x v="0"/>
    <x v="0"/>
    <x v="0"/>
    <x v="1"/>
    <x v="0"/>
    <n v="0"/>
    <n v="0"/>
    <n v="37.402000000000001"/>
    <n v="37.402000000000001"/>
    <n v="37.402000000000001"/>
    <n v="37.402000000000001"/>
    <n v="174"/>
    <x v="0"/>
    <n v="0"/>
    <n v="0"/>
    <n v="75"/>
    <n v="53"/>
    <n v="0"/>
    <n v="424.73"/>
    <n v="196.3"/>
    <m/>
    <n v="643.74466388362384"/>
    <n v="124.37986999682667"/>
    <n v="0"/>
    <n v="15885.751460000001"/>
    <n v="7342.0126000000009"/>
    <n v="0"/>
    <n v="24077.3379185753"/>
    <n v="4652.0558976213115"/>
  </r>
  <r>
    <s v="Sistema de Compensação"/>
    <x v="2"/>
    <x v="2"/>
    <x v="2"/>
    <x v="0"/>
    <x v="0"/>
    <x v="0"/>
    <x v="1"/>
    <x v="0"/>
    <n v="0"/>
    <n v="0"/>
    <n v="2.456"/>
    <n v="2.456"/>
    <n v="2.456"/>
    <n v="2.456"/>
    <n v="5"/>
    <x v="0"/>
    <n v="0"/>
    <n v="0"/>
    <n v="75"/>
    <n v="53"/>
    <n v="0"/>
    <n v="424.73"/>
    <n v="196.3"/>
    <m/>
    <n v="643.74466388362384"/>
    <n v="124.37986999682667"/>
    <n v="0"/>
    <n v="1043.13688"/>
    <n v="482.11279999999999"/>
    <n v="0"/>
    <n v="1581.0368944981801"/>
    <n v="305.47696071220628"/>
  </r>
  <r>
    <s v="Regular"/>
    <x v="2"/>
    <x v="2"/>
    <x v="2"/>
    <x v="0"/>
    <x v="0"/>
    <x v="0"/>
    <x v="1"/>
    <x v="1"/>
    <n v="0"/>
    <n v="0"/>
    <n v="37.35"/>
    <n v="37.35"/>
    <n v="37.35"/>
    <n v="37.35"/>
    <n v="176"/>
    <x v="0"/>
    <n v="0"/>
    <n v="0"/>
    <n v="75"/>
    <n v="53"/>
    <n v="0"/>
    <n v="424.73"/>
    <n v="196.3"/>
    <m/>
    <n v="643.74466388362384"/>
    <n v="124.37986999682667"/>
    <n v="0"/>
    <n v="15863.665500000001"/>
    <n v="7331.8050000000003"/>
    <n v="0"/>
    <n v="24043.863196053353"/>
    <n v="4645.588144381476"/>
  </r>
  <r>
    <s v="Sistema de Compensação"/>
    <x v="2"/>
    <x v="2"/>
    <x v="2"/>
    <x v="0"/>
    <x v="0"/>
    <x v="0"/>
    <x v="1"/>
    <x v="1"/>
    <n v="0"/>
    <n v="0"/>
    <n v="2.9449999999999998"/>
    <n v="2.9449999999999998"/>
    <n v="2.9449999999999998"/>
    <n v="2.9449999999999998"/>
    <n v="5"/>
    <x v="0"/>
    <n v="0"/>
    <n v="0"/>
    <n v="75"/>
    <n v="53"/>
    <n v="0"/>
    <n v="424.73"/>
    <n v="196.3"/>
    <m/>
    <n v="643.74466388362384"/>
    <n v="124.37986999682667"/>
    <n v="0"/>
    <n v="1250.8298500000001"/>
    <n v="578.10350000000005"/>
    <n v="0"/>
    <n v="1895.8280351372721"/>
    <n v="366.2987171406545"/>
  </r>
  <r>
    <s v="Regular"/>
    <x v="2"/>
    <x v="2"/>
    <x v="2"/>
    <x v="0"/>
    <x v="0"/>
    <x v="0"/>
    <x v="1"/>
    <x v="2"/>
    <n v="0"/>
    <n v="0"/>
    <n v="40.924999999999997"/>
    <n v="40.924999999999997"/>
    <n v="40.924999999999997"/>
    <n v="40.924999999999997"/>
    <n v="174"/>
    <x v="0"/>
    <n v="0"/>
    <n v="0"/>
    <n v="75"/>
    <n v="53"/>
    <n v="0"/>
    <n v="424.73"/>
    <n v="196.3"/>
    <m/>
    <n v="643.74466388362384"/>
    <n v="124.37986999682667"/>
    <n v="0"/>
    <n v="17382.075249999998"/>
    <n v="8033.5775000000003"/>
    <n v="0"/>
    <n v="26345.250369437304"/>
    <n v="5090.2461796201314"/>
  </r>
  <r>
    <s v="Refaturamento - Regular"/>
    <x v="2"/>
    <x v="2"/>
    <x v="2"/>
    <x v="0"/>
    <x v="0"/>
    <x v="0"/>
    <x v="1"/>
    <x v="2"/>
    <n v="0"/>
    <n v="0"/>
    <n v="-1.7999999999999999E-2"/>
    <n v="-1.7999999999999999E-2"/>
    <n v="-1.7999999999999999E-2"/>
    <n v="-1.7999999999999999E-2"/>
    <n v="0"/>
    <x v="0"/>
    <n v="0"/>
    <n v="0"/>
    <n v="75"/>
    <n v="53"/>
    <n v="0"/>
    <n v="424.73"/>
    <n v="196.3"/>
    <m/>
    <n v="643.74466388362384"/>
    <n v="124.37986999682667"/>
    <n v="0"/>
    <n v="-7.6451399999999996"/>
    <n v="-3.5333999999999999"/>
    <n v="0"/>
    <n v="-11.587403949905228"/>
    <n v="-2.2388376599428801"/>
  </r>
  <r>
    <s v="Sistema de Compensação"/>
    <x v="2"/>
    <x v="2"/>
    <x v="2"/>
    <x v="0"/>
    <x v="0"/>
    <x v="0"/>
    <x v="1"/>
    <x v="2"/>
    <n v="0"/>
    <n v="0"/>
    <n v="0.43"/>
    <n v="0.43"/>
    <n v="0.43"/>
    <n v="0.43"/>
    <n v="5"/>
    <x v="0"/>
    <n v="0"/>
    <n v="0"/>
    <n v="75"/>
    <n v="53"/>
    <n v="0"/>
    <n v="424.73"/>
    <n v="196.3"/>
    <m/>
    <n v="643.74466388362384"/>
    <n v="124.37986999682667"/>
    <n v="0"/>
    <n v="182.63390000000001"/>
    <n v="84.409000000000006"/>
    <n v="0"/>
    <n v="276.81020546995825"/>
    <n v="53.48334409863547"/>
  </r>
  <r>
    <s v="Regular"/>
    <x v="2"/>
    <x v="2"/>
    <x v="2"/>
    <x v="0"/>
    <x v="0"/>
    <x v="0"/>
    <x v="1"/>
    <x v="3"/>
    <n v="0"/>
    <n v="0"/>
    <n v="46.731999999999999"/>
    <n v="46.731999999999999"/>
    <n v="46.731999999999999"/>
    <n v="46.731999999999999"/>
    <n v="175"/>
    <x v="0"/>
    <n v="0"/>
    <n v="0"/>
    <n v="75"/>
    <n v="53"/>
    <n v="0"/>
    <n v="424.73"/>
    <n v="196.3"/>
    <m/>
    <n v="643.74466388362384"/>
    <n v="124.37986999682667"/>
    <n v="0"/>
    <n v="19848.482360000002"/>
    <n v="9173.4916000000012"/>
    <n v="0"/>
    <n v="30083.475632609508"/>
    <n v="5812.5200846917041"/>
  </r>
  <r>
    <s v="Sistema de Compensação"/>
    <x v="2"/>
    <x v="2"/>
    <x v="2"/>
    <x v="0"/>
    <x v="0"/>
    <x v="0"/>
    <x v="1"/>
    <x v="3"/>
    <n v="0"/>
    <n v="0"/>
    <n v="0.43"/>
    <n v="0.43"/>
    <n v="0.43"/>
    <n v="0.43"/>
    <n v="5"/>
    <x v="0"/>
    <n v="0"/>
    <n v="0"/>
    <n v="75"/>
    <n v="53"/>
    <n v="0"/>
    <n v="424.73"/>
    <n v="196.3"/>
    <m/>
    <n v="643.74466388362384"/>
    <n v="124.37986999682667"/>
    <n v="0"/>
    <n v="182.63390000000001"/>
    <n v="84.409000000000006"/>
    <n v="0"/>
    <n v="276.81020546995825"/>
    <n v="53.48334409863547"/>
  </r>
  <r>
    <s v="Regular"/>
    <x v="2"/>
    <x v="2"/>
    <x v="2"/>
    <x v="0"/>
    <x v="0"/>
    <x v="0"/>
    <x v="1"/>
    <x v="4"/>
    <n v="0"/>
    <n v="0"/>
    <n v="50.945999999999998"/>
    <n v="50.945999999999998"/>
    <n v="50.945999999999998"/>
    <n v="50.945999999999998"/>
    <n v="174"/>
    <x v="0"/>
    <n v="0"/>
    <n v="0"/>
    <n v="75"/>
    <n v="53"/>
    <n v="0"/>
    <n v="424.73"/>
    <n v="196.3"/>
    <m/>
    <n v="643.74466388362384"/>
    <n v="124.37986999682667"/>
    <n v="0"/>
    <n v="21638.294580000002"/>
    <n v="10000.6998"/>
    <n v="0"/>
    <n v="32796.215646215096"/>
    <n v="6336.6568568583316"/>
  </r>
  <r>
    <s v="Sistema de Compensação"/>
    <x v="2"/>
    <x v="2"/>
    <x v="2"/>
    <x v="0"/>
    <x v="0"/>
    <x v="0"/>
    <x v="1"/>
    <x v="4"/>
    <n v="0"/>
    <n v="0"/>
    <n v="0.43"/>
    <n v="0.43"/>
    <n v="0.43"/>
    <n v="0.43"/>
    <n v="5"/>
    <x v="0"/>
    <n v="0"/>
    <n v="0"/>
    <n v="75"/>
    <n v="53"/>
    <n v="0"/>
    <n v="424.73"/>
    <n v="196.3"/>
    <m/>
    <n v="643.74466388362384"/>
    <n v="124.37986999682667"/>
    <n v="0"/>
    <n v="182.63390000000001"/>
    <n v="84.409000000000006"/>
    <n v="0"/>
    <n v="276.81020546995825"/>
    <n v="53.48334409863547"/>
  </r>
  <r>
    <s v="Regular"/>
    <x v="2"/>
    <x v="2"/>
    <x v="2"/>
    <x v="0"/>
    <x v="0"/>
    <x v="0"/>
    <x v="1"/>
    <x v="5"/>
    <n v="0"/>
    <n v="0"/>
    <n v="61.805999999999997"/>
    <n v="61.805999999999997"/>
    <n v="61.805999999999997"/>
    <n v="61.805999999999997"/>
    <n v="174"/>
    <x v="0"/>
    <n v="0"/>
    <n v="0"/>
    <n v="75"/>
    <n v="53"/>
    <n v="0"/>
    <n v="424.73"/>
    <n v="196.3"/>
    <m/>
    <n v="643.74466388362384"/>
    <n v="124.37986999682667"/>
    <n v="0"/>
    <n v="26250.862379999999"/>
    <n v="12132.5178"/>
    <n v="0"/>
    <n v="39787.282695991256"/>
    <n v="7687.4222450238685"/>
  </r>
  <r>
    <s v="Regular"/>
    <x v="2"/>
    <x v="2"/>
    <x v="2"/>
    <x v="0"/>
    <x v="0"/>
    <x v="0"/>
    <x v="1"/>
    <x v="6"/>
    <n v="0"/>
    <n v="0"/>
    <n v="47.210999999999999"/>
    <n v="47.210999999999999"/>
    <n v="47.210999999999999"/>
    <n v="47.210999999999999"/>
    <n v="174"/>
    <x v="0"/>
    <n v="0"/>
    <n v="0"/>
    <n v="75"/>
    <n v="53"/>
    <n v="0"/>
    <n v="424.73"/>
    <n v="196.3"/>
    <m/>
    <n v="643.74466388362384"/>
    <n v="124.37986999682667"/>
    <n v="0"/>
    <n v="20051.928029999999"/>
    <n v="9267.5192999999999"/>
    <n v="0"/>
    <n v="30391.829326609764"/>
    <n v="5872.0980424201834"/>
  </r>
  <r>
    <s v="Sistema de Compensação"/>
    <x v="2"/>
    <x v="2"/>
    <x v="2"/>
    <x v="0"/>
    <x v="0"/>
    <x v="0"/>
    <x v="1"/>
    <x v="6"/>
    <n v="0"/>
    <n v="0"/>
    <n v="0.58199999999999996"/>
    <n v="0.58199999999999996"/>
    <n v="0.58199999999999996"/>
    <n v="0.58199999999999996"/>
    <n v="7"/>
    <x v="0"/>
    <n v="0"/>
    <n v="0"/>
    <n v="75"/>
    <n v="53"/>
    <n v="0"/>
    <n v="424.73"/>
    <n v="196.3"/>
    <m/>
    <n v="643.74466388362384"/>
    <n v="124.37986999682667"/>
    <n v="0"/>
    <n v="247.19286"/>
    <n v="114.2466"/>
    <n v="0"/>
    <n v="374.65939438026908"/>
    <n v="72.389084338153111"/>
  </r>
  <r>
    <s v="Regular"/>
    <x v="2"/>
    <x v="2"/>
    <x v="2"/>
    <x v="0"/>
    <x v="0"/>
    <x v="0"/>
    <x v="1"/>
    <x v="7"/>
    <n v="0"/>
    <n v="0"/>
    <n v="39.631999999999998"/>
    <n v="39.631999999999998"/>
    <n v="39.631999999999998"/>
    <n v="39.631999999999998"/>
    <n v="173"/>
    <x v="0"/>
    <n v="0"/>
    <n v="0"/>
    <n v="75"/>
    <n v="53"/>
    <n v="0"/>
    <n v="424.73"/>
    <n v="196.3"/>
    <m/>
    <n v="643.74466388362384"/>
    <n v="124.37986999682667"/>
    <n v="0"/>
    <n v="16832.899359999999"/>
    <n v="7779.7615999999998"/>
    <n v="0"/>
    <n v="25512.88851903578"/>
    <n v="4929.4230077142347"/>
  </r>
  <r>
    <s v="Sistema de Compensação"/>
    <x v="2"/>
    <x v="2"/>
    <x v="2"/>
    <x v="0"/>
    <x v="0"/>
    <x v="0"/>
    <x v="1"/>
    <x v="7"/>
    <n v="0"/>
    <n v="0"/>
    <n v="0.92800000000000005"/>
    <n v="0.92800000000000005"/>
    <n v="0.92800000000000005"/>
    <n v="0.92800000000000005"/>
    <n v="8"/>
    <x v="0"/>
    <n v="0"/>
    <n v="0"/>
    <n v="75"/>
    <n v="53"/>
    <n v="0"/>
    <n v="424.73"/>
    <n v="196.3"/>
    <m/>
    <n v="643.74466388362384"/>
    <n v="124.37986999682667"/>
    <n v="0"/>
    <n v="394.14944000000003"/>
    <n v="182.16640000000001"/>
    <n v="0"/>
    <n v="597.39504808400295"/>
    <n v="115.42451935705516"/>
  </r>
  <r>
    <s v="Regular"/>
    <x v="2"/>
    <x v="2"/>
    <x v="2"/>
    <x v="0"/>
    <x v="0"/>
    <x v="0"/>
    <x v="1"/>
    <x v="8"/>
    <n v="0"/>
    <n v="0"/>
    <n v="35.756"/>
    <n v="35.756"/>
    <n v="35.756"/>
    <n v="35.756"/>
    <n v="170"/>
    <x v="0"/>
    <n v="0"/>
    <n v="0"/>
    <n v="75"/>
    <n v="53"/>
    <n v="0"/>
    <n v="424.73"/>
    <n v="196.3"/>
    <m/>
    <n v="643.74466388362384"/>
    <n v="124.37986999682667"/>
    <n v="0"/>
    <n v="15186.64588"/>
    <n v="7018.9028000000008"/>
    <n v="0"/>
    <n v="23017.734201822856"/>
    <n v="4447.3266316065346"/>
  </r>
  <r>
    <s v="Sistema de Compensação"/>
    <x v="2"/>
    <x v="2"/>
    <x v="2"/>
    <x v="0"/>
    <x v="0"/>
    <x v="0"/>
    <x v="1"/>
    <x v="8"/>
    <n v="0"/>
    <n v="0"/>
    <n v="0.876"/>
    <n v="0.876"/>
    <n v="0.876"/>
    <n v="0.876"/>
    <n v="8"/>
    <x v="0"/>
    <n v="0"/>
    <n v="0"/>
    <n v="75"/>
    <n v="53"/>
    <n v="0"/>
    <n v="424.73"/>
    <n v="196.3"/>
    <m/>
    <n v="643.74466388362384"/>
    <n v="124.37986999682667"/>
    <n v="0"/>
    <n v="372.06348000000003"/>
    <n v="171.9588"/>
    <n v="0"/>
    <n v="563.92032556205447"/>
    <n v="108.95676611722017"/>
  </r>
  <r>
    <s v="Regular"/>
    <x v="2"/>
    <x v="2"/>
    <x v="2"/>
    <x v="0"/>
    <x v="0"/>
    <x v="0"/>
    <x v="1"/>
    <x v="9"/>
    <n v="0"/>
    <n v="0"/>
    <n v="36.369999999999997"/>
    <n v="36.369999999999997"/>
    <n v="36.369999999999997"/>
    <n v="36.369999999999997"/>
    <n v="170"/>
    <x v="0"/>
    <n v="0"/>
    <n v="0"/>
    <n v="75"/>
    <n v="53"/>
    <n v="0"/>
    <n v="424.73"/>
    <n v="196.3"/>
    <m/>
    <n v="643.74466388362384"/>
    <n v="124.37986999682667"/>
    <n v="0"/>
    <n v="15447.4301"/>
    <n v="7139.4309999999996"/>
    <n v="0"/>
    <n v="23412.993425447399"/>
    <n v="4523.6958717845855"/>
  </r>
  <r>
    <s v="Sistema de Compensação"/>
    <x v="2"/>
    <x v="2"/>
    <x v="2"/>
    <x v="0"/>
    <x v="0"/>
    <x v="0"/>
    <x v="1"/>
    <x v="9"/>
    <n v="0"/>
    <n v="0"/>
    <n v="3.0179999999999998"/>
    <n v="3.0179999999999998"/>
    <n v="3.0179999999999998"/>
    <n v="3.0179999999999998"/>
    <n v="8"/>
    <x v="0"/>
    <n v="0"/>
    <n v="0"/>
    <n v="75"/>
    <n v="53"/>
    <n v="0"/>
    <n v="424.73"/>
    <n v="196.3"/>
    <m/>
    <n v="643.74466388362384"/>
    <n v="124.37986999682667"/>
    <n v="0"/>
    <n v="1281.8351399999999"/>
    <n v="592.43340000000001"/>
    <n v="0"/>
    <n v="1942.8213956007767"/>
    <n v="375.37844765042286"/>
  </r>
  <r>
    <s v="Regular"/>
    <x v="2"/>
    <x v="2"/>
    <x v="2"/>
    <x v="0"/>
    <x v="0"/>
    <x v="0"/>
    <x v="1"/>
    <x v="10"/>
    <n v="0"/>
    <n v="0"/>
    <n v="30.863"/>
    <n v="30.863"/>
    <n v="30.863"/>
    <n v="30.863"/>
    <n v="167"/>
    <x v="0"/>
    <n v="0"/>
    <n v="0"/>
    <n v="75"/>
    <n v="53"/>
    <n v="0"/>
    <n v="424.73"/>
    <n v="196.3"/>
    <m/>
    <n v="643.74466388362384"/>
    <n v="124.37986999682667"/>
    <n v="0"/>
    <n v="13108.441990000001"/>
    <n v="6058.4069"/>
    <n v="0"/>
    <n v="19867.891561440283"/>
    <n v="3838.7359277120613"/>
  </r>
  <r>
    <s v="Sistema de Compensação"/>
    <x v="2"/>
    <x v="2"/>
    <x v="2"/>
    <x v="0"/>
    <x v="0"/>
    <x v="0"/>
    <x v="1"/>
    <x v="10"/>
    <n v="0"/>
    <n v="0"/>
    <n v="0.85699999999999998"/>
    <n v="0.85699999999999998"/>
    <n v="0.85699999999999998"/>
    <n v="0.85699999999999998"/>
    <n v="8"/>
    <x v="0"/>
    <n v="0"/>
    <n v="0"/>
    <n v="75"/>
    <n v="53"/>
    <n v="0"/>
    <n v="424.73"/>
    <n v="196.3"/>
    <m/>
    <n v="643.74466388362384"/>
    <n v="124.37986999682667"/>
    <n v="0"/>
    <n v="363.99360999999999"/>
    <n v="168.22910000000002"/>
    <n v="0"/>
    <n v="551.68917694826564"/>
    <n v="106.59354858728045"/>
  </r>
  <r>
    <s v="Regular"/>
    <x v="2"/>
    <x v="2"/>
    <x v="2"/>
    <x v="0"/>
    <x v="0"/>
    <x v="0"/>
    <x v="1"/>
    <x v="11"/>
    <n v="0"/>
    <n v="0"/>
    <n v="35.078000000000003"/>
    <n v="35.078000000000003"/>
    <n v="35.078000000000003"/>
    <n v="35.078000000000003"/>
    <n v="169"/>
    <x v="0"/>
    <n v="0"/>
    <n v="0"/>
    <n v="75"/>
    <n v="53"/>
    <n v="0"/>
    <n v="424.73"/>
    <n v="196.3"/>
    <m/>
    <n v="643.74466388362384"/>
    <n v="124.37986999682667"/>
    <n v="0"/>
    <n v="14898.678940000002"/>
    <n v="6885.8114000000014"/>
    <n v="0"/>
    <n v="22581.275319709759"/>
    <n v="4362.9970797486867"/>
  </r>
  <r>
    <s v="Sistema de Compensação"/>
    <x v="2"/>
    <x v="2"/>
    <x v="2"/>
    <x v="0"/>
    <x v="0"/>
    <x v="0"/>
    <x v="1"/>
    <x v="11"/>
    <n v="0"/>
    <n v="0"/>
    <n v="0.57299999999999995"/>
    <n v="0.57299999999999995"/>
    <n v="0.57299999999999995"/>
    <n v="0.57299999999999995"/>
    <n v="8"/>
    <x v="0"/>
    <n v="0"/>
    <n v="0"/>
    <n v="75"/>
    <n v="53"/>
    <n v="0"/>
    <n v="424.73"/>
    <n v="196.3"/>
    <m/>
    <n v="643.74466388362384"/>
    <n v="124.37986999682667"/>
    <n v="0"/>
    <n v="243.37028999999998"/>
    <n v="112.4799"/>
    <n v="0"/>
    <n v="368.86569240531645"/>
    <n v="71.269665508181674"/>
  </r>
  <r>
    <s v="Regular"/>
    <x v="3"/>
    <x v="1"/>
    <x v="0"/>
    <x v="0"/>
    <x v="0"/>
    <x v="0"/>
    <x v="0"/>
    <x v="0"/>
    <n v="0"/>
    <n v="0"/>
    <n v="0.82199999999999995"/>
    <n v="0.82199999999999995"/>
    <n v="0.82199999999999995"/>
    <n v="0.82199999999999995"/>
    <n v="0"/>
    <x v="0"/>
    <n v="0"/>
    <n v="0"/>
    <n v="78"/>
    <n v="60"/>
    <n v="0"/>
    <n v="361.54"/>
    <n v="223.07"/>
    <m/>
    <n v="514.03002174283949"/>
    <n v="133.74179569551256"/>
    <n v="0"/>
    <n v="297.18588"/>
    <n v="183.36353999999997"/>
    <n v="0"/>
    <n v="422.53267787261404"/>
    <n v="109.93575606171132"/>
  </r>
  <r>
    <s v="Regular"/>
    <x v="3"/>
    <x v="1"/>
    <x v="0"/>
    <x v="0"/>
    <x v="0"/>
    <x v="0"/>
    <x v="0"/>
    <x v="1"/>
    <n v="0"/>
    <n v="0"/>
    <n v="0.89200000000000002"/>
    <n v="0.89200000000000002"/>
    <n v="0.89200000000000002"/>
    <n v="0.89200000000000002"/>
    <n v="0"/>
    <x v="0"/>
    <n v="0"/>
    <n v="0"/>
    <n v="78"/>
    <n v="60"/>
    <n v="0"/>
    <n v="361.54"/>
    <n v="223.07"/>
    <m/>
    <n v="514.03002174283949"/>
    <n v="133.74179569551256"/>
    <n v="0"/>
    <n v="322.49368000000004"/>
    <n v="198.97844000000001"/>
    <n v="0"/>
    <n v="458.51477939461284"/>
    <n v="119.29768176039721"/>
  </r>
  <r>
    <s v="Regular"/>
    <x v="3"/>
    <x v="1"/>
    <x v="0"/>
    <x v="0"/>
    <x v="0"/>
    <x v="0"/>
    <x v="0"/>
    <x v="2"/>
    <n v="0"/>
    <n v="0"/>
    <n v="0.68200000000000005"/>
    <n v="0.68200000000000005"/>
    <n v="0.68200000000000005"/>
    <n v="0.68200000000000005"/>
    <n v="0"/>
    <x v="0"/>
    <n v="0"/>
    <n v="0"/>
    <n v="78"/>
    <n v="60"/>
    <n v="0"/>
    <n v="361.54"/>
    <n v="223.07"/>
    <m/>
    <n v="514.03002174283949"/>
    <n v="133.74179569551256"/>
    <n v="0"/>
    <n v="246.57028000000003"/>
    <n v="152.13374000000002"/>
    <n v="0"/>
    <n v="350.56847482861656"/>
    <n v="91.211904664339571"/>
  </r>
  <r>
    <s v="Sistema de Compensação"/>
    <x v="3"/>
    <x v="1"/>
    <x v="0"/>
    <x v="0"/>
    <x v="0"/>
    <x v="0"/>
    <x v="0"/>
    <x v="2"/>
    <n v="0"/>
    <n v="0"/>
    <n v="0.55200000000000005"/>
    <n v="0.55200000000000005"/>
    <n v="0.55200000000000005"/>
    <n v="0.55200000000000005"/>
    <n v="0"/>
    <x v="0"/>
    <n v="0"/>
    <n v="0"/>
    <n v="78"/>
    <n v="60"/>
    <n v="0"/>
    <n v="361.54"/>
    <n v="223.07"/>
    <m/>
    <n v="514.03002174283949"/>
    <n v="133.74179569551256"/>
    <n v="0"/>
    <n v="199.57008000000002"/>
    <n v="123.13464"/>
    <n v="0"/>
    <n v="283.74457200204745"/>
    <n v="73.825471223922946"/>
  </r>
  <r>
    <s v="Regular"/>
    <x v="3"/>
    <x v="1"/>
    <x v="0"/>
    <x v="0"/>
    <x v="0"/>
    <x v="0"/>
    <x v="0"/>
    <x v="3"/>
    <n v="0"/>
    <n v="0"/>
    <n v="4.0019999999999998"/>
    <n v="4.0019999999999998"/>
    <n v="4.0019999999999998"/>
    <n v="4.0019999999999998"/>
    <n v="0"/>
    <x v="0"/>
    <n v="0"/>
    <n v="0"/>
    <n v="78"/>
    <n v="60"/>
    <n v="0"/>
    <n v="361.54"/>
    <n v="223.07"/>
    <m/>
    <n v="514.03002174283949"/>
    <n v="133.74179569551256"/>
    <n v="0"/>
    <n v="1446.8830800000001"/>
    <n v="892.72613999999987"/>
    <n v="0"/>
    <n v="2057.1481470148437"/>
    <n v="535.2346663734412"/>
  </r>
  <r>
    <s v="Regular"/>
    <x v="3"/>
    <x v="1"/>
    <x v="0"/>
    <x v="0"/>
    <x v="0"/>
    <x v="0"/>
    <x v="0"/>
    <x v="4"/>
    <n v="0"/>
    <n v="0"/>
    <n v="5.399"/>
    <n v="5.399"/>
    <n v="5.399"/>
    <n v="5.399"/>
    <n v="0"/>
    <x v="0"/>
    <n v="0"/>
    <n v="0"/>
    <n v="78"/>
    <n v="60"/>
    <n v="0"/>
    <n v="361.54"/>
    <n v="223.07"/>
    <m/>
    <n v="514.03002174283949"/>
    <n v="133.74179569551256"/>
    <n v="0"/>
    <n v="1951.9544600000002"/>
    <n v="1204.35493"/>
    <n v="0"/>
    <n v="2775.2480873895906"/>
    <n v="722.07195496007239"/>
  </r>
  <r>
    <s v="Sistema de Compensação"/>
    <x v="3"/>
    <x v="1"/>
    <x v="0"/>
    <x v="0"/>
    <x v="0"/>
    <x v="0"/>
    <x v="0"/>
    <x v="4"/>
    <n v="0"/>
    <n v="0"/>
    <n v="0.06"/>
    <n v="0.06"/>
    <n v="0.06"/>
    <n v="0.06"/>
    <n v="0"/>
    <x v="0"/>
    <n v="0"/>
    <n v="0"/>
    <n v="78"/>
    <n v="60"/>
    <n v="0"/>
    <n v="361.54"/>
    <n v="223.07"/>
    <m/>
    <n v="514.03002174283949"/>
    <n v="133.74179569551256"/>
    <n v="0"/>
    <n v="21.692399999999999"/>
    <n v="13.3842"/>
    <n v="0"/>
    <n v="30.841801304570367"/>
    <n v="8.0245077417307531"/>
  </r>
  <r>
    <s v="Regular"/>
    <x v="3"/>
    <x v="1"/>
    <x v="0"/>
    <x v="0"/>
    <x v="0"/>
    <x v="0"/>
    <x v="0"/>
    <x v="5"/>
    <n v="0"/>
    <n v="0"/>
    <n v="6.41"/>
    <n v="6.41"/>
    <n v="6.41"/>
    <n v="6.41"/>
    <n v="0"/>
    <x v="0"/>
    <n v="0"/>
    <n v="0"/>
    <n v="78"/>
    <n v="60"/>
    <n v="0"/>
    <n v="361.54"/>
    <n v="223.07"/>
    <m/>
    <n v="514.03002174283949"/>
    <n v="133.74179569551256"/>
    <n v="0"/>
    <n v="2317.4714000000004"/>
    <n v="1429.8787"/>
    <n v="0"/>
    <n v="3294.932439371601"/>
    <n v="857.28491040823553"/>
  </r>
  <r>
    <s v="Regular"/>
    <x v="3"/>
    <x v="1"/>
    <x v="0"/>
    <x v="0"/>
    <x v="0"/>
    <x v="0"/>
    <x v="0"/>
    <x v="6"/>
    <n v="0"/>
    <n v="0"/>
    <n v="6.7530000000000001"/>
    <n v="6.7530000000000001"/>
    <n v="6.7530000000000001"/>
    <n v="6.7530000000000001"/>
    <n v="0"/>
    <x v="0"/>
    <n v="0"/>
    <n v="0"/>
    <n v="78"/>
    <n v="60"/>
    <n v="0"/>
    <n v="361.54"/>
    <n v="223.07"/>
    <m/>
    <n v="514.03002174283949"/>
    <n v="133.74179569551256"/>
    <n v="0"/>
    <n v="2441.4796200000001"/>
    <n v="1506.3917099999999"/>
    <n v="0"/>
    <n v="3471.2447368293952"/>
    <n v="903.15834633179634"/>
  </r>
  <r>
    <s v="Sistema de Compensação"/>
    <x v="3"/>
    <x v="1"/>
    <x v="0"/>
    <x v="0"/>
    <x v="0"/>
    <x v="0"/>
    <x v="0"/>
    <x v="6"/>
    <n v="0"/>
    <n v="0"/>
    <n v="0.95899999999999996"/>
    <n v="0.95899999999999996"/>
    <n v="0.95899999999999996"/>
    <n v="0.95899999999999996"/>
    <n v="0"/>
    <x v="0"/>
    <n v="0"/>
    <n v="0"/>
    <n v="78"/>
    <n v="60"/>
    <n v="0"/>
    <n v="361.54"/>
    <n v="223.07"/>
    <m/>
    <n v="514.03002174283949"/>
    <n v="133.74179569551256"/>
    <n v="0"/>
    <n v="346.71686"/>
    <n v="213.92412999999999"/>
    <n v="0"/>
    <n v="492.95479085138305"/>
    <n v="128.25838207199655"/>
  </r>
  <r>
    <s v="Regular"/>
    <x v="3"/>
    <x v="1"/>
    <x v="0"/>
    <x v="0"/>
    <x v="0"/>
    <x v="0"/>
    <x v="0"/>
    <x v="7"/>
    <n v="0"/>
    <n v="0"/>
    <n v="5.5650000000000004"/>
    <n v="5.5650000000000004"/>
    <n v="5.5650000000000004"/>
    <n v="5.5650000000000004"/>
    <n v="0"/>
    <x v="0"/>
    <n v="0"/>
    <n v="0"/>
    <n v="78"/>
    <n v="60"/>
    <n v="0"/>
    <n v="361.54"/>
    <n v="223.07"/>
    <m/>
    <n v="514.03002174283949"/>
    <n v="133.74179569551256"/>
    <n v="0"/>
    <n v="2011.9701000000002"/>
    <n v="1241.38455"/>
    <n v="0"/>
    <n v="2860.5770709989019"/>
    <n v="744.2730930455275"/>
  </r>
  <r>
    <s v="Sistema de Compensação"/>
    <x v="3"/>
    <x v="1"/>
    <x v="0"/>
    <x v="0"/>
    <x v="0"/>
    <x v="0"/>
    <x v="0"/>
    <x v="7"/>
    <n v="0"/>
    <n v="0"/>
    <n v="0.65400000000000003"/>
    <n v="0.65400000000000003"/>
    <n v="0.65400000000000003"/>
    <n v="0.65400000000000003"/>
    <n v="0"/>
    <x v="0"/>
    <n v="0"/>
    <n v="0"/>
    <n v="78"/>
    <n v="60"/>
    <n v="0"/>
    <n v="361.54"/>
    <n v="223.07"/>
    <m/>
    <n v="514.03002174283949"/>
    <n v="133.74179569551256"/>
    <n v="0"/>
    <n v="236.44716000000003"/>
    <n v="145.88777999999999"/>
    <n v="0"/>
    <n v="336.17563421981703"/>
    <n v="87.467134384865219"/>
  </r>
  <r>
    <s v="Regular"/>
    <x v="3"/>
    <x v="1"/>
    <x v="0"/>
    <x v="0"/>
    <x v="0"/>
    <x v="0"/>
    <x v="0"/>
    <x v="8"/>
    <n v="0"/>
    <n v="0"/>
    <n v="5.5469999999999997"/>
    <n v="5.5469999999999997"/>
    <n v="5.5469999999999997"/>
    <n v="5.5469999999999997"/>
    <n v="0"/>
    <x v="0"/>
    <n v="0"/>
    <n v="0"/>
    <n v="78"/>
    <n v="60"/>
    <n v="0"/>
    <n v="361.54"/>
    <n v="223.07"/>
    <m/>
    <n v="514.03002174283949"/>
    <n v="133.74179569551256"/>
    <n v="0"/>
    <n v="2005.4623799999999"/>
    <n v="1237.3692899999999"/>
    <n v="0"/>
    <n v="2851.3245306075305"/>
    <n v="741.86574072300812"/>
  </r>
  <r>
    <s v="Sistema de Compensação"/>
    <x v="3"/>
    <x v="1"/>
    <x v="0"/>
    <x v="0"/>
    <x v="0"/>
    <x v="0"/>
    <x v="0"/>
    <x v="8"/>
    <n v="0"/>
    <n v="0"/>
    <n v="0.58699999999999997"/>
    <n v="0.58699999999999997"/>
    <n v="0.58699999999999997"/>
    <n v="0.58699999999999997"/>
    <n v="0"/>
    <x v="0"/>
    <n v="0"/>
    <n v="0"/>
    <n v="78"/>
    <n v="60"/>
    <n v="0"/>
    <n v="361.54"/>
    <n v="223.07"/>
    <m/>
    <n v="514.03002174283949"/>
    <n v="133.74179569551256"/>
    <n v="0"/>
    <n v="212.22398000000001"/>
    <n v="130.94208999999998"/>
    <n v="0"/>
    <n v="301.73562276304676"/>
    <n v="78.506434073265865"/>
  </r>
  <r>
    <s v="Regular"/>
    <x v="3"/>
    <x v="1"/>
    <x v="0"/>
    <x v="0"/>
    <x v="0"/>
    <x v="0"/>
    <x v="0"/>
    <x v="9"/>
    <n v="0"/>
    <n v="0"/>
    <n v="4.6020000000000003"/>
    <n v="4.6020000000000003"/>
    <n v="4.6020000000000003"/>
    <n v="4.6020000000000003"/>
    <n v="0"/>
    <x v="0"/>
    <n v="0"/>
    <n v="0"/>
    <n v="78"/>
    <n v="60"/>
    <n v="0"/>
    <n v="361.54"/>
    <n v="223.07"/>
    <m/>
    <n v="514.03002174283949"/>
    <n v="133.74179569551256"/>
    <n v="0"/>
    <n v="1663.8070800000003"/>
    <n v="1026.5681400000001"/>
    <n v="0"/>
    <n v="2365.5661600605476"/>
    <n v="615.4797437907489"/>
  </r>
  <r>
    <s v="Sistema de Compensação"/>
    <x v="3"/>
    <x v="1"/>
    <x v="0"/>
    <x v="0"/>
    <x v="0"/>
    <x v="0"/>
    <x v="0"/>
    <x v="9"/>
    <n v="0"/>
    <n v="0"/>
    <n v="0.505"/>
    <n v="0.505"/>
    <n v="0.505"/>
    <n v="0.505"/>
    <n v="0"/>
    <x v="0"/>
    <n v="0"/>
    <n v="0"/>
    <n v="78"/>
    <n v="60"/>
    <n v="0"/>
    <n v="361.54"/>
    <n v="223.07"/>
    <m/>
    <n v="514.03002174283949"/>
    <n v="133.74179569551256"/>
    <n v="0"/>
    <n v="182.57770000000002"/>
    <n v="112.65035"/>
    <n v="0"/>
    <n v="259.58516098013394"/>
    <n v="67.53960682623385"/>
  </r>
  <r>
    <s v="Regular"/>
    <x v="3"/>
    <x v="1"/>
    <x v="0"/>
    <x v="0"/>
    <x v="0"/>
    <x v="0"/>
    <x v="0"/>
    <x v="10"/>
    <n v="0"/>
    <n v="0"/>
    <n v="0.375"/>
    <n v="0.375"/>
    <n v="0.375"/>
    <n v="0.375"/>
    <n v="0"/>
    <x v="0"/>
    <n v="0"/>
    <n v="0"/>
    <n v="78"/>
    <n v="60"/>
    <n v="0"/>
    <n v="361.54"/>
    <n v="223.07"/>
    <m/>
    <n v="514.03002174283949"/>
    <n v="133.74179569551256"/>
    <n v="0"/>
    <n v="135.57750000000001"/>
    <n v="83.651250000000005"/>
    <n v="0"/>
    <n v="192.76125815356482"/>
    <n v="50.153173385817212"/>
  </r>
  <r>
    <s v="Sistema de Compensação"/>
    <x v="3"/>
    <x v="1"/>
    <x v="0"/>
    <x v="0"/>
    <x v="0"/>
    <x v="0"/>
    <x v="0"/>
    <x v="10"/>
    <n v="0"/>
    <n v="0"/>
    <n v="0.121"/>
    <n v="0.121"/>
    <n v="0.121"/>
    <n v="0.121"/>
    <n v="0"/>
    <x v="0"/>
    <n v="0"/>
    <n v="0"/>
    <n v="78"/>
    <n v="60"/>
    <n v="0"/>
    <n v="361.54"/>
    <n v="223.07"/>
    <m/>
    <n v="514.03002174283949"/>
    <n v="133.74179569551256"/>
    <n v="0"/>
    <n v="43.746340000000004"/>
    <n v="26.99147"/>
    <n v="0"/>
    <n v="62.197632630883575"/>
    <n v="16.18275727915702"/>
  </r>
  <r>
    <s v="Regular"/>
    <x v="3"/>
    <x v="1"/>
    <x v="0"/>
    <x v="0"/>
    <x v="0"/>
    <x v="0"/>
    <x v="0"/>
    <x v="11"/>
    <n v="0"/>
    <n v="0"/>
    <n v="0.58499999999999996"/>
    <n v="0.58499999999999996"/>
    <n v="0.58499999999999996"/>
    <n v="0.58499999999999996"/>
    <n v="0"/>
    <x v="0"/>
    <n v="0"/>
    <n v="0"/>
    <n v="78"/>
    <n v="60"/>
    <n v="0"/>
    <n v="361.54"/>
    <n v="223.07"/>
    <m/>
    <n v="514.03002174283949"/>
    <n v="133.74179569551256"/>
    <n v="0"/>
    <n v="211.5009"/>
    <n v="130.49594999999999"/>
    <n v="0"/>
    <n v="300.70756271956111"/>
    <n v="78.238950481874852"/>
  </r>
  <r>
    <s v="Sistema de Compensação"/>
    <x v="3"/>
    <x v="1"/>
    <x v="0"/>
    <x v="0"/>
    <x v="0"/>
    <x v="0"/>
    <x v="0"/>
    <x v="11"/>
    <n v="0"/>
    <n v="0"/>
    <n v="3.097"/>
    <n v="3.097"/>
    <n v="3.097"/>
    <n v="3.097"/>
    <n v="0"/>
    <x v="0"/>
    <n v="0"/>
    <n v="0"/>
    <n v="78"/>
    <n v="60"/>
    <n v="0"/>
    <n v="361.54"/>
    <n v="223.07"/>
    <m/>
    <n v="514.03002174283949"/>
    <n v="133.74179569551256"/>
    <n v="0"/>
    <n v="1119.68938"/>
    <n v="690.84778999999992"/>
    <n v="0"/>
    <n v="1591.9509773375739"/>
    <n v="414.19834126900241"/>
  </r>
  <r>
    <s v="Regular"/>
    <x v="3"/>
    <x v="1"/>
    <x v="0"/>
    <x v="0"/>
    <x v="0"/>
    <x v="0"/>
    <x v="3"/>
    <x v="0"/>
    <n v="0"/>
    <n v="0"/>
    <n v="6.5000000000000002E-2"/>
    <n v="6.5000000000000002E-2"/>
    <n v="6.5000000000000002E-2"/>
    <n v="6.5000000000000002E-2"/>
    <n v="0"/>
    <x v="0"/>
    <n v="0"/>
    <n v="0"/>
    <n v="76"/>
    <n v="54"/>
    <n v="0"/>
    <n v="900.63"/>
    <n v="223.07"/>
    <m/>
    <n v="1307.1241359041112"/>
    <n v="133.74179569551256"/>
    <n v="0"/>
    <n v="58.540950000000002"/>
    <n v="14.499549999999999"/>
    <n v="0"/>
    <n v="84.963068833767224"/>
    <n v="8.6932167202083175"/>
  </r>
  <r>
    <s v="Regular"/>
    <x v="3"/>
    <x v="1"/>
    <x v="0"/>
    <x v="0"/>
    <x v="0"/>
    <x v="0"/>
    <x v="3"/>
    <x v="1"/>
    <n v="0"/>
    <n v="0"/>
    <n v="6.5000000000000002E-2"/>
    <n v="6.5000000000000002E-2"/>
    <n v="6.5000000000000002E-2"/>
    <n v="6.5000000000000002E-2"/>
    <n v="0"/>
    <x v="0"/>
    <n v="0"/>
    <n v="0"/>
    <n v="76"/>
    <n v="54"/>
    <n v="0"/>
    <n v="900.63"/>
    <n v="223.07"/>
    <m/>
    <n v="1307.1241359041112"/>
    <n v="133.74179569551256"/>
    <n v="0"/>
    <n v="58.540950000000002"/>
    <n v="14.499549999999999"/>
    <n v="0"/>
    <n v="84.963068833767224"/>
    <n v="8.6932167202083175"/>
  </r>
  <r>
    <s v="Regular"/>
    <x v="3"/>
    <x v="1"/>
    <x v="0"/>
    <x v="0"/>
    <x v="0"/>
    <x v="0"/>
    <x v="3"/>
    <x v="2"/>
    <n v="0"/>
    <n v="0"/>
    <n v="0.06"/>
    <n v="0.06"/>
    <n v="0.06"/>
    <n v="0.06"/>
    <n v="0"/>
    <x v="0"/>
    <n v="0"/>
    <n v="0"/>
    <n v="76"/>
    <n v="54"/>
    <n v="0"/>
    <n v="900.63"/>
    <n v="223.07"/>
    <m/>
    <n v="1307.1241359041112"/>
    <n v="133.74179569551256"/>
    <n v="0"/>
    <n v="54.037799999999997"/>
    <n v="13.3842"/>
    <n v="0"/>
    <n v="78.427448154246676"/>
    <n v="8.0245077417307531"/>
  </r>
  <r>
    <s v="Sistema de Compensação"/>
    <x v="3"/>
    <x v="1"/>
    <x v="0"/>
    <x v="0"/>
    <x v="0"/>
    <x v="0"/>
    <x v="3"/>
    <x v="2"/>
    <n v="0"/>
    <n v="0"/>
    <n v="6.0000000000000001E-3"/>
    <n v="6.0000000000000001E-3"/>
    <n v="6.0000000000000001E-3"/>
    <n v="6.0000000000000001E-3"/>
    <n v="0"/>
    <x v="0"/>
    <n v="0"/>
    <n v="0"/>
    <n v="76"/>
    <n v="54"/>
    <n v="0"/>
    <n v="900.63"/>
    <n v="223.07"/>
    <m/>
    <n v="1307.1241359041112"/>
    <n v="133.74179569551256"/>
    <n v="0"/>
    <n v="5.4037800000000002"/>
    <n v="1.3384199999999999"/>
    <n v="0"/>
    <n v="7.8427448154246671"/>
    <n v="0.80245077417307542"/>
  </r>
  <r>
    <s v="Regular"/>
    <x v="3"/>
    <x v="1"/>
    <x v="0"/>
    <x v="0"/>
    <x v="0"/>
    <x v="0"/>
    <x v="3"/>
    <x v="3"/>
    <n v="0"/>
    <n v="0"/>
    <n v="0.155"/>
    <n v="0.155"/>
    <n v="0.155"/>
    <n v="0.155"/>
    <n v="0"/>
    <x v="0"/>
    <n v="0"/>
    <n v="0"/>
    <n v="76"/>
    <n v="54"/>
    <n v="0"/>
    <n v="900.63"/>
    <n v="223.07"/>
    <m/>
    <n v="1307.1241359041112"/>
    <n v="133.74179569551256"/>
    <n v="0"/>
    <n v="139.59764999999999"/>
    <n v="34.575849999999996"/>
    <n v="0"/>
    <n v="202.60424106513724"/>
    <n v="20.729978332804446"/>
  </r>
  <r>
    <s v="Regular"/>
    <x v="3"/>
    <x v="1"/>
    <x v="0"/>
    <x v="0"/>
    <x v="0"/>
    <x v="0"/>
    <x v="3"/>
    <x v="4"/>
    <n v="0"/>
    <n v="0"/>
    <n v="0.19500000000000001"/>
    <n v="0.19500000000000001"/>
    <n v="0.19500000000000001"/>
    <n v="0.19500000000000001"/>
    <n v="0"/>
    <x v="0"/>
    <n v="0"/>
    <n v="0"/>
    <n v="76"/>
    <n v="54"/>
    <n v="0"/>
    <n v="900.63"/>
    <n v="223.07"/>
    <m/>
    <n v="1307.1241359041112"/>
    <n v="133.74179569551256"/>
    <n v="0"/>
    <n v="175.62285"/>
    <n v="43.498649999999998"/>
    <n v="0"/>
    <n v="254.88920650130169"/>
    <n v="26.079650160624951"/>
  </r>
  <r>
    <s v="Regular"/>
    <x v="3"/>
    <x v="1"/>
    <x v="0"/>
    <x v="0"/>
    <x v="0"/>
    <x v="0"/>
    <x v="3"/>
    <x v="5"/>
    <n v="0"/>
    <n v="0"/>
    <n v="0.26100000000000001"/>
    <n v="0.26100000000000001"/>
    <n v="0.26100000000000001"/>
    <n v="0.26100000000000001"/>
    <n v="0"/>
    <x v="0"/>
    <n v="0"/>
    <n v="0"/>
    <n v="76"/>
    <n v="54"/>
    <n v="0"/>
    <n v="900.63"/>
    <n v="223.07"/>
    <m/>
    <n v="1307.1241359041112"/>
    <n v="133.74179569551256"/>
    <n v="0"/>
    <n v="235.06443000000002"/>
    <n v="58.221269999999997"/>
    <n v="0"/>
    <n v="341.15939947097303"/>
    <n v="34.906608676528784"/>
  </r>
  <r>
    <s v="Regular"/>
    <x v="3"/>
    <x v="1"/>
    <x v="0"/>
    <x v="0"/>
    <x v="0"/>
    <x v="0"/>
    <x v="3"/>
    <x v="6"/>
    <n v="0"/>
    <n v="0"/>
    <n v="0.22900000000000001"/>
    <n v="0.22900000000000001"/>
    <n v="0.22900000000000001"/>
    <n v="0.22900000000000001"/>
    <n v="0"/>
    <x v="0"/>
    <n v="0"/>
    <n v="0"/>
    <n v="76"/>
    <n v="54"/>
    <n v="0"/>
    <n v="900.63"/>
    <n v="223.07"/>
    <m/>
    <n v="1307.1241359041112"/>
    <n v="133.74179569551256"/>
    <n v="0"/>
    <n v="206.24427"/>
    <n v="51.083030000000001"/>
    <n v="0"/>
    <n v="299.33142712204148"/>
    <n v="30.626871214272377"/>
  </r>
  <r>
    <s v="Sistema de Compensação"/>
    <x v="3"/>
    <x v="1"/>
    <x v="0"/>
    <x v="0"/>
    <x v="0"/>
    <x v="0"/>
    <x v="3"/>
    <x v="6"/>
    <n v="0"/>
    <n v="0"/>
    <n v="9.1999999999999998E-2"/>
    <n v="9.1999999999999998E-2"/>
    <n v="9.1999999999999998E-2"/>
    <n v="9.1999999999999998E-2"/>
    <n v="0"/>
    <x v="0"/>
    <n v="0"/>
    <n v="0"/>
    <n v="76"/>
    <n v="54"/>
    <n v="0"/>
    <n v="900.63"/>
    <n v="223.07"/>
    <m/>
    <n v="1307.1241359041112"/>
    <n v="133.74179569551256"/>
    <n v="0"/>
    <n v="82.857959999999991"/>
    <n v="20.52244"/>
    <n v="0"/>
    <n v="120.25542050317823"/>
    <n v="12.304245203987156"/>
  </r>
  <r>
    <s v="Regular"/>
    <x v="3"/>
    <x v="1"/>
    <x v="0"/>
    <x v="0"/>
    <x v="0"/>
    <x v="0"/>
    <x v="3"/>
    <x v="7"/>
    <n v="0"/>
    <n v="0"/>
    <n v="0.189"/>
    <n v="0.189"/>
    <n v="0.189"/>
    <n v="0.189"/>
    <n v="0"/>
    <x v="0"/>
    <n v="0"/>
    <n v="0"/>
    <n v="76"/>
    <n v="54"/>
    <n v="0"/>
    <n v="900.63"/>
    <n v="223.07"/>
    <m/>
    <n v="1307.1241359041112"/>
    <n v="133.74179569551256"/>
    <n v="0"/>
    <n v="170.21906999999999"/>
    <n v="42.160229999999999"/>
    <n v="0"/>
    <n v="247.04646168587701"/>
    <n v="25.277199386451876"/>
  </r>
  <r>
    <s v="Sistema de Compensação"/>
    <x v="3"/>
    <x v="1"/>
    <x v="0"/>
    <x v="0"/>
    <x v="0"/>
    <x v="0"/>
    <x v="3"/>
    <x v="7"/>
    <n v="0"/>
    <n v="0"/>
    <n v="4.4999999999999998E-2"/>
    <n v="4.4999999999999998E-2"/>
    <n v="4.4999999999999998E-2"/>
    <n v="4.4999999999999998E-2"/>
    <n v="0"/>
    <x v="0"/>
    <n v="0"/>
    <n v="0"/>
    <n v="76"/>
    <n v="54"/>
    <n v="0"/>
    <n v="900.63"/>
    <n v="223.07"/>
    <m/>
    <n v="1307.1241359041112"/>
    <n v="133.74179569551256"/>
    <n v="0"/>
    <n v="40.528349999999996"/>
    <n v="10.03815"/>
    <n v="0"/>
    <n v="58.820586115685003"/>
    <n v="6.0183808062980653"/>
  </r>
  <r>
    <s v="Regular"/>
    <x v="3"/>
    <x v="1"/>
    <x v="0"/>
    <x v="0"/>
    <x v="0"/>
    <x v="0"/>
    <x v="3"/>
    <x v="8"/>
    <n v="0"/>
    <n v="0"/>
    <n v="0.186"/>
    <n v="0.186"/>
    <n v="0.186"/>
    <n v="0.186"/>
    <n v="0"/>
    <x v="0"/>
    <n v="0"/>
    <n v="0"/>
    <n v="76"/>
    <n v="54"/>
    <n v="0"/>
    <n v="900.63"/>
    <n v="223.07"/>
    <m/>
    <n v="1307.1241359041112"/>
    <n v="133.74179569551256"/>
    <n v="0"/>
    <n v="167.51718"/>
    <n v="41.491019999999999"/>
    <n v="0"/>
    <n v="243.12508927816469"/>
    <n v="24.875973999365335"/>
  </r>
  <r>
    <s v="Regular"/>
    <x v="3"/>
    <x v="1"/>
    <x v="0"/>
    <x v="0"/>
    <x v="0"/>
    <x v="0"/>
    <x v="3"/>
    <x v="9"/>
    <n v="0"/>
    <n v="0"/>
    <n v="0.157"/>
    <n v="0.157"/>
    <n v="0.157"/>
    <n v="0.157"/>
    <n v="0"/>
    <x v="0"/>
    <n v="0"/>
    <n v="0"/>
    <n v="76"/>
    <n v="54"/>
    <n v="0"/>
    <n v="900.63"/>
    <n v="223.07"/>
    <m/>
    <n v="1307.1241359041112"/>
    <n v="133.74179569551256"/>
    <n v="0"/>
    <n v="141.39891"/>
    <n v="35.021990000000002"/>
    <n v="0"/>
    <n v="205.21848933694545"/>
    <n v="20.997461924195473"/>
  </r>
  <r>
    <s v="Sistema de Compensação"/>
    <x v="3"/>
    <x v="1"/>
    <x v="0"/>
    <x v="0"/>
    <x v="0"/>
    <x v="0"/>
    <x v="3"/>
    <x v="9"/>
    <n v="0"/>
    <n v="0"/>
    <n v="3.2000000000000001E-2"/>
    <n v="3.2000000000000001E-2"/>
    <n v="3.2000000000000001E-2"/>
    <n v="3.2000000000000001E-2"/>
    <n v="0"/>
    <x v="0"/>
    <n v="0"/>
    <n v="0"/>
    <n v="76"/>
    <n v="54"/>
    <n v="0"/>
    <n v="900.63"/>
    <n v="223.07"/>
    <m/>
    <n v="1307.1241359041112"/>
    <n v="133.74179569551256"/>
    <n v="0"/>
    <n v="28.820160000000001"/>
    <n v="7.1382399999999997"/>
    <n v="0"/>
    <n v="41.82797234893156"/>
    <n v="4.2797374622564019"/>
  </r>
  <r>
    <s v="Regular"/>
    <x v="3"/>
    <x v="1"/>
    <x v="0"/>
    <x v="0"/>
    <x v="0"/>
    <x v="0"/>
    <x v="3"/>
    <x v="10"/>
    <n v="0"/>
    <n v="0"/>
    <n v="2.4E-2"/>
    <n v="2.4E-2"/>
    <n v="2.4E-2"/>
    <n v="2.4E-2"/>
    <n v="0"/>
    <x v="0"/>
    <n v="0"/>
    <n v="0"/>
    <n v="76"/>
    <n v="54"/>
    <n v="0"/>
    <n v="900.63"/>
    <n v="223.07"/>
    <m/>
    <n v="1307.1241359041112"/>
    <n v="133.74179569551256"/>
    <n v="0"/>
    <n v="21.615120000000001"/>
    <n v="5.3536799999999998"/>
    <n v="0"/>
    <n v="31.370979261698668"/>
    <n v="3.2098030966923017"/>
  </r>
  <r>
    <s v="Regular"/>
    <x v="3"/>
    <x v="1"/>
    <x v="0"/>
    <x v="0"/>
    <x v="0"/>
    <x v="0"/>
    <x v="3"/>
    <x v="11"/>
    <n v="0"/>
    <n v="0"/>
    <n v="3.7999999999999999E-2"/>
    <n v="3.7999999999999999E-2"/>
    <n v="3.7999999999999999E-2"/>
    <n v="3.7999999999999999E-2"/>
    <n v="0"/>
    <x v="0"/>
    <n v="0"/>
    <n v="0"/>
    <n v="76"/>
    <n v="54"/>
    <n v="0"/>
    <n v="900.63"/>
    <n v="223.07"/>
    <m/>
    <n v="1307.1241359041112"/>
    <n v="133.74179569551256"/>
    <n v="0"/>
    <n v="34.223939999999999"/>
    <n v="8.476659999999999"/>
    <n v="0"/>
    <n v="49.670717164356226"/>
    <n v="5.0821882364294773"/>
  </r>
  <r>
    <s v="Sistema de Compensação"/>
    <x v="3"/>
    <x v="1"/>
    <x v="0"/>
    <x v="0"/>
    <x v="0"/>
    <x v="0"/>
    <x v="3"/>
    <x v="11"/>
    <n v="0"/>
    <n v="0"/>
    <n v="7.9000000000000001E-2"/>
    <n v="7.9000000000000001E-2"/>
    <n v="7.9000000000000001E-2"/>
    <n v="7.9000000000000001E-2"/>
    <n v="0"/>
    <x v="0"/>
    <n v="0"/>
    <n v="0"/>
    <n v="76"/>
    <n v="54"/>
    <n v="0"/>
    <n v="900.63"/>
    <n v="223.07"/>
    <m/>
    <n v="1307.1241359041112"/>
    <n v="133.74179569551256"/>
    <n v="0"/>
    <n v="71.149770000000004"/>
    <n v="17.622530000000001"/>
    <n v="0"/>
    <n v="103.26280673642479"/>
    <n v="10.565601859945494"/>
  </r>
  <r>
    <s v="Regular"/>
    <x v="3"/>
    <x v="1"/>
    <x v="0"/>
    <x v="0"/>
    <x v="0"/>
    <x v="0"/>
    <x v="2"/>
    <x v="0"/>
    <n v="0"/>
    <n v="0"/>
    <n v="0.09"/>
    <n v="0.09"/>
    <n v="0.09"/>
    <n v="0.09"/>
    <n v="0"/>
    <x v="0"/>
    <n v="0"/>
    <n v="0"/>
    <n v="44"/>
    <n v="65"/>
    <n v="0"/>
    <n v="1439.79"/>
    <n v="223.07"/>
    <m/>
    <n v="2100.2879272232226"/>
    <n v="133.74179569551256"/>
    <n v="0"/>
    <n v="129.58109999999999"/>
    <n v="20.0763"/>
    <n v="0"/>
    <n v="189.02591345009003"/>
    <n v="12.036761612596131"/>
  </r>
  <r>
    <s v="Regular"/>
    <x v="3"/>
    <x v="1"/>
    <x v="0"/>
    <x v="0"/>
    <x v="0"/>
    <x v="0"/>
    <x v="2"/>
    <x v="1"/>
    <n v="0"/>
    <n v="0"/>
    <n v="7.9000000000000001E-2"/>
    <n v="7.9000000000000001E-2"/>
    <n v="7.9000000000000001E-2"/>
    <n v="7.9000000000000001E-2"/>
    <n v="0"/>
    <x v="0"/>
    <n v="0"/>
    <n v="0"/>
    <n v="44"/>
    <n v="65"/>
    <n v="0"/>
    <n v="1439.79"/>
    <n v="223.07"/>
    <m/>
    <n v="2100.2879272232226"/>
    <n v="133.74179569551256"/>
    <n v="0"/>
    <n v="113.74341"/>
    <n v="17.622530000000001"/>
    <n v="0"/>
    <n v="165.92274625063459"/>
    <n v="10.565601859945494"/>
  </r>
  <r>
    <s v="Regular"/>
    <x v="3"/>
    <x v="1"/>
    <x v="0"/>
    <x v="0"/>
    <x v="0"/>
    <x v="0"/>
    <x v="2"/>
    <x v="2"/>
    <n v="0"/>
    <n v="0"/>
    <n v="8.7999999999999995E-2"/>
    <n v="8.7999999999999995E-2"/>
    <n v="8.7999999999999995E-2"/>
    <n v="8.7999999999999995E-2"/>
    <n v="0"/>
    <x v="0"/>
    <n v="0"/>
    <n v="0"/>
    <n v="44"/>
    <n v="65"/>
    <n v="0"/>
    <n v="1439.79"/>
    <n v="223.07"/>
    <m/>
    <n v="2100.2879272232226"/>
    <n v="133.74179569551256"/>
    <n v="0"/>
    <n v="126.70151999999999"/>
    <n v="19.630159999999997"/>
    <n v="0"/>
    <n v="184.82533759564359"/>
    <n v="11.769278021205105"/>
  </r>
  <r>
    <s v="Sistema de Compensação"/>
    <x v="3"/>
    <x v="1"/>
    <x v="0"/>
    <x v="0"/>
    <x v="0"/>
    <x v="0"/>
    <x v="2"/>
    <x v="2"/>
    <n v="0"/>
    <n v="0"/>
    <n v="4.0000000000000001E-3"/>
    <n v="4.0000000000000001E-3"/>
    <n v="4.0000000000000001E-3"/>
    <n v="4.0000000000000001E-3"/>
    <n v="0"/>
    <x v="0"/>
    <n v="0"/>
    <n v="0"/>
    <n v="44"/>
    <n v="65"/>
    <n v="0"/>
    <n v="1439.79"/>
    <n v="223.07"/>
    <m/>
    <n v="2100.2879272232226"/>
    <n v="133.74179569551256"/>
    <n v="0"/>
    <n v="5.7591599999999996"/>
    <n v="0.89227999999999996"/>
    <n v="0"/>
    <n v="8.4011517088928898"/>
    <n v="0.53496718278205024"/>
  </r>
  <r>
    <s v="Regular"/>
    <x v="3"/>
    <x v="1"/>
    <x v="0"/>
    <x v="0"/>
    <x v="0"/>
    <x v="0"/>
    <x v="2"/>
    <x v="3"/>
    <n v="0"/>
    <n v="0"/>
    <n v="0.155"/>
    <n v="0.155"/>
    <n v="0.155"/>
    <n v="0.155"/>
    <n v="0"/>
    <x v="0"/>
    <n v="0"/>
    <n v="0"/>
    <n v="44"/>
    <n v="65"/>
    <n v="0"/>
    <n v="1439.79"/>
    <n v="223.07"/>
    <m/>
    <n v="2100.2879272232226"/>
    <n v="133.74179569551256"/>
    <n v="0"/>
    <n v="223.16745"/>
    <n v="34.575849999999996"/>
    <n v="0"/>
    <n v="325.54462871959947"/>
    <n v="20.729978332804446"/>
  </r>
  <r>
    <s v="Regular"/>
    <x v="3"/>
    <x v="1"/>
    <x v="0"/>
    <x v="0"/>
    <x v="0"/>
    <x v="0"/>
    <x v="2"/>
    <x v="4"/>
    <n v="0"/>
    <n v="0"/>
    <n v="0.21199999999999999"/>
    <n v="0.21199999999999999"/>
    <n v="0.21199999999999999"/>
    <n v="0.21199999999999999"/>
    <n v="0"/>
    <x v="0"/>
    <n v="0"/>
    <n v="0"/>
    <n v="44"/>
    <n v="65"/>
    <n v="0"/>
    <n v="1439.79"/>
    <n v="223.07"/>
    <m/>
    <n v="2100.2879272232226"/>
    <n v="133.74179569551256"/>
    <n v="0"/>
    <n v="305.23548"/>
    <n v="47.290839999999996"/>
    <n v="0"/>
    <n v="445.26104057132318"/>
    <n v="28.353260687448664"/>
  </r>
  <r>
    <s v="Regular"/>
    <x v="3"/>
    <x v="1"/>
    <x v="0"/>
    <x v="0"/>
    <x v="0"/>
    <x v="0"/>
    <x v="2"/>
    <x v="5"/>
    <n v="0"/>
    <n v="0"/>
    <n v="0.245"/>
    <n v="0.245"/>
    <n v="0.245"/>
    <n v="0.245"/>
    <n v="0"/>
    <x v="0"/>
    <n v="0"/>
    <n v="0"/>
    <n v="44"/>
    <n v="65"/>
    <n v="0"/>
    <n v="1439.79"/>
    <n v="223.07"/>
    <m/>
    <n v="2100.2879272232226"/>
    <n v="133.74179569551256"/>
    <n v="0"/>
    <n v="352.74854999999997"/>
    <n v="54.652149999999999"/>
    <n v="0"/>
    <n v="514.57054216968947"/>
    <n v="32.76673994540058"/>
  </r>
  <r>
    <s v="Regular"/>
    <x v="3"/>
    <x v="1"/>
    <x v="0"/>
    <x v="0"/>
    <x v="0"/>
    <x v="0"/>
    <x v="2"/>
    <x v="6"/>
    <n v="0"/>
    <n v="0"/>
    <n v="0.19400000000000001"/>
    <n v="0.19400000000000001"/>
    <n v="0.19400000000000001"/>
    <n v="0.19400000000000001"/>
    <n v="0"/>
    <x v="0"/>
    <n v="0"/>
    <n v="0"/>
    <n v="44"/>
    <n v="65"/>
    <n v="0"/>
    <n v="1439.79"/>
    <n v="223.07"/>
    <m/>
    <n v="2100.2879272232226"/>
    <n v="133.74179569551256"/>
    <n v="0"/>
    <n v="279.31925999999999"/>
    <n v="43.275579999999998"/>
    <n v="0"/>
    <n v="407.45585788130518"/>
    <n v="25.945908364929437"/>
  </r>
  <r>
    <s v="Sistema de Compensação"/>
    <x v="3"/>
    <x v="1"/>
    <x v="0"/>
    <x v="0"/>
    <x v="0"/>
    <x v="0"/>
    <x v="2"/>
    <x v="6"/>
    <n v="0"/>
    <n v="0"/>
    <n v="7.2999999999999995E-2"/>
    <n v="7.2999999999999995E-2"/>
    <n v="7.2999999999999995E-2"/>
    <n v="7.2999999999999995E-2"/>
    <n v="0"/>
    <x v="0"/>
    <n v="0"/>
    <n v="0"/>
    <n v="44"/>
    <n v="65"/>
    <n v="0"/>
    <n v="1439.79"/>
    <n v="223.07"/>
    <m/>
    <n v="2100.2879272232226"/>
    <n v="133.74179569551256"/>
    <n v="0"/>
    <n v="105.10466999999998"/>
    <n v="16.284109999999998"/>
    <n v="0"/>
    <n v="153.32101868729524"/>
    <n v="9.7631510857724173"/>
  </r>
  <r>
    <s v="Regular"/>
    <x v="3"/>
    <x v="1"/>
    <x v="0"/>
    <x v="0"/>
    <x v="0"/>
    <x v="0"/>
    <x v="2"/>
    <x v="7"/>
    <n v="0"/>
    <n v="0"/>
    <n v="0.193"/>
    <n v="0.193"/>
    <n v="0.193"/>
    <n v="0.193"/>
    <n v="0"/>
    <x v="0"/>
    <n v="0"/>
    <n v="0"/>
    <n v="44"/>
    <n v="65"/>
    <n v="0"/>
    <n v="1439.79"/>
    <n v="223.07"/>
    <m/>
    <n v="2100.2879272232226"/>
    <n v="133.74179569551256"/>
    <n v="0"/>
    <n v="277.87947000000003"/>
    <n v="43.052509999999998"/>
    <n v="0"/>
    <n v="405.35556995408194"/>
    <n v="25.812166569233927"/>
  </r>
  <r>
    <s v="Sistema de Compensação"/>
    <x v="3"/>
    <x v="1"/>
    <x v="0"/>
    <x v="0"/>
    <x v="0"/>
    <x v="0"/>
    <x v="2"/>
    <x v="7"/>
    <n v="0"/>
    <n v="0"/>
    <n v="3.7999999999999999E-2"/>
    <n v="3.7999999999999999E-2"/>
    <n v="3.7999999999999999E-2"/>
    <n v="3.7999999999999999E-2"/>
    <n v="0"/>
    <x v="0"/>
    <n v="0"/>
    <n v="0"/>
    <n v="44"/>
    <n v="65"/>
    <n v="0"/>
    <n v="1439.79"/>
    <n v="223.07"/>
    <m/>
    <n v="2100.2879272232226"/>
    <n v="133.74179569551256"/>
    <n v="0"/>
    <n v="54.712019999999995"/>
    <n v="8.476659999999999"/>
    <n v="0"/>
    <n v="79.810941234482456"/>
    <n v="5.0821882364294773"/>
  </r>
  <r>
    <s v="Regular"/>
    <x v="3"/>
    <x v="1"/>
    <x v="0"/>
    <x v="0"/>
    <x v="0"/>
    <x v="0"/>
    <x v="2"/>
    <x v="8"/>
    <n v="0"/>
    <n v="0"/>
    <n v="0.215"/>
    <n v="0.215"/>
    <n v="0.215"/>
    <n v="0.215"/>
    <n v="0"/>
    <x v="0"/>
    <n v="0"/>
    <n v="0"/>
    <n v="44"/>
    <n v="65"/>
    <n v="0"/>
    <n v="1439.79"/>
    <n v="223.07"/>
    <m/>
    <n v="2100.2879272232226"/>
    <n v="133.74179569551256"/>
    <n v="0"/>
    <n v="309.55484999999999"/>
    <n v="47.960049999999995"/>
    <n v="0"/>
    <n v="451.56190435299283"/>
    <n v="28.754486074535201"/>
  </r>
  <r>
    <s v="Regular"/>
    <x v="3"/>
    <x v="1"/>
    <x v="0"/>
    <x v="0"/>
    <x v="0"/>
    <x v="0"/>
    <x v="2"/>
    <x v="9"/>
    <n v="0"/>
    <n v="0"/>
    <n v="0.14899999999999999"/>
    <n v="0.14899999999999999"/>
    <n v="0.14899999999999999"/>
    <n v="0.14899999999999999"/>
    <n v="0"/>
    <x v="0"/>
    <n v="0"/>
    <n v="0"/>
    <n v="44"/>
    <n v="65"/>
    <n v="0"/>
    <n v="1439.79"/>
    <n v="223.07"/>
    <m/>
    <n v="2100.2879272232226"/>
    <n v="133.74179569551256"/>
    <n v="0"/>
    <n v="214.52870999999999"/>
    <n v="33.237429999999996"/>
    <n v="0"/>
    <n v="312.94290115626018"/>
    <n v="19.927527558631372"/>
  </r>
  <r>
    <s v="Sistema de Compensação"/>
    <x v="3"/>
    <x v="1"/>
    <x v="0"/>
    <x v="0"/>
    <x v="0"/>
    <x v="0"/>
    <x v="2"/>
    <x v="9"/>
    <n v="0"/>
    <n v="0"/>
    <n v="3.3000000000000002E-2"/>
    <n v="3.3000000000000002E-2"/>
    <n v="3.3000000000000002E-2"/>
    <n v="3.3000000000000002E-2"/>
    <n v="0"/>
    <x v="0"/>
    <n v="0"/>
    <n v="0"/>
    <n v="44"/>
    <n v="65"/>
    <n v="0"/>
    <n v="1439.79"/>
    <n v="223.07"/>
    <m/>
    <n v="2100.2879272232226"/>
    <n v="133.74179569551256"/>
    <n v="0"/>
    <n v="47.513069999999999"/>
    <n v="7.3613100000000005"/>
    <n v="0"/>
    <n v="69.309501598366353"/>
    <n v="4.4134792579519146"/>
  </r>
  <r>
    <s v="Regular"/>
    <x v="3"/>
    <x v="1"/>
    <x v="0"/>
    <x v="0"/>
    <x v="0"/>
    <x v="0"/>
    <x v="2"/>
    <x v="10"/>
    <n v="0"/>
    <n v="0"/>
    <n v="3.1E-2"/>
    <n v="3.1E-2"/>
    <n v="3.1E-2"/>
    <n v="3.1E-2"/>
    <n v="0"/>
    <x v="0"/>
    <n v="0"/>
    <n v="0"/>
    <n v="44"/>
    <n v="65"/>
    <n v="0"/>
    <n v="1439.79"/>
    <n v="223.07"/>
    <m/>
    <n v="2100.2879272232226"/>
    <n v="133.74179569551256"/>
    <n v="0"/>
    <n v="44.633490000000002"/>
    <n v="6.9151699999999998"/>
    <n v="0"/>
    <n v="65.108925743919897"/>
    <n v="4.1459956665608892"/>
  </r>
  <r>
    <s v="Sistema de Compensação"/>
    <x v="3"/>
    <x v="1"/>
    <x v="0"/>
    <x v="0"/>
    <x v="0"/>
    <x v="0"/>
    <x v="2"/>
    <x v="10"/>
    <n v="0"/>
    <n v="0"/>
    <n v="2.5999999999999999E-2"/>
    <n v="2.5999999999999999E-2"/>
    <n v="2.5999999999999999E-2"/>
    <n v="2.5999999999999999E-2"/>
    <n v="0"/>
    <x v="0"/>
    <n v="0"/>
    <n v="0"/>
    <n v="44"/>
    <n v="65"/>
    <n v="0"/>
    <n v="1439.79"/>
    <n v="223.07"/>
    <m/>
    <n v="2100.2879272232226"/>
    <n v="133.74179569551256"/>
    <n v="0"/>
    <n v="37.434539999999998"/>
    <n v="5.7998199999999995"/>
    <n v="0"/>
    <n v="54.607486107803787"/>
    <n v="3.4772866880833266"/>
  </r>
  <r>
    <s v="Regular"/>
    <x v="3"/>
    <x v="1"/>
    <x v="0"/>
    <x v="0"/>
    <x v="0"/>
    <x v="0"/>
    <x v="2"/>
    <x v="11"/>
    <n v="0"/>
    <n v="0"/>
    <n v="5.8999999999999997E-2"/>
    <n v="5.8999999999999997E-2"/>
    <n v="5.8999999999999997E-2"/>
    <n v="5.8999999999999997E-2"/>
    <n v="0"/>
    <x v="0"/>
    <n v="0"/>
    <n v="0"/>
    <n v="44"/>
    <n v="65"/>
    <n v="0"/>
    <n v="1439.79"/>
    <n v="223.07"/>
    <m/>
    <n v="2100.2879272232226"/>
    <n v="133.74179569551256"/>
    <n v="0"/>
    <n v="84.947609999999997"/>
    <n v="13.161129999999998"/>
    <n v="0"/>
    <n v="123.91698770617013"/>
    <n v="7.8907659460352413"/>
  </r>
  <r>
    <s v="Sistema de Compensação"/>
    <x v="3"/>
    <x v="1"/>
    <x v="0"/>
    <x v="0"/>
    <x v="0"/>
    <x v="0"/>
    <x v="2"/>
    <x v="11"/>
    <n v="0"/>
    <n v="0"/>
    <n v="3.2000000000000001E-2"/>
    <n v="3.2000000000000001E-2"/>
    <n v="3.2000000000000001E-2"/>
    <n v="3.2000000000000001E-2"/>
    <n v="0"/>
    <x v="0"/>
    <n v="0"/>
    <n v="0"/>
    <n v="44"/>
    <n v="65"/>
    <n v="0"/>
    <n v="1439.79"/>
    <n v="223.07"/>
    <m/>
    <n v="2100.2879272232226"/>
    <n v="133.74179569551256"/>
    <n v="0"/>
    <n v="46.073279999999997"/>
    <n v="7.1382399999999997"/>
    <n v="0"/>
    <n v="67.209213671143118"/>
    <n v="4.2797374622564019"/>
  </r>
  <r>
    <s v="Regular"/>
    <x v="3"/>
    <x v="1"/>
    <x v="1"/>
    <x v="0"/>
    <x v="0"/>
    <x v="0"/>
    <x v="0"/>
    <x v="0"/>
    <n v="0"/>
    <n v="0"/>
    <n v="15.238"/>
    <n v="15.238"/>
    <n v="15.238"/>
    <n v="15.238"/>
    <n v="0"/>
    <x v="0"/>
    <n v="0"/>
    <n v="0"/>
    <n v="78"/>
    <n v="60"/>
    <n v="0"/>
    <n v="361.54"/>
    <n v="223.07"/>
    <m/>
    <n v="514.03002174283949"/>
    <n v="133.74179569551256"/>
    <n v="0"/>
    <n v="5509.1465200000002"/>
    <n v="3399.1406599999996"/>
    <n v="0"/>
    <n v="7832.7894713173882"/>
    <n v="2037.9574828082204"/>
  </r>
  <r>
    <s v="Regular"/>
    <x v="3"/>
    <x v="1"/>
    <x v="1"/>
    <x v="0"/>
    <x v="0"/>
    <x v="0"/>
    <x v="0"/>
    <x v="1"/>
    <n v="0"/>
    <n v="0"/>
    <n v="11.590999999999999"/>
    <n v="11.590999999999999"/>
    <n v="11.590999999999999"/>
    <n v="11.590999999999999"/>
    <n v="0"/>
    <x v="0"/>
    <n v="0"/>
    <n v="0"/>
    <n v="78"/>
    <n v="60"/>
    <n v="0"/>
    <n v="361.54"/>
    <n v="223.07"/>
    <m/>
    <n v="514.03002174283949"/>
    <n v="133.74179569551256"/>
    <n v="0"/>
    <n v="4190.6101399999998"/>
    <n v="2585.6043699999996"/>
    <n v="0"/>
    <n v="5958.1219820212518"/>
    <n v="1550.2011539066859"/>
  </r>
  <r>
    <s v="Regular"/>
    <x v="3"/>
    <x v="1"/>
    <x v="1"/>
    <x v="0"/>
    <x v="0"/>
    <x v="0"/>
    <x v="0"/>
    <x v="2"/>
    <n v="0"/>
    <n v="0"/>
    <n v="12.178000000000001"/>
    <n v="12.178000000000001"/>
    <n v="12.178000000000001"/>
    <n v="12.178000000000001"/>
    <n v="0"/>
    <x v="0"/>
    <n v="0"/>
    <n v="0"/>
    <n v="78"/>
    <n v="60"/>
    <n v="0"/>
    <n v="361.54"/>
    <n v="223.07"/>
    <m/>
    <n v="514.03002174283949"/>
    <n v="133.74179569551256"/>
    <n v="0"/>
    <n v="4402.8341200000004"/>
    <n v="2716.54646"/>
    <n v="0"/>
    <n v="6259.8576047842998"/>
    <n v="1628.7075879799522"/>
  </r>
  <r>
    <s v="Sistema de Compensação"/>
    <x v="3"/>
    <x v="1"/>
    <x v="1"/>
    <x v="0"/>
    <x v="0"/>
    <x v="0"/>
    <x v="0"/>
    <x v="2"/>
    <n v="0"/>
    <n v="0"/>
    <n v="0.24199999999999999"/>
    <n v="0.24199999999999999"/>
    <n v="0.24199999999999999"/>
    <n v="0.24199999999999999"/>
    <n v="0"/>
    <x v="0"/>
    <n v="0"/>
    <n v="0"/>
    <n v="78"/>
    <n v="60"/>
    <n v="0"/>
    <n v="361.54"/>
    <n v="223.07"/>
    <m/>
    <n v="514.03002174283949"/>
    <n v="133.74179569551256"/>
    <n v="0"/>
    <n v="87.492680000000007"/>
    <n v="53.982939999999999"/>
    <n v="0"/>
    <n v="124.39526526176715"/>
    <n v="32.36551455831404"/>
  </r>
  <r>
    <s v="Regular"/>
    <x v="3"/>
    <x v="1"/>
    <x v="1"/>
    <x v="0"/>
    <x v="0"/>
    <x v="0"/>
    <x v="0"/>
    <x v="3"/>
    <n v="0"/>
    <n v="0"/>
    <n v="10.407"/>
    <n v="10.407"/>
    <n v="10.407"/>
    <n v="10.407"/>
    <n v="0"/>
    <x v="0"/>
    <n v="0"/>
    <n v="0"/>
    <n v="78"/>
    <n v="60"/>
    <n v="0"/>
    <n v="361.54"/>
    <n v="223.07"/>
    <m/>
    <n v="514.03002174283949"/>
    <n v="133.74179569551256"/>
    <n v="0"/>
    <n v="3762.5467800000001"/>
    <n v="2321.4894899999999"/>
    <n v="0"/>
    <n v="5349.5104362777311"/>
    <n v="1391.8508678031992"/>
  </r>
  <r>
    <s v="Regular"/>
    <x v="3"/>
    <x v="1"/>
    <x v="1"/>
    <x v="0"/>
    <x v="0"/>
    <x v="0"/>
    <x v="0"/>
    <x v="4"/>
    <n v="0"/>
    <n v="0"/>
    <n v="10.179"/>
    <n v="10.179"/>
    <n v="10.179"/>
    <n v="10.179"/>
    <n v="0"/>
    <x v="0"/>
    <n v="0"/>
    <n v="0"/>
    <n v="78"/>
    <n v="60"/>
    <n v="0"/>
    <n v="361.54"/>
    <n v="223.07"/>
    <m/>
    <n v="514.03002174283949"/>
    <n v="133.74179569551256"/>
    <n v="0"/>
    <n v="3680.1156600000004"/>
    <n v="2270.6295300000002"/>
    <n v="0"/>
    <n v="5232.3115913203637"/>
    <n v="1361.3577383846225"/>
  </r>
  <r>
    <s v="Sistema de Compensação"/>
    <x v="3"/>
    <x v="1"/>
    <x v="1"/>
    <x v="0"/>
    <x v="0"/>
    <x v="0"/>
    <x v="0"/>
    <x v="4"/>
    <n v="0"/>
    <n v="0"/>
    <n v="0.24199999999999999"/>
    <n v="0.24199999999999999"/>
    <n v="0.24199999999999999"/>
    <n v="0.24199999999999999"/>
    <n v="0"/>
    <x v="0"/>
    <n v="0"/>
    <n v="0"/>
    <n v="78"/>
    <n v="60"/>
    <n v="0"/>
    <n v="361.54"/>
    <n v="223.07"/>
    <m/>
    <n v="514.03002174283949"/>
    <n v="133.74179569551256"/>
    <n v="0"/>
    <n v="87.492680000000007"/>
    <n v="53.982939999999999"/>
    <n v="0"/>
    <n v="124.39526526176715"/>
    <n v="32.36551455831404"/>
  </r>
  <r>
    <s v="Regular"/>
    <x v="3"/>
    <x v="1"/>
    <x v="1"/>
    <x v="0"/>
    <x v="0"/>
    <x v="0"/>
    <x v="0"/>
    <x v="5"/>
    <n v="0"/>
    <n v="0"/>
    <n v="12.564"/>
    <n v="12.564"/>
    <n v="12.564"/>
    <n v="12.564"/>
    <n v="0"/>
    <x v="0"/>
    <n v="0"/>
    <n v="0"/>
    <n v="78"/>
    <n v="60"/>
    <n v="0"/>
    <n v="361.54"/>
    <n v="223.07"/>
    <m/>
    <n v="514.03002174283949"/>
    <n v="133.74179569551256"/>
    <n v="0"/>
    <n v="4542.3885600000003"/>
    <n v="2802.65148"/>
    <n v="0"/>
    <n v="6458.2731931770359"/>
    <n v="1680.3319211184198"/>
  </r>
  <r>
    <s v="Regular"/>
    <x v="3"/>
    <x v="1"/>
    <x v="1"/>
    <x v="0"/>
    <x v="0"/>
    <x v="0"/>
    <x v="0"/>
    <x v="6"/>
    <n v="0"/>
    <n v="0"/>
    <n v="12.347"/>
    <n v="12.347"/>
    <n v="12.347"/>
    <n v="12.347"/>
    <n v="0"/>
    <x v="0"/>
    <n v="0"/>
    <n v="0"/>
    <n v="78"/>
    <n v="60"/>
    <n v="0"/>
    <n v="361.54"/>
    <n v="223.07"/>
    <m/>
    <n v="514.03002174283949"/>
    <n v="133.74179569551256"/>
    <n v="0"/>
    <n v="4463.9343799999997"/>
    <n v="2754.2452899999998"/>
    <n v="0"/>
    <n v="6346.7286784588387"/>
    <n v="1651.3099514524936"/>
  </r>
  <r>
    <s v="Sistema de Compensação"/>
    <x v="3"/>
    <x v="1"/>
    <x v="1"/>
    <x v="0"/>
    <x v="0"/>
    <x v="0"/>
    <x v="0"/>
    <x v="6"/>
    <n v="0"/>
    <n v="0"/>
    <n v="0.24199999999999999"/>
    <n v="0.24199999999999999"/>
    <n v="0.24199999999999999"/>
    <n v="0.24199999999999999"/>
    <n v="0"/>
    <x v="0"/>
    <n v="0"/>
    <n v="0"/>
    <n v="78"/>
    <n v="60"/>
    <n v="0"/>
    <n v="361.54"/>
    <n v="223.07"/>
    <m/>
    <n v="514.03002174283949"/>
    <n v="133.74179569551256"/>
    <n v="0"/>
    <n v="87.492680000000007"/>
    <n v="53.982939999999999"/>
    <n v="0"/>
    <n v="124.39526526176715"/>
    <n v="32.36551455831404"/>
  </r>
  <r>
    <s v="Regular"/>
    <x v="3"/>
    <x v="1"/>
    <x v="1"/>
    <x v="0"/>
    <x v="0"/>
    <x v="0"/>
    <x v="0"/>
    <x v="7"/>
    <n v="0"/>
    <n v="0"/>
    <n v="11.473000000000001"/>
    <n v="11.473000000000001"/>
    <n v="11.473000000000001"/>
    <n v="11.473000000000001"/>
    <n v="0"/>
    <x v="0"/>
    <n v="0"/>
    <n v="0"/>
    <n v="78"/>
    <n v="60"/>
    <n v="0"/>
    <n v="361.54"/>
    <n v="223.07"/>
    <m/>
    <n v="514.03002174283949"/>
    <n v="133.74179569551256"/>
    <n v="0"/>
    <n v="4147.9484200000006"/>
    <n v="2559.2821100000001"/>
    <n v="0"/>
    <n v="5897.4664394555975"/>
    <n v="1534.4196220146157"/>
  </r>
  <r>
    <s v="Sistema de Compensação"/>
    <x v="3"/>
    <x v="1"/>
    <x v="1"/>
    <x v="0"/>
    <x v="0"/>
    <x v="0"/>
    <x v="0"/>
    <x v="7"/>
    <n v="0"/>
    <n v="0"/>
    <n v="0.24199999999999999"/>
    <n v="0.24199999999999999"/>
    <n v="0.24199999999999999"/>
    <n v="0.24199999999999999"/>
    <n v="0"/>
    <x v="0"/>
    <n v="0"/>
    <n v="0"/>
    <n v="78"/>
    <n v="60"/>
    <n v="0"/>
    <n v="361.54"/>
    <n v="223.07"/>
    <m/>
    <n v="514.03002174283949"/>
    <n v="133.74179569551256"/>
    <n v="0"/>
    <n v="87.492680000000007"/>
    <n v="53.982939999999999"/>
    <n v="0"/>
    <n v="124.39526526176715"/>
    <n v="32.36551455831404"/>
  </r>
  <r>
    <s v="Regular"/>
    <x v="3"/>
    <x v="1"/>
    <x v="1"/>
    <x v="0"/>
    <x v="0"/>
    <x v="0"/>
    <x v="0"/>
    <x v="8"/>
    <n v="0"/>
    <n v="0"/>
    <n v="13.253"/>
    <n v="13.253"/>
    <n v="13.253"/>
    <n v="13.253"/>
    <n v="0"/>
    <x v="0"/>
    <n v="0"/>
    <n v="0"/>
    <n v="78"/>
    <n v="60"/>
    <n v="0"/>
    <n v="361.54"/>
    <n v="223.07"/>
    <m/>
    <n v="514.03002174283949"/>
    <n v="133.74179569551256"/>
    <n v="0"/>
    <n v="4791.4896200000003"/>
    <n v="2956.3467099999998"/>
    <n v="0"/>
    <n v="6812.439878157852"/>
    <n v="1772.4800183526281"/>
  </r>
  <r>
    <s v="Sistema de Compensação"/>
    <x v="3"/>
    <x v="1"/>
    <x v="1"/>
    <x v="0"/>
    <x v="0"/>
    <x v="0"/>
    <x v="0"/>
    <x v="8"/>
    <n v="0"/>
    <n v="0"/>
    <n v="0.24199999999999999"/>
    <n v="0.24199999999999999"/>
    <n v="0.24199999999999999"/>
    <n v="0.24199999999999999"/>
    <n v="0"/>
    <x v="0"/>
    <n v="0"/>
    <n v="0"/>
    <n v="78"/>
    <n v="60"/>
    <n v="0"/>
    <n v="361.54"/>
    <n v="223.07"/>
    <m/>
    <n v="514.03002174283949"/>
    <n v="133.74179569551256"/>
    <n v="0"/>
    <n v="87.492680000000007"/>
    <n v="53.982939999999999"/>
    <n v="0"/>
    <n v="124.39526526176715"/>
    <n v="32.36551455831404"/>
  </r>
  <r>
    <s v="Regular"/>
    <x v="3"/>
    <x v="1"/>
    <x v="1"/>
    <x v="0"/>
    <x v="0"/>
    <x v="0"/>
    <x v="0"/>
    <x v="9"/>
    <n v="0"/>
    <n v="0"/>
    <n v="9.5050000000000008"/>
    <n v="9.5050000000000008"/>
    <n v="9.5050000000000008"/>
    <n v="9.5050000000000008"/>
    <n v="0"/>
    <x v="0"/>
    <n v="0"/>
    <n v="0"/>
    <n v="78"/>
    <n v="60"/>
    <n v="0"/>
    <n v="361.54"/>
    <n v="223.07"/>
    <m/>
    <n v="514.03002174283949"/>
    <n v="133.74179569551256"/>
    <n v="0"/>
    <n v="3436.4377000000004"/>
    <n v="2120.28035"/>
    <n v="0"/>
    <n v="4885.8553566656901"/>
    <n v="1271.215768085847"/>
  </r>
  <r>
    <s v="Sistema de Compensação"/>
    <x v="3"/>
    <x v="1"/>
    <x v="1"/>
    <x v="0"/>
    <x v="0"/>
    <x v="0"/>
    <x v="0"/>
    <x v="9"/>
    <n v="0"/>
    <n v="0"/>
    <n v="0.24199999999999999"/>
    <n v="0.24199999999999999"/>
    <n v="0.24199999999999999"/>
    <n v="0.24199999999999999"/>
    <n v="0"/>
    <x v="0"/>
    <n v="0"/>
    <n v="0"/>
    <n v="78"/>
    <n v="60"/>
    <n v="0"/>
    <n v="361.54"/>
    <n v="223.07"/>
    <m/>
    <n v="514.03002174283949"/>
    <n v="133.74179569551256"/>
    <n v="0"/>
    <n v="87.492680000000007"/>
    <n v="53.982939999999999"/>
    <n v="0"/>
    <n v="124.39526526176715"/>
    <n v="32.36551455831404"/>
  </r>
  <r>
    <s v="Regular"/>
    <x v="3"/>
    <x v="1"/>
    <x v="1"/>
    <x v="0"/>
    <x v="0"/>
    <x v="0"/>
    <x v="0"/>
    <x v="10"/>
    <n v="0"/>
    <n v="0"/>
    <n v="9.4589999999999996"/>
    <n v="9.4589999999999996"/>
    <n v="9.4589999999999996"/>
    <n v="9.4589999999999996"/>
    <n v="0"/>
    <x v="0"/>
    <n v="0"/>
    <n v="0"/>
    <n v="78"/>
    <n v="60"/>
    <n v="0"/>
    <n v="361.54"/>
    <n v="223.07"/>
    <m/>
    <n v="514.03002174283949"/>
    <n v="133.74179569551256"/>
    <n v="0"/>
    <n v="3419.8068600000001"/>
    <n v="2110.0191299999997"/>
    <n v="0"/>
    <n v="4862.2099756655189"/>
    <n v="1265.0636454838534"/>
  </r>
  <r>
    <s v="Sistema de Compensação"/>
    <x v="3"/>
    <x v="1"/>
    <x v="1"/>
    <x v="0"/>
    <x v="0"/>
    <x v="0"/>
    <x v="0"/>
    <x v="10"/>
    <n v="0"/>
    <n v="0"/>
    <n v="0.24199999999999999"/>
    <n v="0.24199999999999999"/>
    <n v="0.24199999999999999"/>
    <n v="0.24199999999999999"/>
    <n v="0"/>
    <x v="0"/>
    <n v="0"/>
    <n v="0"/>
    <n v="78"/>
    <n v="60"/>
    <n v="0"/>
    <n v="361.54"/>
    <n v="223.07"/>
    <m/>
    <n v="514.03002174283949"/>
    <n v="133.74179569551256"/>
    <n v="0"/>
    <n v="87.492680000000007"/>
    <n v="53.982939999999999"/>
    <n v="0"/>
    <n v="124.39526526176715"/>
    <n v="32.36551455831404"/>
  </r>
  <r>
    <s v="Regular"/>
    <x v="3"/>
    <x v="1"/>
    <x v="1"/>
    <x v="0"/>
    <x v="0"/>
    <x v="0"/>
    <x v="0"/>
    <x v="11"/>
    <n v="0"/>
    <n v="0"/>
    <n v="12.476000000000001"/>
    <n v="12.476000000000001"/>
    <n v="12.476000000000001"/>
    <n v="12.476000000000001"/>
    <n v="0"/>
    <x v="0"/>
    <n v="0"/>
    <n v="0"/>
    <n v="78"/>
    <n v="60"/>
    <n v="0"/>
    <n v="361.54"/>
    <n v="223.07"/>
    <m/>
    <n v="514.03002174283949"/>
    <n v="133.74179569551256"/>
    <n v="0"/>
    <n v="4510.5730400000002"/>
    <n v="2783.0213200000003"/>
    <n v="0"/>
    <n v="6413.0385512636658"/>
    <n v="1668.562643097215"/>
  </r>
  <r>
    <s v="Regular"/>
    <x v="3"/>
    <x v="1"/>
    <x v="1"/>
    <x v="0"/>
    <x v="0"/>
    <x v="0"/>
    <x v="3"/>
    <x v="0"/>
    <n v="0"/>
    <n v="0"/>
    <n v="0.46"/>
    <n v="0.46"/>
    <n v="0.46"/>
    <n v="0.46"/>
    <n v="0"/>
    <x v="0"/>
    <n v="0"/>
    <n v="0"/>
    <n v="76"/>
    <n v="54"/>
    <n v="0"/>
    <n v="900.63"/>
    <n v="223.07"/>
    <m/>
    <n v="1307.1241359041112"/>
    <n v="133.74179569551256"/>
    <n v="0"/>
    <n v="414.28980000000001"/>
    <n v="102.6122"/>
    <n v="0"/>
    <n v="601.27710251589122"/>
    <n v="61.521226019935781"/>
  </r>
  <r>
    <s v="Regular"/>
    <x v="3"/>
    <x v="1"/>
    <x v="1"/>
    <x v="0"/>
    <x v="0"/>
    <x v="0"/>
    <x v="3"/>
    <x v="1"/>
    <n v="0"/>
    <n v="0"/>
    <n v="0.47799999999999998"/>
    <n v="0.47799999999999998"/>
    <n v="0.47799999999999998"/>
    <n v="0.47799999999999998"/>
    <n v="0"/>
    <x v="0"/>
    <n v="0"/>
    <n v="0"/>
    <n v="76"/>
    <n v="54"/>
    <n v="0"/>
    <n v="900.63"/>
    <n v="223.07"/>
    <m/>
    <n v="1307.1241359041112"/>
    <n v="133.74179569551256"/>
    <n v="0"/>
    <n v="430.50113999999996"/>
    <n v="106.62746"/>
    <n v="0"/>
    <n v="624.80533696216514"/>
    <n v="63.928578342455005"/>
  </r>
  <r>
    <s v="Regular"/>
    <x v="3"/>
    <x v="1"/>
    <x v="1"/>
    <x v="0"/>
    <x v="0"/>
    <x v="0"/>
    <x v="3"/>
    <x v="2"/>
    <n v="0"/>
    <n v="0"/>
    <n v="0.32800000000000001"/>
    <n v="0.32800000000000001"/>
    <n v="0.32800000000000001"/>
    <n v="0.32800000000000001"/>
    <n v="0"/>
    <x v="0"/>
    <n v="0"/>
    <n v="0"/>
    <n v="76"/>
    <n v="54"/>
    <n v="0"/>
    <n v="900.63"/>
    <n v="223.07"/>
    <m/>
    <n v="1307.1241359041112"/>
    <n v="133.74179569551256"/>
    <n v="0"/>
    <n v="295.40664000000004"/>
    <n v="73.166960000000003"/>
    <n v="0"/>
    <n v="428.73671657654847"/>
    <n v="43.867308988128123"/>
  </r>
  <r>
    <s v="Regular"/>
    <x v="3"/>
    <x v="1"/>
    <x v="1"/>
    <x v="0"/>
    <x v="0"/>
    <x v="0"/>
    <x v="3"/>
    <x v="3"/>
    <n v="0"/>
    <n v="0"/>
    <n v="0.29899999999999999"/>
    <n v="0.29899999999999999"/>
    <n v="0.29899999999999999"/>
    <n v="0.29899999999999999"/>
    <n v="0"/>
    <x v="0"/>
    <n v="0"/>
    <n v="0"/>
    <n v="76"/>
    <n v="54"/>
    <n v="0"/>
    <n v="900.63"/>
    <n v="223.07"/>
    <m/>
    <n v="1307.1241359041112"/>
    <n v="133.74179569551256"/>
    <n v="0"/>
    <n v="269.28836999999999"/>
    <n v="66.697929999999999"/>
    <n v="0"/>
    <n v="390.8301166353292"/>
    <n v="39.988796912958257"/>
  </r>
  <r>
    <s v="Regular"/>
    <x v="3"/>
    <x v="1"/>
    <x v="1"/>
    <x v="0"/>
    <x v="0"/>
    <x v="0"/>
    <x v="3"/>
    <x v="4"/>
    <n v="0"/>
    <n v="0"/>
    <n v="0.28699999999999998"/>
    <n v="0.28699999999999998"/>
    <n v="0.28699999999999998"/>
    <n v="0.28699999999999998"/>
    <n v="0"/>
    <x v="0"/>
    <n v="0"/>
    <n v="0"/>
    <n v="76"/>
    <n v="54"/>
    <n v="0"/>
    <n v="900.63"/>
    <n v="223.07"/>
    <m/>
    <n v="1307.1241359041112"/>
    <n v="133.74179569551256"/>
    <n v="0"/>
    <n v="258.48080999999996"/>
    <n v="64.021089999999987"/>
    <n v="0"/>
    <n v="375.1446270044799"/>
    <n v="38.383895364612101"/>
  </r>
  <r>
    <s v="Regular"/>
    <x v="3"/>
    <x v="1"/>
    <x v="1"/>
    <x v="0"/>
    <x v="0"/>
    <x v="0"/>
    <x v="3"/>
    <x v="5"/>
    <n v="0"/>
    <n v="0"/>
    <n v="0.35599999999999998"/>
    <n v="0.35599999999999998"/>
    <n v="0.35599999999999998"/>
    <n v="0.35599999999999998"/>
    <n v="0"/>
    <x v="0"/>
    <n v="0"/>
    <n v="0"/>
    <n v="76"/>
    <n v="54"/>
    <n v="0"/>
    <n v="900.63"/>
    <n v="223.07"/>
    <m/>
    <n v="1307.1241359041112"/>
    <n v="133.74179569551256"/>
    <n v="0"/>
    <n v="320.62428"/>
    <n v="79.41292"/>
    <n v="0"/>
    <n v="465.33619238186355"/>
    <n v="47.612079267602468"/>
  </r>
  <r>
    <s v="Regular"/>
    <x v="3"/>
    <x v="1"/>
    <x v="1"/>
    <x v="0"/>
    <x v="0"/>
    <x v="0"/>
    <x v="3"/>
    <x v="6"/>
    <n v="0"/>
    <n v="0"/>
    <n v="0.34499999999999997"/>
    <n v="0.34499999999999997"/>
    <n v="0.34499999999999997"/>
    <n v="0.34499999999999997"/>
    <n v="0"/>
    <x v="0"/>
    <n v="0"/>
    <n v="0"/>
    <n v="76"/>
    <n v="54"/>
    <n v="0"/>
    <n v="900.63"/>
    <n v="223.07"/>
    <m/>
    <n v="1307.1241359041112"/>
    <n v="133.74179569551256"/>
    <n v="0"/>
    <n v="310.71734999999995"/>
    <n v="76.959149999999994"/>
    <n v="0"/>
    <n v="450.95782688691833"/>
    <n v="46.140919514951833"/>
  </r>
  <r>
    <s v="Regular"/>
    <x v="3"/>
    <x v="1"/>
    <x v="1"/>
    <x v="0"/>
    <x v="0"/>
    <x v="0"/>
    <x v="3"/>
    <x v="7"/>
    <n v="0"/>
    <n v="0"/>
    <n v="0.16300000000000001"/>
    <n v="0.16300000000000001"/>
    <n v="0.16300000000000001"/>
    <n v="0.16300000000000001"/>
    <n v="0"/>
    <x v="0"/>
    <n v="0"/>
    <n v="0"/>
    <n v="76"/>
    <n v="54"/>
    <n v="0"/>
    <n v="900.63"/>
    <n v="223.07"/>
    <m/>
    <n v="1307.1241359041112"/>
    <n v="133.74179569551256"/>
    <n v="0"/>
    <n v="146.80269000000001"/>
    <n v="36.360410000000002"/>
    <n v="0"/>
    <n v="213.06123415237013"/>
    <n v="21.799912698368548"/>
  </r>
  <r>
    <s v="Regular"/>
    <x v="3"/>
    <x v="1"/>
    <x v="1"/>
    <x v="0"/>
    <x v="0"/>
    <x v="0"/>
    <x v="3"/>
    <x v="8"/>
    <n v="0"/>
    <n v="0"/>
    <n v="0.19600000000000001"/>
    <n v="0.19600000000000001"/>
    <n v="0.19600000000000001"/>
    <n v="0.19600000000000001"/>
    <n v="0"/>
    <x v="0"/>
    <n v="0"/>
    <n v="0"/>
    <n v="76"/>
    <n v="54"/>
    <n v="0"/>
    <n v="900.63"/>
    <n v="223.07"/>
    <m/>
    <n v="1307.1241359041112"/>
    <n v="133.74179569551256"/>
    <n v="0"/>
    <n v="176.52348000000001"/>
    <n v="43.721719999999998"/>
    <n v="0"/>
    <n v="256.19633063720579"/>
    <n v="26.213391956320464"/>
  </r>
  <r>
    <s v="Regular"/>
    <x v="3"/>
    <x v="1"/>
    <x v="1"/>
    <x v="0"/>
    <x v="0"/>
    <x v="0"/>
    <x v="3"/>
    <x v="9"/>
    <n v="0"/>
    <n v="0"/>
    <n v="0.13800000000000001"/>
    <n v="0.13800000000000001"/>
    <n v="0.13800000000000001"/>
    <n v="0.13800000000000001"/>
    <n v="0"/>
    <x v="0"/>
    <n v="0"/>
    <n v="0"/>
    <n v="76"/>
    <n v="54"/>
    <n v="0"/>
    <n v="900.63"/>
    <n v="223.07"/>
    <m/>
    <n v="1307.1241359041112"/>
    <n v="133.74179569551256"/>
    <n v="0"/>
    <n v="124.28694000000002"/>
    <n v="30.783660000000001"/>
    <n v="0"/>
    <n v="180.38313075476736"/>
    <n v="18.456367805980737"/>
  </r>
  <r>
    <s v="Regular"/>
    <x v="3"/>
    <x v="1"/>
    <x v="1"/>
    <x v="0"/>
    <x v="0"/>
    <x v="0"/>
    <x v="3"/>
    <x v="10"/>
    <n v="0"/>
    <n v="0"/>
    <n v="0.11"/>
    <n v="0.11"/>
    <n v="0.11"/>
    <n v="0.11"/>
    <n v="0"/>
    <x v="0"/>
    <n v="0"/>
    <n v="0"/>
    <n v="76"/>
    <n v="54"/>
    <n v="0"/>
    <n v="900.63"/>
    <n v="223.07"/>
    <m/>
    <n v="1307.1241359041112"/>
    <n v="133.74179569551256"/>
    <n v="0"/>
    <n v="99.069299999999998"/>
    <n v="24.537700000000001"/>
    <n v="0"/>
    <n v="143.78365494945223"/>
    <n v="14.711597526506383"/>
  </r>
  <r>
    <s v="Regular"/>
    <x v="3"/>
    <x v="1"/>
    <x v="1"/>
    <x v="0"/>
    <x v="0"/>
    <x v="0"/>
    <x v="3"/>
    <x v="11"/>
    <n v="0"/>
    <n v="0"/>
    <n v="0.13700000000000001"/>
    <n v="0.13700000000000001"/>
    <n v="0.13700000000000001"/>
    <n v="0.13700000000000001"/>
    <n v="0"/>
    <x v="0"/>
    <n v="0"/>
    <n v="0"/>
    <n v="76"/>
    <n v="54"/>
    <n v="0"/>
    <n v="900.63"/>
    <n v="223.07"/>
    <m/>
    <n v="1307.1241359041112"/>
    <n v="133.74179569551256"/>
    <n v="0"/>
    <n v="123.38631000000001"/>
    <n v="30.560590000000001"/>
    <n v="0"/>
    <n v="179.07600661886326"/>
    <n v="18.322626010285223"/>
  </r>
  <r>
    <s v="Regular"/>
    <x v="3"/>
    <x v="1"/>
    <x v="1"/>
    <x v="0"/>
    <x v="0"/>
    <x v="0"/>
    <x v="2"/>
    <x v="0"/>
    <n v="0"/>
    <n v="0"/>
    <n v="0.09"/>
    <n v="0.09"/>
    <n v="0.09"/>
    <n v="0.09"/>
    <n v="0"/>
    <x v="0"/>
    <n v="0"/>
    <n v="0"/>
    <n v="44"/>
    <n v="65"/>
    <n v="0"/>
    <n v="1439.79"/>
    <n v="223.07"/>
    <m/>
    <n v="2100.2879272232226"/>
    <n v="133.74179569551256"/>
    <n v="0"/>
    <n v="129.58109999999999"/>
    <n v="20.0763"/>
    <n v="0"/>
    <n v="189.02591345009003"/>
    <n v="12.036761612596131"/>
  </r>
  <r>
    <s v="Regular"/>
    <x v="3"/>
    <x v="1"/>
    <x v="1"/>
    <x v="0"/>
    <x v="0"/>
    <x v="0"/>
    <x v="2"/>
    <x v="1"/>
    <n v="0"/>
    <n v="0"/>
    <n v="0.14599999999999999"/>
    <n v="0.14599999999999999"/>
    <n v="0.14599999999999999"/>
    <n v="0.14599999999999999"/>
    <n v="0"/>
    <x v="0"/>
    <n v="0"/>
    <n v="0"/>
    <n v="44"/>
    <n v="65"/>
    <n v="0"/>
    <n v="1439.79"/>
    <n v="223.07"/>
    <m/>
    <n v="2100.2879272232226"/>
    <n v="133.74179569551256"/>
    <n v="0"/>
    <n v="210.20933999999997"/>
    <n v="32.568219999999997"/>
    <n v="0"/>
    <n v="306.64203737459047"/>
    <n v="19.526302171544835"/>
  </r>
  <r>
    <s v="Regular"/>
    <x v="3"/>
    <x v="1"/>
    <x v="1"/>
    <x v="0"/>
    <x v="0"/>
    <x v="0"/>
    <x v="2"/>
    <x v="2"/>
    <n v="0"/>
    <n v="0"/>
    <n v="0.109"/>
    <n v="0.109"/>
    <n v="0.109"/>
    <n v="0.109"/>
    <n v="0"/>
    <x v="0"/>
    <n v="0"/>
    <n v="0"/>
    <n v="44"/>
    <n v="65"/>
    <n v="0"/>
    <n v="1439.79"/>
    <n v="223.07"/>
    <m/>
    <n v="2100.2879272232226"/>
    <n v="133.74179569551256"/>
    <n v="0"/>
    <n v="156.93710999999999"/>
    <n v="24.314629999999998"/>
    <n v="0"/>
    <n v="228.93138406733127"/>
    <n v="14.577855730810869"/>
  </r>
  <r>
    <s v="Regular"/>
    <x v="3"/>
    <x v="1"/>
    <x v="1"/>
    <x v="0"/>
    <x v="0"/>
    <x v="0"/>
    <x v="2"/>
    <x v="3"/>
    <n v="0"/>
    <n v="0"/>
    <n v="0.18"/>
    <n v="0.18"/>
    <n v="0.18"/>
    <n v="0.18"/>
    <n v="0"/>
    <x v="0"/>
    <n v="0"/>
    <n v="0"/>
    <n v="44"/>
    <n v="65"/>
    <n v="0"/>
    <n v="1439.79"/>
    <n v="223.07"/>
    <m/>
    <n v="2100.2879272232226"/>
    <n v="133.74179569551256"/>
    <n v="0"/>
    <n v="259.16219999999998"/>
    <n v="40.1526"/>
    <n v="0"/>
    <n v="378.05182690018006"/>
    <n v="24.073523225192261"/>
  </r>
  <r>
    <s v="Regular"/>
    <x v="3"/>
    <x v="1"/>
    <x v="1"/>
    <x v="0"/>
    <x v="0"/>
    <x v="0"/>
    <x v="2"/>
    <x v="4"/>
    <n v="0"/>
    <n v="0"/>
    <n v="0.113"/>
    <n v="0.113"/>
    <n v="0.113"/>
    <n v="0.113"/>
    <n v="0"/>
    <x v="0"/>
    <n v="0"/>
    <n v="0"/>
    <n v="44"/>
    <n v="65"/>
    <n v="0"/>
    <n v="1439.79"/>
    <n v="223.07"/>
    <m/>
    <n v="2100.2879272232226"/>
    <n v="133.74179569551256"/>
    <n v="0"/>
    <n v="162.69627"/>
    <n v="25.206910000000001"/>
    <n v="0"/>
    <n v="237.33253577622415"/>
    <n v="15.11282291359292"/>
  </r>
  <r>
    <s v="Regular"/>
    <x v="3"/>
    <x v="1"/>
    <x v="1"/>
    <x v="0"/>
    <x v="0"/>
    <x v="0"/>
    <x v="2"/>
    <x v="5"/>
    <n v="0"/>
    <n v="0"/>
    <n v="8.5000000000000006E-2"/>
    <n v="8.5000000000000006E-2"/>
    <n v="8.5000000000000006E-2"/>
    <n v="8.5000000000000006E-2"/>
    <n v="0"/>
    <x v="0"/>
    <n v="0"/>
    <n v="0"/>
    <n v="44"/>
    <n v="65"/>
    <n v="0"/>
    <n v="1439.79"/>
    <n v="223.07"/>
    <m/>
    <n v="2100.2879272232226"/>
    <n v="133.74179569551256"/>
    <n v="0"/>
    <n v="122.38215000000001"/>
    <n v="18.96095"/>
    <n v="0"/>
    <n v="178.52447381397394"/>
    <n v="11.368052634118568"/>
  </r>
  <r>
    <s v="Regular"/>
    <x v="3"/>
    <x v="1"/>
    <x v="1"/>
    <x v="0"/>
    <x v="0"/>
    <x v="0"/>
    <x v="2"/>
    <x v="6"/>
    <n v="0"/>
    <n v="0"/>
    <n v="9.7000000000000003E-2"/>
    <n v="9.7000000000000003E-2"/>
    <n v="9.7000000000000003E-2"/>
    <n v="9.7000000000000003E-2"/>
    <n v="0"/>
    <x v="0"/>
    <n v="0"/>
    <n v="0"/>
    <n v="44"/>
    <n v="65"/>
    <n v="0"/>
    <n v="1439.79"/>
    <n v="223.07"/>
    <m/>
    <n v="2100.2879272232226"/>
    <n v="133.74179569551256"/>
    <n v="0"/>
    <n v="139.65962999999999"/>
    <n v="21.637789999999999"/>
    <n v="0"/>
    <n v="203.72792894065259"/>
    <n v="12.972954182464719"/>
  </r>
  <r>
    <s v="Regular"/>
    <x v="3"/>
    <x v="1"/>
    <x v="1"/>
    <x v="0"/>
    <x v="0"/>
    <x v="0"/>
    <x v="2"/>
    <x v="7"/>
    <n v="0"/>
    <n v="0"/>
    <n v="7.4999999999999997E-2"/>
    <n v="7.4999999999999997E-2"/>
    <n v="7.4999999999999997E-2"/>
    <n v="7.4999999999999997E-2"/>
    <n v="0"/>
    <x v="0"/>
    <n v="0"/>
    <n v="0"/>
    <n v="44"/>
    <n v="65"/>
    <n v="0"/>
    <n v="1439.79"/>
    <n v="223.07"/>
    <m/>
    <n v="2100.2879272232226"/>
    <n v="133.74179569551256"/>
    <n v="0"/>
    <n v="107.98424999999999"/>
    <n v="16.730249999999998"/>
    <n v="0"/>
    <n v="157.52159454174168"/>
    <n v="10.030634677163443"/>
  </r>
  <r>
    <s v="Regular"/>
    <x v="3"/>
    <x v="1"/>
    <x v="1"/>
    <x v="0"/>
    <x v="0"/>
    <x v="0"/>
    <x v="2"/>
    <x v="8"/>
    <n v="0"/>
    <n v="0"/>
    <n v="6.4000000000000001E-2"/>
    <n v="6.4000000000000001E-2"/>
    <n v="6.4000000000000001E-2"/>
    <n v="6.4000000000000001E-2"/>
    <n v="0"/>
    <x v="0"/>
    <n v="0"/>
    <n v="0"/>
    <n v="44"/>
    <n v="65"/>
    <n v="0"/>
    <n v="1439.79"/>
    <n v="223.07"/>
    <m/>
    <n v="2100.2879272232226"/>
    <n v="133.74179569551256"/>
    <n v="0"/>
    <n v="92.146559999999994"/>
    <n v="14.276479999999999"/>
    <n v="0"/>
    <n v="134.41842734228624"/>
    <n v="8.5594749245128039"/>
  </r>
  <r>
    <s v="Regular"/>
    <x v="3"/>
    <x v="1"/>
    <x v="1"/>
    <x v="0"/>
    <x v="0"/>
    <x v="0"/>
    <x v="2"/>
    <x v="9"/>
    <n v="0"/>
    <n v="0"/>
    <n v="4.8000000000000001E-2"/>
    <n v="4.8000000000000001E-2"/>
    <n v="4.8000000000000001E-2"/>
    <n v="4.8000000000000001E-2"/>
    <n v="0"/>
    <x v="0"/>
    <n v="0"/>
    <n v="0"/>
    <n v="44"/>
    <n v="65"/>
    <n v="0"/>
    <n v="1439.79"/>
    <n v="223.07"/>
    <m/>
    <n v="2100.2879272232226"/>
    <n v="133.74179569551256"/>
    <n v="0"/>
    <n v="69.109920000000002"/>
    <n v="10.70736"/>
    <n v="0"/>
    <n v="100.81382050671469"/>
    <n v="6.4196061933846034"/>
  </r>
  <r>
    <s v="Regular"/>
    <x v="3"/>
    <x v="1"/>
    <x v="1"/>
    <x v="0"/>
    <x v="0"/>
    <x v="0"/>
    <x v="2"/>
    <x v="10"/>
    <n v="0"/>
    <n v="0"/>
    <n v="0.05"/>
    <n v="0.05"/>
    <n v="0.05"/>
    <n v="0.05"/>
    <n v="0"/>
    <x v="0"/>
    <n v="0"/>
    <n v="0"/>
    <n v="44"/>
    <n v="65"/>
    <n v="0"/>
    <n v="1439.79"/>
    <n v="223.07"/>
    <m/>
    <n v="2100.2879272232226"/>
    <n v="133.74179569551256"/>
    <n v="0"/>
    <n v="71.989500000000007"/>
    <n v="11.153500000000001"/>
    <n v="0"/>
    <n v="105.01439636116113"/>
    <n v="6.6870897847756288"/>
  </r>
  <r>
    <s v="Regular"/>
    <x v="3"/>
    <x v="1"/>
    <x v="1"/>
    <x v="0"/>
    <x v="0"/>
    <x v="0"/>
    <x v="2"/>
    <x v="11"/>
    <n v="0"/>
    <n v="0"/>
    <n v="6.6000000000000003E-2"/>
    <n v="6.6000000000000003E-2"/>
    <n v="6.6000000000000003E-2"/>
    <n v="6.6000000000000003E-2"/>
    <n v="0"/>
    <x v="0"/>
    <n v="0"/>
    <n v="0"/>
    <n v="44"/>
    <n v="65"/>
    <n v="0"/>
    <n v="1439.79"/>
    <n v="223.07"/>
    <m/>
    <n v="2100.2879272232226"/>
    <n v="133.74179569551256"/>
    <n v="0"/>
    <n v="95.026139999999998"/>
    <n v="14.722620000000001"/>
    <n v="0"/>
    <n v="138.61900319673271"/>
    <n v="8.8269585159038293"/>
  </r>
  <r>
    <s v="Regular"/>
    <x v="3"/>
    <x v="2"/>
    <x v="0"/>
    <x v="0"/>
    <x v="0"/>
    <x v="0"/>
    <x v="1"/>
    <x v="0"/>
    <n v="0"/>
    <n v="0"/>
    <n v="843.88099999999997"/>
    <n v="843.88099999999997"/>
    <n v="843.88099999999997"/>
    <n v="843.88099999999997"/>
    <n v="1111"/>
    <x v="0"/>
    <n v="0"/>
    <n v="0"/>
    <n v="36"/>
    <n v="81"/>
    <n v="0"/>
    <n v="482.65"/>
    <n v="223.07"/>
    <m/>
    <n v="692.19856331572464"/>
    <n v="133.74179569551256"/>
    <n v="0"/>
    <n v="407299.16464999999"/>
    <n v="188244.53466999999"/>
    <n v="0"/>
    <n v="584133.21580943698"/>
    <n v="112862.16029332484"/>
  </r>
  <r>
    <s v="Sistema de Compensação"/>
    <x v="3"/>
    <x v="2"/>
    <x v="0"/>
    <x v="0"/>
    <x v="0"/>
    <x v="0"/>
    <x v="1"/>
    <x v="0"/>
    <n v="0"/>
    <n v="0"/>
    <n v="57.822000000000003"/>
    <n v="57.822000000000003"/>
    <n v="57.822000000000003"/>
    <n v="57.822000000000003"/>
    <n v="48"/>
    <x v="0"/>
    <n v="0"/>
    <n v="0"/>
    <n v="36"/>
    <n v="81"/>
    <n v="0"/>
    <n v="482.65"/>
    <n v="223.07"/>
    <m/>
    <n v="692.19856331572464"/>
    <n v="133.74179569551256"/>
    <n v="0"/>
    <n v="27907.7883"/>
    <n v="12898.35354"/>
    <n v="0"/>
    <n v="40024.305328041832"/>
    <n v="7733.2181107059278"/>
  </r>
  <r>
    <s v="Regular"/>
    <x v="3"/>
    <x v="2"/>
    <x v="0"/>
    <x v="0"/>
    <x v="0"/>
    <x v="0"/>
    <x v="1"/>
    <x v="1"/>
    <n v="0"/>
    <n v="0"/>
    <n v="817.37800000000004"/>
    <n v="817.37800000000004"/>
    <n v="817.37800000000004"/>
    <n v="817.37800000000004"/>
    <n v="1126"/>
    <x v="0"/>
    <n v="0"/>
    <n v="0"/>
    <n v="36"/>
    <n v="81"/>
    <n v="0"/>
    <n v="482.65"/>
    <n v="223.07"/>
    <m/>
    <n v="692.19856331572464"/>
    <n v="133.74179569551256"/>
    <n v="0"/>
    <n v="394507.49170000001"/>
    <n v="182332.51045999999"/>
    <n v="0"/>
    <n v="565787.87728588039"/>
    <n v="109317.60148200668"/>
  </r>
  <r>
    <s v="Sistema de Compensação"/>
    <x v="3"/>
    <x v="2"/>
    <x v="0"/>
    <x v="0"/>
    <x v="0"/>
    <x v="0"/>
    <x v="1"/>
    <x v="1"/>
    <n v="0"/>
    <n v="0"/>
    <n v="58.777000000000001"/>
    <n v="58.777000000000001"/>
    <n v="58.777000000000001"/>
    <n v="58.777000000000001"/>
    <n v="49"/>
    <x v="0"/>
    <n v="0"/>
    <n v="0"/>
    <n v="36"/>
    <n v="81"/>
    <n v="0"/>
    <n v="482.65"/>
    <n v="223.07"/>
    <m/>
    <n v="692.19856331572464"/>
    <n v="133.74179569551256"/>
    <n v="0"/>
    <n v="28368.71905"/>
    <n v="13111.385389999999"/>
    <n v="0"/>
    <n v="40685.354956008348"/>
    <n v="7860.9415255951426"/>
  </r>
  <r>
    <s v="Regular"/>
    <x v="3"/>
    <x v="2"/>
    <x v="0"/>
    <x v="0"/>
    <x v="0"/>
    <x v="0"/>
    <x v="1"/>
    <x v="2"/>
    <n v="0"/>
    <n v="0"/>
    <n v="889.322"/>
    <n v="889.322"/>
    <n v="889.322"/>
    <n v="889.322"/>
    <n v="1125"/>
    <x v="0"/>
    <n v="0"/>
    <n v="0"/>
    <n v="36"/>
    <n v="81"/>
    <n v="0"/>
    <n v="482.65"/>
    <n v="223.07"/>
    <m/>
    <n v="692.19856331572464"/>
    <n v="133.74179569551256"/>
    <n v="0"/>
    <n v="429231.26329999999"/>
    <n v="198381.05854"/>
    <n v="0"/>
    <n v="615587.4107250669"/>
    <n v="118939.52123152463"/>
  </r>
  <r>
    <s v="Sistema de Compensação"/>
    <x v="3"/>
    <x v="2"/>
    <x v="0"/>
    <x v="0"/>
    <x v="0"/>
    <x v="0"/>
    <x v="1"/>
    <x v="2"/>
    <n v="0"/>
    <n v="0"/>
    <n v="41.744999999999997"/>
    <n v="41.744999999999997"/>
    <n v="41.744999999999997"/>
    <n v="41.744999999999997"/>
    <n v="53"/>
    <x v="0"/>
    <n v="0"/>
    <n v="0"/>
    <n v="36"/>
    <n v="81"/>
    <n v="0"/>
    <n v="482.65"/>
    <n v="223.07"/>
    <m/>
    <n v="692.19856331572464"/>
    <n v="133.74179569551256"/>
    <n v="0"/>
    <n v="20148.224249999999"/>
    <n v="9312.0571499999987"/>
    <n v="0"/>
    <n v="28895.829025614923"/>
    <n v="5583.0512613091714"/>
  </r>
  <r>
    <s v="Regular"/>
    <x v="3"/>
    <x v="2"/>
    <x v="0"/>
    <x v="0"/>
    <x v="0"/>
    <x v="0"/>
    <x v="1"/>
    <x v="3"/>
    <n v="0"/>
    <n v="0"/>
    <n v="874.52700000000004"/>
    <n v="874.52700000000004"/>
    <n v="874.52700000000004"/>
    <n v="874.52700000000004"/>
    <n v="1133"/>
    <x v="0"/>
    <n v="0"/>
    <n v="0"/>
    <n v="36"/>
    <n v="81"/>
    <n v="0"/>
    <n v="482.65"/>
    <n v="223.07"/>
    <m/>
    <n v="692.19856331572464"/>
    <n v="133.74179569551256"/>
    <n v="0"/>
    <n v="422090.45655"/>
    <n v="195080.73788999999"/>
    <n v="0"/>
    <n v="605346.33298081078"/>
    <n v="116960.81136420953"/>
  </r>
  <r>
    <s v="Sistema de Compensação"/>
    <x v="3"/>
    <x v="2"/>
    <x v="0"/>
    <x v="0"/>
    <x v="0"/>
    <x v="0"/>
    <x v="1"/>
    <x v="3"/>
    <n v="0"/>
    <n v="0"/>
    <n v="32.83"/>
    <n v="32.83"/>
    <n v="32.83"/>
    <n v="32.83"/>
    <n v="54"/>
    <x v="0"/>
    <n v="0"/>
    <n v="0"/>
    <n v="36"/>
    <n v="81"/>
    <n v="0"/>
    <n v="482.65"/>
    <n v="223.07"/>
    <m/>
    <n v="692.19856331572464"/>
    <n v="133.74179569551256"/>
    <n v="0"/>
    <n v="15845.399499999998"/>
    <n v="7323.3880999999992"/>
    <n v="0"/>
    <n v="22724.878833655239"/>
    <n v="4390.7431526836772"/>
  </r>
  <r>
    <s v="Regular"/>
    <x v="3"/>
    <x v="2"/>
    <x v="0"/>
    <x v="0"/>
    <x v="0"/>
    <x v="0"/>
    <x v="1"/>
    <x v="4"/>
    <n v="0"/>
    <n v="0"/>
    <n v="1291.8989999999999"/>
    <n v="1291.8989999999999"/>
    <n v="1291.8989999999999"/>
    <n v="1291.8989999999999"/>
    <n v="1135"/>
    <x v="0"/>
    <n v="0"/>
    <n v="0"/>
    <n v="36"/>
    <n v="81"/>
    <n v="0"/>
    <n v="482.65"/>
    <n v="223.07"/>
    <m/>
    <n v="692.19856331572464"/>
    <n v="133.74179569551256"/>
    <n v="0"/>
    <n v="623535.0523499999"/>
    <n v="288183.90992999997"/>
    <n v="0"/>
    <n v="894250.63174902124"/>
    <n v="172780.89211723697"/>
  </r>
  <r>
    <s v="Refaturamento - Regular"/>
    <x v="3"/>
    <x v="2"/>
    <x v="0"/>
    <x v="0"/>
    <x v="0"/>
    <x v="0"/>
    <x v="1"/>
    <x v="4"/>
    <n v="0"/>
    <n v="0"/>
    <n v="-2.7050000000000001"/>
    <n v="-2.7050000000000001"/>
    <n v="-2.7050000000000001"/>
    <n v="-2.7050000000000001"/>
    <n v="0"/>
    <x v="0"/>
    <n v="0"/>
    <n v="0"/>
    <n v="36"/>
    <n v="81"/>
    <n v="0"/>
    <n v="482.65"/>
    <n v="223.07"/>
    <m/>
    <n v="692.19856331572464"/>
    <n v="133.74179569551256"/>
    <n v="0"/>
    <n v="-1305.56825"/>
    <n v="-603.40435000000002"/>
    <n v="0"/>
    <n v="-1872.3971137690353"/>
    <n v="-361.77155735636148"/>
  </r>
  <r>
    <s v="Sistema de Compensação"/>
    <x v="3"/>
    <x v="2"/>
    <x v="0"/>
    <x v="0"/>
    <x v="0"/>
    <x v="0"/>
    <x v="1"/>
    <x v="4"/>
    <n v="0"/>
    <n v="0"/>
    <n v="65.289000000000001"/>
    <n v="65.289000000000001"/>
    <n v="65.289000000000001"/>
    <n v="65.289000000000001"/>
    <n v="61"/>
    <x v="0"/>
    <n v="0"/>
    <n v="0"/>
    <n v="36"/>
    <n v="81"/>
    <n v="0"/>
    <n v="482.65"/>
    <n v="223.07"/>
    <m/>
    <n v="692.19856331572464"/>
    <n v="133.74179569551256"/>
    <n v="0"/>
    <n v="31511.735850000001"/>
    <n v="14564.017229999999"/>
    <n v="0"/>
    <n v="45192.952000320351"/>
    <n v="8731.8680991643196"/>
  </r>
  <r>
    <s v="Regular"/>
    <x v="3"/>
    <x v="2"/>
    <x v="0"/>
    <x v="0"/>
    <x v="0"/>
    <x v="0"/>
    <x v="1"/>
    <x v="5"/>
    <n v="0"/>
    <n v="0"/>
    <n v="1345.3910000000001"/>
    <n v="1345.3910000000001"/>
    <n v="1345.3910000000001"/>
    <n v="1345.3910000000001"/>
    <n v="1141"/>
    <x v="0"/>
    <n v="0"/>
    <n v="0"/>
    <n v="36"/>
    <n v="81"/>
    <n v="0"/>
    <n v="482.65"/>
    <n v="223.07"/>
    <m/>
    <n v="692.19856331572464"/>
    <n v="133.74179569551256"/>
    <n v="0"/>
    <n v="649352.96614999999"/>
    <n v="300116.37037000002"/>
    <n v="0"/>
    <n v="931277.71729790617"/>
    <n v="179935.00825258135"/>
  </r>
  <r>
    <s v="Refaturamento - Regular"/>
    <x v="3"/>
    <x v="2"/>
    <x v="0"/>
    <x v="0"/>
    <x v="0"/>
    <x v="0"/>
    <x v="1"/>
    <x v="5"/>
    <n v="0"/>
    <n v="0"/>
    <n v="-2.3180000000000001"/>
    <n v="-2.3180000000000001"/>
    <n v="-2.3180000000000001"/>
    <n v="-2.3180000000000001"/>
    <n v="0"/>
    <x v="0"/>
    <n v="0"/>
    <n v="0"/>
    <n v="36"/>
    <n v="81"/>
    <n v="0"/>
    <n v="482.65"/>
    <n v="223.07"/>
    <m/>
    <n v="692.19856331572464"/>
    <n v="133.74179569551256"/>
    <n v="0"/>
    <n v="-1118.7827"/>
    <n v="-517.07626000000005"/>
    <n v="0"/>
    <n v="-1604.5162697658498"/>
    <n v="-310.01348242219814"/>
  </r>
  <r>
    <s v="Regular"/>
    <x v="3"/>
    <x v="2"/>
    <x v="0"/>
    <x v="0"/>
    <x v="0"/>
    <x v="0"/>
    <x v="1"/>
    <x v="6"/>
    <n v="0"/>
    <n v="0"/>
    <n v="1332.6220000000001"/>
    <n v="1332.6220000000001"/>
    <n v="1332.6220000000001"/>
    <n v="1332.6220000000001"/>
    <n v="1142"/>
    <x v="0"/>
    <n v="0"/>
    <n v="0"/>
    <n v="36"/>
    <n v="81"/>
    <n v="0"/>
    <n v="482.65"/>
    <n v="223.07"/>
    <m/>
    <n v="692.19856331572464"/>
    <n v="133.74179569551256"/>
    <n v="0"/>
    <n v="643190.00829999999"/>
    <n v="297267.98953999998"/>
    <n v="0"/>
    <n v="922439.03384292766"/>
    <n v="178227.25926334536"/>
  </r>
  <r>
    <s v="Sistema de Compensação"/>
    <x v="3"/>
    <x v="2"/>
    <x v="0"/>
    <x v="0"/>
    <x v="0"/>
    <x v="0"/>
    <x v="1"/>
    <x v="6"/>
    <n v="0"/>
    <n v="0"/>
    <n v="104.91"/>
    <n v="104.91"/>
    <n v="104.91"/>
    <n v="104.91"/>
    <n v="71"/>
    <x v="0"/>
    <n v="0"/>
    <n v="0"/>
    <n v="36"/>
    <n v="81"/>
    <n v="0"/>
    <n v="482.65"/>
    <n v="223.07"/>
    <m/>
    <n v="692.19856331572464"/>
    <n v="133.74179569551256"/>
    <n v="0"/>
    <n v="50634.811499999996"/>
    <n v="23402.273699999998"/>
    <n v="0"/>
    <n v="72618.551277452672"/>
    <n v="14030.851786416222"/>
  </r>
  <r>
    <s v="Regular"/>
    <x v="3"/>
    <x v="2"/>
    <x v="0"/>
    <x v="0"/>
    <x v="0"/>
    <x v="0"/>
    <x v="1"/>
    <x v="7"/>
    <n v="0"/>
    <n v="0"/>
    <n v="1018.1559999999999"/>
    <n v="1018.1559999999999"/>
    <n v="1018.1559999999999"/>
    <n v="1018.1559999999999"/>
    <n v="1144"/>
    <x v="0"/>
    <n v="0"/>
    <n v="0"/>
    <n v="36"/>
    <n v="81"/>
    <n v="0"/>
    <n v="482.65"/>
    <n v="223.07"/>
    <m/>
    <n v="692.19856331572464"/>
    <n v="133.74179569551256"/>
    <n v="0"/>
    <n v="491412.99339999998"/>
    <n v="227120.05891999998"/>
    <n v="0"/>
    <n v="704766.12043128489"/>
    <n v="136170.01173816028"/>
  </r>
  <r>
    <s v="Sistema de Compensação"/>
    <x v="3"/>
    <x v="2"/>
    <x v="0"/>
    <x v="0"/>
    <x v="0"/>
    <x v="0"/>
    <x v="1"/>
    <x v="7"/>
    <n v="0"/>
    <n v="0"/>
    <n v="65.734999999999999"/>
    <n v="65.734999999999999"/>
    <n v="65.734999999999999"/>
    <n v="65.734999999999999"/>
    <n v="71"/>
    <x v="0"/>
    <n v="0"/>
    <n v="0"/>
    <n v="36"/>
    <n v="81"/>
    <n v="0"/>
    <n v="482.65"/>
    <n v="223.07"/>
    <m/>
    <n v="692.19856331572464"/>
    <n v="133.74179569551256"/>
    <n v="0"/>
    <n v="31726.997749999999"/>
    <n v="14663.506449999999"/>
    <n v="0"/>
    <n v="45501.672559559156"/>
    <n v="8791.5169400445175"/>
  </r>
  <r>
    <s v="Regular"/>
    <x v="3"/>
    <x v="2"/>
    <x v="0"/>
    <x v="0"/>
    <x v="0"/>
    <x v="0"/>
    <x v="1"/>
    <x v="8"/>
    <n v="0"/>
    <n v="0"/>
    <n v="842.15899999999999"/>
    <n v="842.15899999999999"/>
    <n v="842.15899999999999"/>
    <n v="842.15899999999999"/>
    <n v="1132"/>
    <x v="0"/>
    <n v="0"/>
    <n v="0"/>
    <n v="36"/>
    <n v="81"/>
    <n v="0"/>
    <n v="482.65"/>
    <n v="223.07"/>
    <m/>
    <n v="692.19856331572464"/>
    <n v="133.74179569551256"/>
    <n v="0"/>
    <n v="406468.04134999996"/>
    <n v="187860.40813"/>
    <n v="0"/>
    <n v="582941.24988340738"/>
    <n v="112631.85692113717"/>
  </r>
  <r>
    <s v="Sistema de Compensação"/>
    <x v="3"/>
    <x v="2"/>
    <x v="0"/>
    <x v="0"/>
    <x v="0"/>
    <x v="0"/>
    <x v="1"/>
    <x v="8"/>
    <n v="0"/>
    <n v="0"/>
    <n v="70.533000000000001"/>
    <n v="70.533000000000001"/>
    <n v="70.533000000000001"/>
    <n v="70.533000000000001"/>
    <n v="74"/>
    <x v="0"/>
    <n v="0"/>
    <n v="0"/>
    <n v="36"/>
    <n v="81"/>
    <n v="0"/>
    <n v="482.65"/>
    <n v="223.07"/>
    <m/>
    <n v="692.19856331572464"/>
    <n v="133.74179569551256"/>
    <n v="0"/>
    <n v="34042.75245"/>
    <n v="15733.79631"/>
    <n v="0"/>
    <n v="48822.841266348005"/>
    <n v="9433.2100757915887"/>
  </r>
  <r>
    <s v="Regular"/>
    <x v="3"/>
    <x v="2"/>
    <x v="0"/>
    <x v="0"/>
    <x v="0"/>
    <x v="0"/>
    <x v="1"/>
    <x v="9"/>
    <n v="0"/>
    <n v="0"/>
    <n v="812.50300000000004"/>
    <n v="812.50300000000004"/>
    <n v="812.50300000000004"/>
    <n v="812.50300000000004"/>
    <n v="1123"/>
    <x v="0"/>
    <n v="0"/>
    <n v="0"/>
    <n v="36"/>
    <n v="81"/>
    <n v="0"/>
    <n v="482.65"/>
    <n v="223.07"/>
    <m/>
    <n v="692.19856331572464"/>
    <n v="133.74179569551256"/>
    <n v="0"/>
    <n v="392154.57295"/>
    <n v="181245.04420999999"/>
    <n v="0"/>
    <n v="562413.40928971628"/>
    <n v="108665.61022799106"/>
  </r>
  <r>
    <s v="Sistema de Compensação"/>
    <x v="3"/>
    <x v="2"/>
    <x v="0"/>
    <x v="0"/>
    <x v="0"/>
    <x v="0"/>
    <x v="1"/>
    <x v="9"/>
    <n v="0"/>
    <n v="0"/>
    <n v="77.802000000000007"/>
    <n v="77.802000000000007"/>
    <n v="77.802000000000007"/>
    <n v="77.802000000000007"/>
    <n v="73"/>
    <x v="0"/>
    <n v="0"/>
    <n v="0"/>
    <n v="36"/>
    <n v="81"/>
    <n v="0"/>
    <n v="482.65"/>
    <n v="223.07"/>
    <m/>
    <n v="692.19856331572464"/>
    <n v="133.74179569551256"/>
    <n v="0"/>
    <n v="37551.135300000002"/>
    <n v="17355.292140000001"/>
    <n v="0"/>
    <n v="53854.432623090011"/>
    <n v="10405.379188702269"/>
  </r>
  <r>
    <s v="Regular"/>
    <x v="3"/>
    <x v="2"/>
    <x v="0"/>
    <x v="0"/>
    <x v="0"/>
    <x v="0"/>
    <x v="1"/>
    <x v="10"/>
    <n v="0"/>
    <n v="0"/>
    <n v="721.87"/>
    <n v="721.87"/>
    <n v="721.87"/>
    <n v="721.87"/>
    <n v="1120"/>
    <x v="0"/>
    <n v="0"/>
    <n v="0"/>
    <n v="36"/>
    <n v="81"/>
    <n v="0"/>
    <n v="482.65"/>
    <n v="223.07"/>
    <m/>
    <n v="692.19856331572464"/>
    <n v="133.74179569551256"/>
    <n v="0"/>
    <n v="348410.55549999996"/>
    <n v="161027.54089999999"/>
    <n v="0"/>
    <n v="499677.37690072216"/>
    <n v="96544.190058719658"/>
  </r>
  <r>
    <s v="Sistema de Compensação"/>
    <x v="3"/>
    <x v="2"/>
    <x v="0"/>
    <x v="0"/>
    <x v="0"/>
    <x v="0"/>
    <x v="1"/>
    <x v="10"/>
    <n v="0"/>
    <n v="0"/>
    <n v="83.543000000000006"/>
    <n v="83.543000000000006"/>
    <n v="83.543000000000006"/>
    <n v="83.543000000000006"/>
    <n v="79"/>
    <x v="0"/>
    <n v="0"/>
    <n v="0"/>
    <n v="36"/>
    <n v="81"/>
    <n v="0"/>
    <n v="482.65"/>
    <n v="223.07"/>
    <m/>
    <n v="692.19856331572464"/>
    <n v="133.74179569551256"/>
    <n v="0"/>
    <n v="40322.02895"/>
    <n v="18635.937010000001"/>
    <n v="0"/>
    <n v="57828.34457508559"/>
    <n v="11173.190837790207"/>
  </r>
  <r>
    <s v="Regular"/>
    <x v="3"/>
    <x v="2"/>
    <x v="0"/>
    <x v="0"/>
    <x v="0"/>
    <x v="0"/>
    <x v="1"/>
    <x v="11"/>
    <n v="0"/>
    <n v="0"/>
    <n v="818.005"/>
    <n v="818.005"/>
    <n v="818.005"/>
    <n v="818.005"/>
    <n v="1115"/>
    <x v="0"/>
    <n v="0"/>
    <n v="0"/>
    <n v="36"/>
    <n v="81"/>
    <n v="0"/>
    <n v="482.65"/>
    <n v="223.07"/>
    <m/>
    <n v="692.19856331572464"/>
    <n v="133.74179569551256"/>
    <n v="0"/>
    <n v="394810.11324999999"/>
    <n v="182472.37534999999"/>
    <n v="0"/>
    <n v="566221.88578507933"/>
    <n v="109401.45758790776"/>
  </r>
  <r>
    <s v="Sistema de Compensação"/>
    <x v="3"/>
    <x v="2"/>
    <x v="0"/>
    <x v="0"/>
    <x v="0"/>
    <x v="0"/>
    <x v="1"/>
    <x v="11"/>
    <n v="0"/>
    <n v="0"/>
    <n v="75.135000000000005"/>
    <n v="75.135000000000005"/>
    <n v="75.135000000000005"/>
    <n v="75.135000000000005"/>
    <n v="92"/>
    <x v="0"/>
    <n v="0"/>
    <n v="0"/>
    <n v="36"/>
    <n v="81"/>
    <n v="0"/>
    <n v="482.65"/>
    <n v="223.07"/>
    <m/>
    <n v="692.19856331572464"/>
    <n v="133.74179569551256"/>
    <n v="0"/>
    <n v="36263.907749999998"/>
    <n v="16760.364450000001"/>
    <n v="0"/>
    <n v="52008.339054726974"/>
    <n v="10048.689819582338"/>
  </r>
  <r>
    <s v="Regular"/>
    <x v="3"/>
    <x v="2"/>
    <x v="5"/>
    <x v="0"/>
    <x v="0"/>
    <x v="0"/>
    <x v="1"/>
    <x v="0"/>
    <n v="0"/>
    <n v="0"/>
    <n v="3.9039999999999999"/>
    <n v="3.9039999999999999"/>
    <n v="3.9039999999999999"/>
    <n v="3.9039999999999999"/>
    <n v="2"/>
    <x v="0"/>
    <n v="0"/>
    <n v="0"/>
    <n v="36"/>
    <n v="81"/>
    <n v="0"/>
    <n v="482.65"/>
    <n v="223.07"/>
    <m/>
    <n v="692.19856331572464"/>
    <n v="133.74179569551256"/>
    <n v="0"/>
    <n v="1884.2655999999999"/>
    <n v="870.86527999999998"/>
    <n v="0"/>
    <n v="2702.3431911845892"/>
    <n v="522.12797039528107"/>
  </r>
  <r>
    <s v="Regular"/>
    <x v="3"/>
    <x v="2"/>
    <x v="5"/>
    <x v="0"/>
    <x v="0"/>
    <x v="0"/>
    <x v="1"/>
    <x v="1"/>
    <n v="0"/>
    <n v="0"/>
    <n v="4.218"/>
    <n v="4.218"/>
    <n v="4.218"/>
    <n v="4.218"/>
    <n v="2"/>
    <x v="0"/>
    <n v="0"/>
    <n v="0"/>
    <n v="36"/>
    <n v="81"/>
    <n v="0"/>
    <n v="482.65"/>
    <n v="223.07"/>
    <m/>
    <n v="692.19856331572464"/>
    <n v="133.74179569551256"/>
    <n v="0"/>
    <n v="2035.8176999999998"/>
    <n v="940.90926000000002"/>
    <n v="0"/>
    <n v="2919.6935400657267"/>
    <n v="564.12289424367202"/>
  </r>
  <r>
    <s v="Regular"/>
    <x v="3"/>
    <x v="2"/>
    <x v="5"/>
    <x v="0"/>
    <x v="0"/>
    <x v="0"/>
    <x v="1"/>
    <x v="2"/>
    <n v="0"/>
    <n v="0"/>
    <n v="4.1429999999999998"/>
    <n v="4.1429999999999998"/>
    <n v="4.1429999999999998"/>
    <n v="4.1429999999999998"/>
    <n v="3"/>
    <x v="0"/>
    <n v="0"/>
    <n v="0"/>
    <n v="36"/>
    <n v="81"/>
    <n v="0"/>
    <n v="482.65"/>
    <n v="223.07"/>
    <m/>
    <n v="692.19856331572464"/>
    <n v="133.74179569551256"/>
    <n v="0"/>
    <n v="1999.6189499999998"/>
    <n v="924.17900999999995"/>
    <n v="0"/>
    <n v="2867.7786478170469"/>
    <n v="554.09225956650857"/>
  </r>
  <r>
    <s v="Regular"/>
    <x v="3"/>
    <x v="2"/>
    <x v="5"/>
    <x v="0"/>
    <x v="0"/>
    <x v="0"/>
    <x v="1"/>
    <x v="3"/>
    <n v="0"/>
    <n v="0"/>
    <n v="5.45"/>
    <n v="5.45"/>
    <n v="5.45"/>
    <n v="5.45"/>
    <n v="3"/>
    <x v="0"/>
    <n v="0"/>
    <n v="0"/>
    <n v="36"/>
    <n v="81"/>
    <n v="0"/>
    <n v="482.65"/>
    <n v="223.07"/>
    <m/>
    <n v="692.19856331572464"/>
    <n v="133.74179569551256"/>
    <n v="0"/>
    <n v="2630.4425000000001"/>
    <n v="1215.7315000000001"/>
    <n v="0"/>
    <n v="3772.4821700706993"/>
    <n v="728.89278654054351"/>
  </r>
  <r>
    <s v="Regular"/>
    <x v="3"/>
    <x v="2"/>
    <x v="5"/>
    <x v="0"/>
    <x v="0"/>
    <x v="0"/>
    <x v="1"/>
    <x v="4"/>
    <n v="0"/>
    <n v="0"/>
    <n v="5.9109999999999996"/>
    <n v="5.9109999999999996"/>
    <n v="5.9109999999999996"/>
    <n v="5.9109999999999996"/>
    <n v="3"/>
    <x v="0"/>
    <n v="0"/>
    <n v="0"/>
    <n v="36"/>
    <n v="81"/>
    <n v="0"/>
    <n v="482.65"/>
    <n v="223.07"/>
    <m/>
    <n v="692.19856331572464"/>
    <n v="133.74179569551256"/>
    <n v="0"/>
    <n v="2852.9441499999998"/>
    <n v="1318.5667699999999"/>
    <n v="0"/>
    <n v="4091.5857077592482"/>
    <n v="790.54775435617466"/>
  </r>
  <r>
    <s v="Regular"/>
    <x v="3"/>
    <x v="2"/>
    <x v="5"/>
    <x v="0"/>
    <x v="0"/>
    <x v="0"/>
    <x v="1"/>
    <x v="5"/>
    <n v="0"/>
    <n v="0"/>
    <n v="8.8409999999999993"/>
    <n v="8.8409999999999993"/>
    <n v="8.8409999999999993"/>
    <n v="8.8409999999999993"/>
    <n v="3"/>
    <x v="0"/>
    <n v="0"/>
    <n v="0"/>
    <n v="36"/>
    <n v="81"/>
    <n v="0"/>
    <n v="482.65"/>
    <n v="223.07"/>
    <m/>
    <n v="692.19856331572464"/>
    <n v="133.74179569551256"/>
    <n v="0"/>
    <n v="4267.1086499999992"/>
    <n v="1972.1618699999997"/>
    <n v="0"/>
    <n v="6119.7274982743211"/>
    <n v="1182.4112157440265"/>
  </r>
  <r>
    <s v="Regular"/>
    <x v="3"/>
    <x v="2"/>
    <x v="5"/>
    <x v="0"/>
    <x v="0"/>
    <x v="0"/>
    <x v="1"/>
    <x v="6"/>
    <n v="0"/>
    <n v="0"/>
    <n v="7.1980000000000004"/>
    <n v="7.1980000000000004"/>
    <n v="7.1980000000000004"/>
    <n v="7.1980000000000004"/>
    <n v="3"/>
    <x v="0"/>
    <n v="0"/>
    <n v="0"/>
    <n v="36"/>
    <n v="81"/>
    <n v="0"/>
    <n v="482.65"/>
    <n v="223.07"/>
    <m/>
    <n v="692.19856331572464"/>
    <n v="133.74179569551256"/>
    <n v="0"/>
    <n v="3474.1147000000001"/>
    <n v="1605.65786"/>
    <n v="0"/>
    <n v="4982.4452587465867"/>
    <n v="962.6734454162995"/>
  </r>
  <r>
    <s v="Regular"/>
    <x v="3"/>
    <x v="2"/>
    <x v="5"/>
    <x v="0"/>
    <x v="0"/>
    <x v="0"/>
    <x v="1"/>
    <x v="7"/>
    <n v="0"/>
    <n v="0"/>
    <n v="6.2789999999999999"/>
    <n v="6.2789999999999999"/>
    <n v="6.2789999999999999"/>
    <n v="6.2789999999999999"/>
    <n v="3"/>
    <x v="0"/>
    <n v="0"/>
    <n v="0"/>
    <n v="36"/>
    <n v="81"/>
    <n v="0"/>
    <n v="482.65"/>
    <n v="223.07"/>
    <m/>
    <n v="692.19856331572464"/>
    <n v="133.74179569551256"/>
    <n v="0"/>
    <n v="3030.55935"/>
    <n v="1400.65653"/>
    <n v="0"/>
    <n v="4346.3147790594348"/>
    <n v="839.76473517212344"/>
  </r>
  <r>
    <s v="Regular"/>
    <x v="3"/>
    <x v="2"/>
    <x v="5"/>
    <x v="0"/>
    <x v="0"/>
    <x v="0"/>
    <x v="1"/>
    <x v="8"/>
    <n v="0"/>
    <n v="0"/>
    <n v="4.51"/>
    <n v="4.51"/>
    <n v="4.51"/>
    <n v="4.51"/>
    <n v="3"/>
    <x v="0"/>
    <n v="0"/>
    <n v="0"/>
    <n v="36"/>
    <n v="81"/>
    <n v="0"/>
    <n v="482.65"/>
    <n v="223.07"/>
    <m/>
    <n v="692.19856331572464"/>
    <n v="133.74179569551256"/>
    <n v="0"/>
    <n v="2176.7514999999999"/>
    <n v="1006.0456999999999"/>
    <n v="0"/>
    <n v="3121.8155205539178"/>
    <n v="603.17549858676159"/>
  </r>
  <r>
    <s v="Regular"/>
    <x v="3"/>
    <x v="2"/>
    <x v="5"/>
    <x v="0"/>
    <x v="0"/>
    <x v="0"/>
    <x v="1"/>
    <x v="9"/>
    <n v="0"/>
    <n v="0"/>
    <n v="4.1470000000000002"/>
    <n v="4.1470000000000002"/>
    <n v="4.1470000000000002"/>
    <n v="4.1470000000000002"/>
    <n v="3"/>
    <x v="0"/>
    <n v="0"/>
    <n v="0"/>
    <n v="36"/>
    <n v="81"/>
    <n v="0"/>
    <n v="482.65"/>
    <n v="223.07"/>
    <m/>
    <n v="692.19856331572464"/>
    <n v="133.74179569551256"/>
    <n v="0"/>
    <n v="2001.54955"/>
    <n v="925.07128999999998"/>
    <n v="0"/>
    <n v="2870.5474420703104"/>
    <n v="554.62722674929068"/>
  </r>
  <r>
    <s v="Regular"/>
    <x v="3"/>
    <x v="2"/>
    <x v="5"/>
    <x v="0"/>
    <x v="0"/>
    <x v="0"/>
    <x v="1"/>
    <x v="10"/>
    <n v="0"/>
    <n v="0"/>
    <n v="3.5859999999999999"/>
    <n v="3.5859999999999999"/>
    <n v="3.5859999999999999"/>
    <n v="3.5859999999999999"/>
    <n v="3"/>
    <x v="0"/>
    <n v="0"/>
    <n v="0"/>
    <n v="36"/>
    <n v="81"/>
    <n v="0"/>
    <n v="482.65"/>
    <n v="223.07"/>
    <m/>
    <n v="692.19856331572464"/>
    <n v="133.74179569551256"/>
    <n v="0"/>
    <n v="1730.7828999999999"/>
    <n v="799.92901999999992"/>
    <n v="0"/>
    <n v="2482.2240480501887"/>
    <n v="479.59807936410806"/>
  </r>
  <r>
    <s v="Regular"/>
    <x v="3"/>
    <x v="2"/>
    <x v="5"/>
    <x v="0"/>
    <x v="0"/>
    <x v="0"/>
    <x v="1"/>
    <x v="11"/>
    <n v="0"/>
    <n v="0"/>
    <n v="4.1639999999999997"/>
    <n v="4.1639999999999997"/>
    <n v="4.1639999999999997"/>
    <n v="4.1639999999999997"/>
    <n v="3"/>
    <x v="0"/>
    <n v="0"/>
    <n v="0"/>
    <n v="36"/>
    <n v="81"/>
    <n v="0"/>
    <n v="482.65"/>
    <n v="223.07"/>
    <m/>
    <n v="692.19856331572464"/>
    <n v="133.74179569551256"/>
    <n v="0"/>
    <n v="2009.7545999999998"/>
    <n v="928.86347999999987"/>
    <n v="0"/>
    <n v="2882.3148176466771"/>
    <n v="556.90083727611432"/>
  </r>
  <r>
    <s v="Regular"/>
    <x v="3"/>
    <x v="2"/>
    <x v="1"/>
    <x v="0"/>
    <x v="0"/>
    <x v="0"/>
    <x v="1"/>
    <x v="0"/>
    <n v="0"/>
    <n v="0"/>
    <n v="56.256"/>
    <n v="56.256"/>
    <n v="56.256"/>
    <n v="56.256"/>
    <n v="58"/>
    <x v="0"/>
    <n v="0"/>
    <n v="0"/>
    <n v="36"/>
    <n v="81"/>
    <n v="0"/>
    <n v="482.65"/>
    <n v="223.07"/>
    <m/>
    <n v="692.19856331572464"/>
    <n v="133.74179569551256"/>
    <n v="0"/>
    <n v="27151.9584"/>
    <n v="12549.02592"/>
    <n v="0"/>
    <n v="38940.322377889403"/>
    <n v="7523.7784586467551"/>
  </r>
  <r>
    <s v="Sistema de Compensação"/>
    <x v="3"/>
    <x v="2"/>
    <x v="1"/>
    <x v="0"/>
    <x v="0"/>
    <x v="0"/>
    <x v="1"/>
    <x v="0"/>
    <n v="0"/>
    <n v="0"/>
    <n v="6.7409999999999997"/>
    <n v="6.7409999999999997"/>
    <n v="6.7409999999999997"/>
    <n v="6.7409999999999997"/>
    <n v="6"/>
    <x v="0"/>
    <n v="0"/>
    <n v="0"/>
    <n v="36"/>
    <n v="81"/>
    <n v="0"/>
    <n v="482.65"/>
    <n v="223.07"/>
    <m/>
    <n v="692.19856331572464"/>
    <n v="133.74179569551256"/>
    <n v="0"/>
    <n v="3253.5436499999996"/>
    <n v="1503.7148699999998"/>
    <n v="0"/>
    <n v="4666.1105153112994"/>
    <n v="901.55344478345012"/>
  </r>
  <r>
    <s v="Regular"/>
    <x v="3"/>
    <x v="2"/>
    <x v="1"/>
    <x v="0"/>
    <x v="0"/>
    <x v="0"/>
    <x v="1"/>
    <x v="1"/>
    <n v="0"/>
    <n v="0"/>
    <n v="53.192"/>
    <n v="53.192"/>
    <n v="53.192"/>
    <n v="53.192"/>
    <n v="58"/>
    <x v="0"/>
    <n v="0"/>
    <n v="0"/>
    <n v="36"/>
    <n v="81"/>
    <n v="0"/>
    <n v="482.65"/>
    <n v="223.07"/>
    <m/>
    <n v="692.19856331572464"/>
    <n v="133.74179569551256"/>
    <n v="0"/>
    <n v="25673.1188"/>
    <n v="11865.53944"/>
    <n v="0"/>
    <n v="36819.425979890024"/>
    <n v="7113.9935966357043"/>
  </r>
  <r>
    <s v="Sistema de Compensação"/>
    <x v="3"/>
    <x v="2"/>
    <x v="1"/>
    <x v="0"/>
    <x v="0"/>
    <x v="0"/>
    <x v="1"/>
    <x v="1"/>
    <n v="0"/>
    <n v="0"/>
    <n v="13.53"/>
    <n v="13.53"/>
    <n v="13.53"/>
    <n v="13.53"/>
    <n v="8"/>
    <x v="0"/>
    <n v="0"/>
    <n v="0"/>
    <n v="36"/>
    <n v="81"/>
    <n v="0"/>
    <n v="482.65"/>
    <n v="223.07"/>
    <m/>
    <n v="692.19856331572464"/>
    <n v="133.74179569551256"/>
    <n v="0"/>
    <n v="6530.2544999999991"/>
    <n v="3018.1370999999999"/>
    <n v="0"/>
    <n v="9365.4465616617545"/>
    <n v="1809.5264957602849"/>
  </r>
  <r>
    <s v="Regular"/>
    <x v="3"/>
    <x v="2"/>
    <x v="1"/>
    <x v="0"/>
    <x v="0"/>
    <x v="0"/>
    <x v="1"/>
    <x v="2"/>
    <n v="0"/>
    <n v="0"/>
    <n v="56.776000000000003"/>
    <n v="56.776000000000003"/>
    <n v="56.776000000000003"/>
    <n v="56.776000000000003"/>
    <n v="59"/>
    <x v="0"/>
    <n v="0"/>
    <n v="0"/>
    <n v="36"/>
    <n v="81"/>
    <n v="0"/>
    <n v="482.65"/>
    <n v="223.07"/>
    <m/>
    <n v="692.19856331572464"/>
    <n v="133.74179569551256"/>
    <n v="0"/>
    <n v="27402.936399999999"/>
    <n v="12665.02232"/>
    <n v="0"/>
    <n v="39300.265630813585"/>
    <n v="7593.3241924084214"/>
  </r>
  <r>
    <s v="Sistema de Compensação"/>
    <x v="3"/>
    <x v="2"/>
    <x v="1"/>
    <x v="0"/>
    <x v="0"/>
    <x v="0"/>
    <x v="1"/>
    <x v="2"/>
    <n v="0"/>
    <n v="0"/>
    <n v="7.0469999999999997"/>
    <n v="7.0469999999999997"/>
    <n v="7.0469999999999997"/>
    <n v="7.0469999999999997"/>
    <n v="6"/>
    <x v="0"/>
    <n v="0"/>
    <n v="0"/>
    <n v="36"/>
    <n v="81"/>
    <n v="0"/>
    <n v="482.65"/>
    <n v="223.07"/>
    <m/>
    <n v="692.19856331572464"/>
    <n v="133.74179569551256"/>
    <n v="0"/>
    <n v="3401.2345499999997"/>
    <n v="1571.9742899999999"/>
    <n v="0"/>
    <n v="4877.923275685911"/>
    <n v="942.47843426627696"/>
  </r>
  <r>
    <s v="Regular"/>
    <x v="3"/>
    <x v="2"/>
    <x v="1"/>
    <x v="0"/>
    <x v="0"/>
    <x v="0"/>
    <x v="1"/>
    <x v="3"/>
    <n v="0"/>
    <n v="0"/>
    <n v="54.853999999999999"/>
    <n v="54.853999999999999"/>
    <n v="54.853999999999999"/>
    <n v="54.853999999999999"/>
    <n v="59"/>
    <x v="0"/>
    <n v="0"/>
    <n v="0"/>
    <n v="36"/>
    <n v="81"/>
    <n v="0"/>
    <n v="482.65"/>
    <n v="223.07"/>
    <m/>
    <n v="692.19856331572464"/>
    <n v="133.74179569551256"/>
    <n v="0"/>
    <n v="26475.283099999997"/>
    <n v="12236.281779999999"/>
    <n v="0"/>
    <n v="37969.859992120757"/>
    <n v="7336.2724610816458"/>
  </r>
  <r>
    <s v="Sistema de Compensação"/>
    <x v="3"/>
    <x v="2"/>
    <x v="1"/>
    <x v="0"/>
    <x v="0"/>
    <x v="0"/>
    <x v="1"/>
    <x v="3"/>
    <n v="0"/>
    <n v="0"/>
    <n v="8.75"/>
    <n v="8.75"/>
    <n v="8.75"/>
    <n v="8.75"/>
    <n v="6"/>
    <x v="0"/>
    <n v="0"/>
    <n v="0"/>
    <n v="36"/>
    <n v="81"/>
    <n v="0"/>
    <n v="482.65"/>
    <n v="223.07"/>
    <m/>
    <n v="692.19856331572464"/>
    <n v="133.74179569551256"/>
    <n v="0"/>
    <n v="4223.1875"/>
    <n v="1951.8625"/>
    <n v="0"/>
    <n v="6056.7374290125908"/>
    <n v="1170.240712335735"/>
  </r>
  <r>
    <s v="Regular"/>
    <x v="3"/>
    <x v="2"/>
    <x v="1"/>
    <x v="0"/>
    <x v="0"/>
    <x v="0"/>
    <x v="1"/>
    <x v="4"/>
    <n v="0"/>
    <n v="0"/>
    <n v="48.258000000000003"/>
    <n v="48.258000000000003"/>
    <n v="48.258000000000003"/>
    <n v="48.258000000000003"/>
    <n v="59"/>
    <x v="0"/>
    <n v="0"/>
    <n v="0"/>
    <n v="36"/>
    <n v="81"/>
    <n v="0"/>
    <n v="482.65"/>
    <n v="223.07"/>
    <m/>
    <n v="692.19856331572464"/>
    <n v="133.74179569551256"/>
    <n v="0"/>
    <n v="23291.723699999999"/>
    <n v="10764.912060000001"/>
    <n v="0"/>
    <n v="33404.118268490245"/>
    <n v="6454.1115766740459"/>
  </r>
  <r>
    <s v="Sistema de Compensação"/>
    <x v="3"/>
    <x v="2"/>
    <x v="1"/>
    <x v="0"/>
    <x v="0"/>
    <x v="0"/>
    <x v="1"/>
    <x v="4"/>
    <n v="0"/>
    <n v="0"/>
    <n v="14.702"/>
    <n v="14.702"/>
    <n v="14.702"/>
    <n v="14.702"/>
    <n v="6"/>
    <x v="0"/>
    <n v="0"/>
    <n v="0"/>
    <n v="36"/>
    <n v="81"/>
    <n v="0"/>
    <n v="482.65"/>
    <n v="223.07"/>
    <m/>
    <n v="692.19856331572464"/>
    <n v="133.74179569551256"/>
    <n v="0"/>
    <n v="7095.9202999999998"/>
    <n v="3279.5751399999999"/>
    <n v="0"/>
    <n v="10176.703277867784"/>
    <n v="1966.2718803154257"/>
  </r>
  <r>
    <s v="Regular"/>
    <x v="3"/>
    <x v="2"/>
    <x v="1"/>
    <x v="0"/>
    <x v="0"/>
    <x v="0"/>
    <x v="1"/>
    <x v="5"/>
    <n v="0"/>
    <n v="0"/>
    <n v="59.816000000000003"/>
    <n v="59.816000000000003"/>
    <n v="59.816000000000003"/>
    <n v="59.816000000000003"/>
    <n v="60"/>
    <x v="0"/>
    <n v="0"/>
    <n v="0"/>
    <n v="36"/>
    <n v="81"/>
    <n v="0"/>
    <n v="482.65"/>
    <n v="223.07"/>
    <m/>
    <n v="692.19856331572464"/>
    <n v="133.74179569551256"/>
    <n v="0"/>
    <n v="28870.1924"/>
    <n v="13343.155119999999"/>
    <n v="0"/>
    <n v="41404.549263293389"/>
    <n v="7999.8992513227795"/>
  </r>
  <r>
    <s v="Regular"/>
    <x v="3"/>
    <x v="2"/>
    <x v="1"/>
    <x v="0"/>
    <x v="0"/>
    <x v="0"/>
    <x v="1"/>
    <x v="6"/>
    <n v="0"/>
    <n v="0"/>
    <n v="64.680000000000007"/>
    <n v="64.680000000000007"/>
    <n v="64.680000000000007"/>
    <n v="64.680000000000007"/>
    <n v="59"/>
    <x v="0"/>
    <n v="0"/>
    <n v="0"/>
    <n v="36"/>
    <n v="81"/>
    <n v="0"/>
    <n v="482.65"/>
    <n v="223.07"/>
    <m/>
    <n v="692.19856331572464"/>
    <n v="133.74179569551256"/>
    <n v="0"/>
    <n v="31217.802000000003"/>
    <n v="14428.167600000001"/>
    <n v="0"/>
    <n v="44771.403075261078"/>
    <n v="8650.419345585753"/>
  </r>
  <r>
    <s v="Sistema de Compensação"/>
    <x v="3"/>
    <x v="2"/>
    <x v="1"/>
    <x v="0"/>
    <x v="0"/>
    <x v="0"/>
    <x v="1"/>
    <x v="6"/>
    <n v="0"/>
    <n v="0"/>
    <n v="9.8840000000000003"/>
    <n v="9.8840000000000003"/>
    <n v="9.8840000000000003"/>
    <n v="9.8840000000000003"/>
    <n v="7"/>
    <x v="0"/>
    <n v="0"/>
    <n v="0"/>
    <n v="36"/>
    <n v="81"/>
    <n v="0"/>
    <n v="482.65"/>
    <n v="223.07"/>
    <m/>
    <n v="692.19856331572464"/>
    <n v="133.74179569551256"/>
    <n v="0"/>
    <n v="4770.5126"/>
    <n v="2204.8238799999999"/>
    <n v="0"/>
    <n v="6841.6905998126222"/>
    <n v="1321.9039086544462"/>
  </r>
  <r>
    <s v="Regular"/>
    <x v="3"/>
    <x v="2"/>
    <x v="1"/>
    <x v="0"/>
    <x v="0"/>
    <x v="0"/>
    <x v="1"/>
    <x v="7"/>
    <n v="0"/>
    <n v="0"/>
    <n v="52.581000000000003"/>
    <n v="52.581000000000003"/>
    <n v="52.581000000000003"/>
    <n v="52.581000000000003"/>
    <n v="60"/>
    <x v="0"/>
    <n v="0"/>
    <n v="0"/>
    <n v="36"/>
    <n v="81"/>
    <n v="0"/>
    <n v="482.65"/>
    <n v="223.07"/>
    <m/>
    <n v="692.19856331572464"/>
    <n v="133.74179569551256"/>
    <n v="0"/>
    <n v="25378.219649999999"/>
    <n v="11729.24367"/>
    <n v="0"/>
    <n v="36396.492657704119"/>
    <n v="7032.2773594657465"/>
  </r>
  <r>
    <s v="Sistema de Compensação"/>
    <x v="3"/>
    <x v="2"/>
    <x v="1"/>
    <x v="0"/>
    <x v="0"/>
    <x v="0"/>
    <x v="1"/>
    <x v="7"/>
    <n v="0"/>
    <n v="0"/>
    <n v="6.0510000000000002"/>
    <n v="6.0510000000000002"/>
    <n v="6.0510000000000002"/>
    <n v="6.0510000000000002"/>
    <n v="7"/>
    <x v="0"/>
    <n v="0"/>
    <n v="0"/>
    <n v="36"/>
    <n v="81"/>
    <n v="0"/>
    <n v="482.65"/>
    <n v="223.07"/>
    <m/>
    <n v="692.19856331572464"/>
    <n v="133.74179569551256"/>
    <n v="0"/>
    <n v="2920.5151499999997"/>
    <n v="1349.79657"/>
    <n v="0"/>
    <n v="4188.4935066234502"/>
    <n v="809.27160575354651"/>
  </r>
  <r>
    <s v="Regular"/>
    <x v="3"/>
    <x v="2"/>
    <x v="1"/>
    <x v="0"/>
    <x v="0"/>
    <x v="0"/>
    <x v="1"/>
    <x v="8"/>
    <n v="0"/>
    <n v="0"/>
    <n v="50.198999999999998"/>
    <n v="50.198999999999998"/>
    <n v="50.198999999999998"/>
    <n v="50.198999999999998"/>
    <n v="60"/>
    <x v="0"/>
    <n v="0"/>
    <n v="0"/>
    <n v="36"/>
    <n v="81"/>
    <n v="0"/>
    <n v="482.65"/>
    <n v="223.07"/>
    <m/>
    <n v="692.19856331572464"/>
    <n v="133.74179569551256"/>
    <n v="0"/>
    <n v="24228.547349999997"/>
    <n v="11197.89093"/>
    <n v="0"/>
    <n v="34747.675679886059"/>
    <n v="6713.704402119035"/>
  </r>
  <r>
    <s v="Sistema de Compensação"/>
    <x v="3"/>
    <x v="2"/>
    <x v="1"/>
    <x v="0"/>
    <x v="0"/>
    <x v="0"/>
    <x v="1"/>
    <x v="8"/>
    <n v="0"/>
    <n v="0"/>
    <n v="2.77"/>
    <n v="2.77"/>
    <n v="2.77"/>
    <n v="2.77"/>
    <n v="7"/>
    <x v="0"/>
    <n v="0"/>
    <n v="0"/>
    <n v="36"/>
    <n v="81"/>
    <n v="0"/>
    <n v="482.65"/>
    <n v="223.07"/>
    <m/>
    <n v="692.19856331572464"/>
    <n v="133.74179569551256"/>
    <n v="0"/>
    <n v="1336.9404999999999"/>
    <n v="617.90390000000002"/>
    <n v="0"/>
    <n v="1917.3900203845574"/>
    <n v="370.46477407656982"/>
  </r>
  <r>
    <s v="Regular"/>
    <x v="3"/>
    <x v="2"/>
    <x v="1"/>
    <x v="0"/>
    <x v="0"/>
    <x v="0"/>
    <x v="1"/>
    <x v="9"/>
    <n v="0"/>
    <n v="0"/>
    <n v="49.137999999999998"/>
    <n v="49.137999999999998"/>
    <n v="49.137999999999998"/>
    <n v="49.137999999999998"/>
    <n v="60"/>
    <x v="0"/>
    <n v="0"/>
    <n v="0"/>
    <n v="36"/>
    <n v="81"/>
    <n v="0"/>
    <n v="482.65"/>
    <n v="223.07"/>
    <m/>
    <n v="692.19856331572464"/>
    <n v="133.74179569551256"/>
    <n v="0"/>
    <n v="23716.455699999999"/>
    <n v="10961.213659999999"/>
    <n v="0"/>
    <n v="34013.253004208076"/>
    <n v="6571.8043568860958"/>
  </r>
  <r>
    <s v="Sistema de Compensação"/>
    <x v="3"/>
    <x v="2"/>
    <x v="1"/>
    <x v="0"/>
    <x v="0"/>
    <x v="0"/>
    <x v="1"/>
    <x v="9"/>
    <n v="0"/>
    <n v="0"/>
    <n v="5.484"/>
    <n v="5.484"/>
    <n v="5.484"/>
    <n v="5.484"/>
    <n v="7"/>
    <x v="0"/>
    <n v="0"/>
    <n v="0"/>
    <n v="36"/>
    <n v="81"/>
    <n v="0"/>
    <n v="482.65"/>
    <n v="223.07"/>
    <m/>
    <n v="692.19856331572464"/>
    <n v="133.74179569551256"/>
    <n v="0"/>
    <n v="2646.8525999999997"/>
    <n v="1223.3158799999999"/>
    <n v="0"/>
    <n v="3796.0169212234341"/>
    <n v="733.44000759419089"/>
  </r>
  <r>
    <s v="Regular"/>
    <x v="3"/>
    <x v="2"/>
    <x v="1"/>
    <x v="0"/>
    <x v="0"/>
    <x v="0"/>
    <x v="1"/>
    <x v="10"/>
    <n v="0"/>
    <n v="0"/>
    <n v="41.969000000000001"/>
    <n v="41.969000000000001"/>
    <n v="41.969000000000001"/>
    <n v="41.969000000000001"/>
    <n v="59"/>
    <x v="0"/>
    <n v="0"/>
    <n v="0"/>
    <n v="36"/>
    <n v="81"/>
    <n v="0"/>
    <n v="482.65"/>
    <n v="223.07"/>
    <m/>
    <n v="692.19856331572464"/>
    <n v="133.74179569551256"/>
    <n v="0"/>
    <n v="20256.33785"/>
    <n v="9362.0248300000003"/>
    <n v="0"/>
    <n v="29050.881503797649"/>
    <n v="5613.0094235449669"/>
  </r>
  <r>
    <s v="Sistema de Compensação"/>
    <x v="3"/>
    <x v="2"/>
    <x v="1"/>
    <x v="0"/>
    <x v="0"/>
    <x v="0"/>
    <x v="1"/>
    <x v="10"/>
    <n v="0"/>
    <n v="0"/>
    <n v="4.6500000000000004"/>
    <n v="4.6500000000000004"/>
    <n v="4.6500000000000004"/>
    <n v="4.6500000000000004"/>
    <n v="7"/>
    <x v="0"/>
    <n v="0"/>
    <n v="0"/>
    <n v="36"/>
    <n v="81"/>
    <n v="0"/>
    <n v="482.65"/>
    <n v="223.07"/>
    <m/>
    <n v="692.19856331572464"/>
    <n v="133.74179569551256"/>
    <n v="0"/>
    <n v="2244.3225000000002"/>
    <n v="1037.2755"/>
    <n v="0"/>
    <n v="3218.7233194181199"/>
    <n v="621.89934998413344"/>
  </r>
  <r>
    <s v="Regular"/>
    <x v="3"/>
    <x v="2"/>
    <x v="1"/>
    <x v="0"/>
    <x v="0"/>
    <x v="0"/>
    <x v="1"/>
    <x v="11"/>
    <n v="0"/>
    <n v="0"/>
    <n v="42.45"/>
    <n v="42.45"/>
    <n v="42.45"/>
    <n v="42.45"/>
    <n v="59"/>
    <x v="0"/>
    <n v="0"/>
    <n v="0"/>
    <n v="36"/>
    <n v="81"/>
    <n v="0"/>
    <n v="482.65"/>
    <n v="223.07"/>
    <m/>
    <n v="692.19856331572464"/>
    <n v="133.74179569551256"/>
    <n v="0"/>
    <n v="20488.4925"/>
    <n v="9469.3215"/>
    <n v="0"/>
    <n v="29383.829012752514"/>
    <n v="5677.3392272745086"/>
  </r>
  <r>
    <s v="Sistema de Compensação"/>
    <x v="3"/>
    <x v="2"/>
    <x v="1"/>
    <x v="0"/>
    <x v="0"/>
    <x v="0"/>
    <x v="1"/>
    <x v="11"/>
    <n v="0"/>
    <n v="0"/>
    <n v="4.4390000000000001"/>
    <n v="4.4390000000000001"/>
    <n v="4.4390000000000001"/>
    <n v="4.4390000000000001"/>
    <n v="8"/>
    <x v="0"/>
    <n v="0"/>
    <n v="0"/>
    <n v="36"/>
    <n v="81"/>
    <n v="0"/>
    <n v="482.65"/>
    <n v="223.07"/>
    <m/>
    <n v="692.19856331572464"/>
    <n v="133.74179569551256"/>
    <n v="0"/>
    <n v="2142.48335"/>
    <n v="990.20772999999997"/>
    <n v="0"/>
    <n v="3072.6694225585015"/>
    <n v="593.67983109238025"/>
  </r>
  <r>
    <s v="Regular"/>
    <x v="3"/>
    <x v="2"/>
    <x v="6"/>
    <x v="0"/>
    <x v="0"/>
    <x v="0"/>
    <x v="1"/>
    <x v="0"/>
    <n v="0"/>
    <n v="0"/>
    <n v="30.277000000000001"/>
    <n v="30.277000000000001"/>
    <n v="30.277000000000001"/>
    <n v="30.277000000000001"/>
    <n v="67"/>
    <x v="0"/>
    <n v="0"/>
    <n v="0"/>
    <n v="36"/>
    <n v="81"/>
    <n v="0"/>
    <n v="482.65"/>
    <n v="223.07"/>
    <m/>
    <n v="692.19856331572464"/>
    <n v="133.74179569551256"/>
    <n v="0"/>
    <n v="14613.19405"/>
    <n v="6753.8903899999996"/>
    <n v="0"/>
    <n v="20957.695901510197"/>
    <n v="4049.3003482730342"/>
  </r>
  <r>
    <s v="Regular"/>
    <x v="3"/>
    <x v="2"/>
    <x v="6"/>
    <x v="0"/>
    <x v="0"/>
    <x v="0"/>
    <x v="1"/>
    <x v="1"/>
    <n v="0"/>
    <n v="0"/>
    <n v="29.192"/>
    <n v="29.192"/>
    <n v="29.192"/>
    <n v="29.192"/>
    <n v="67"/>
    <x v="0"/>
    <n v="0"/>
    <n v="0"/>
    <n v="36"/>
    <n v="81"/>
    <n v="0"/>
    <n v="482.65"/>
    <n v="223.07"/>
    <m/>
    <n v="692.19856331572464"/>
    <n v="133.74179569551256"/>
    <n v="0"/>
    <n v="14089.5188"/>
    <n v="6511.8594400000002"/>
    <n v="0"/>
    <n v="20206.660460312632"/>
    <n v="3904.1904999434028"/>
  </r>
  <r>
    <s v="Regular"/>
    <x v="3"/>
    <x v="2"/>
    <x v="6"/>
    <x v="0"/>
    <x v="0"/>
    <x v="0"/>
    <x v="1"/>
    <x v="2"/>
    <n v="0"/>
    <n v="0"/>
    <n v="31.210999999999999"/>
    <n v="31.210999999999999"/>
    <n v="31.210999999999999"/>
    <n v="31.210999999999999"/>
    <n v="67"/>
    <x v="0"/>
    <n v="0"/>
    <n v="0"/>
    <n v="36"/>
    <n v="81"/>
    <n v="0"/>
    <n v="482.65"/>
    <n v="223.07"/>
    <m/>
    <n v="692.19856331572464"/>
    <n v="133.74179569551256"/>
    <n v="0"/>
    <n v="15063.989149999999"/>
    <n v="6962.2377699999997"/>
    <n v="0"/>
    <n v="21604.20935964708"/>
    <n v="4174.2151854526428"/>
  </r>
  <r>
    <s v="Regular"/>
    <x v="3"/>
    <x v="2"/>
    <x v="6"/>
    <x v="0"/>
    <x v="0"/>
    <x v="0"/>
    <x v="1"/>
    <x v="3"/>
    <n v="0"/>
    <n v="0"/>
    <n v="36.154000000000003"/>
    <n v="36.154000000000003"/>
    <n v="36.154000000000003"/>
    <n v="36.154000000000003"/>
    <n v="68"/>
    <x v="0"/>
    <n v="0"/>
    <n v="0"/>
    <n v="36"/>
    <n v="81"/>
    <n v="0"/>
    <n v="482.65"/>
    <n v="223.07"/>
    <m/>
    <n v="692.19856331572464"/>
    <n v="133.74179569551256"/>
    <n v="0"/>
    <n v="17449.7281"/>
    <n v="8064.8727800000006"/>
    <n v="0"/>
    <n v="25025.746858116712"/>
    <n v="4835.300881575562"/>
  </r>
  <r>
    <s v="Regular"/>
    <x v="3"/>
    <x v="2"/>
    <x v="6"/>
    <x v="0"/>
    <x v="0"/>
    <x v="0"/>
    <x v="1"/>
    <x v="4"/>
    <n v="0"/>
    <n v="0"/>
    <n v="31.497"/>
    <n v="31.497"/>
    <n v="31.497"/>
    <n v="31.497"/>
    <n v="68"/>
    <x v="0"/>
    <n v="0"/>
    <n v="0"/>
    <n v="36"/>
    <n v="81"/>
    <n v="0"/>
    <n v="482.65"/>
    <n v="223.07"/>
    <m/>
    <n v="692.19856331572464"/>
    <n v="133.74179569551256"/>
    <n v="0"/>
    <n v="15202.027049999999"/>
    <n v="7026.0357899999999"/>
    <n v="0"/>
    <n v="21802.178148755378"/>
    <n v="4212.465339021559"/>
  </r>
  <r>
    <s v="Regular"/>
    <x v="3"/>
    <x v="2"/>
    <x v="6"/>
    <x v="0"/>
    <x v="0"/>
    <x v="0"/>
    <x v="1"/>
    <x v="5"/>
    <n v="0"/>
    <n v="0"/>
    <n v="45.668999999999997"/>
    <n v="45.668999999999997"/>
    <n v="45.668999999999997"/>
    <n v="45.668999999999997"/>
    <n v="68"/>
    <x v="0"/>
    <n v="0"/>
    <n v="0"/>
    <n v="36"/>
    <n v="81"/>
    <n v="0"/>
    <n v="482.65"/>
    <n v="223.07"/>
    <m/>
    <n v="692.19856331572464"/>
    <n v="133.74179569551256"/>
    <n v="0"/>
    <n v="22042.142849999997"/>
    <n v="10187.383829999999"/>
    <n v="0"/>
    <n v="31612.016188065827"/>
    <n v="6107.8540676183629"/>
  </r>
  <r>
    <s v="Regular"/>
    <x v="3"/>
    <x v="2"/>
    <x v="6"/>
    <x v="0"/>
    <x v="0"/>
    <x v="0"/>
    <x v="1"/>
    <x v="6"/>
    <n v="0"/>
    <n v="0"/>
    <n v="54.984999999999999"/>
    <n v="54.984999999999999"/>
    <n v="54.984999999999999"/>
    <n v="54.984999999999999"/>
    <n v="68"/>
    <x v="0"/>
    <n v="0"/>
    <n v="0"/>
    <n v="36"/>
    <n v="81"/>
    <n v="0"/>
    <n v="482.65"/>
    <n v="223.07"/>
    <m/>
    <n v="692.19856331572464"/>
    <n v="133.74179569551256"/>
    <n v="0"/>
    <n v="26538.510249999999"/>
    <n v="12265.50395"/>
    <n v="0"/>
    <n v="38060.53800391512"/>
    <n v="7353.7926363177585"/>
  </r>
  <r>
    <s v="Regular"/>
    <x v="3"/>
    <x v="2"/>
    <x v="6"/>
    <x v="0"/>
    <x v="0"/>
    <x v="0"/>
    <x v="1"/>
    <x v="7"/>
    <n v="0"/>
    <n v="0"/>
    <n v="37.22"/>
    <n v="37.22"/>
    <n v="37.22"/>
    <n v="37.22"/>
    <n v="68"/>
    <x v="0"/>
    <n v="0"/>
    <n v="0"/>
    <n v="36"/>
    <n v="81"/>
    <n v="0"/>
    <n v="482.65"/>
    <n v="223.07"/>
    <m/>
    <n v="692.19856331572464"/>
    <n v="133.74179569551256"/>
    <n v="0"/>
    <n v="17964.233"/>
    <n v="8302.6653999999999"/>
    <n v="0"/>
    <n v="25763.630526611269"/>
    <n v="4977.8696357869776"/>
  </r>
  <r>
    <s v="Regular"/>
    <x v="3"/>
    <x v="2"/>
    <x v="6"/>
    <x v="0"/>
    <x v="0"/>
    <x v="0"/>
    <x v="1"/>
    <x v="8"/>
    <n v="0"/>
    <n v="0"/>
    <n v="34.881999999999998"/>
    <n v="34.881999999999998"/>
    <n v="34.881999999999998"/>
    <n v="34.881999999999998"/>
    <n v="68"/>
    <x v="0"/>
    <n v="0"/>
    <n v="0"/>
    <n v="36"/>
    <n v="81"/>
    <n v="0"/>
    <n v="482.65"/>
    <n v="223.07"/>
    <m/>
    <n v="692.19856331572464"/>
    <n v="133.74179569551256"/>
    <n v="0"/>
    <n v="16835.797299999998"/>
    <n v="7781.127739999999"/>
    <n v="0"/>
    <n v="24145.270285579107"/>
    <n v="4665.1813174508688"/>
  </r>
  <r>
    <s v="Regular"/>
    <x v="3"/>
    <x v="2"/>
    <x v="6"/>
    <x v="0"/>
    <x v="0"/>
    <x v="0"/>
    <x v="1"/>
    <x v="9"/>
    <n v="0"/>
    <n v="0"/>
    <n v="31.451000000000001"/>
    <n v="31.451000000000001"/>
    <n v="31.451000000000001"/>
    <n v="31.451000000000001"/>
    <n v="68"/>
    <x v="0"/>
    <n v="0"/>
    <n v="0"/>
    <n v="36"/>
    <n v="81"/>
    <n v="0"/>
    <n v="482.65"/>
    <n v="223.07"/>
    <m/>
    <n v="692.19856331572464"/>
    <n v="133.74179569551256"/>
    <n v="0"/>
    <n v="15179.825149999999"/>
    <n v="7015.7745699999996"/>
    <n v="0"/>
    <n v="21770.337014842855"/>
    <n v="4206.3132164195658"/>
  </r>
  <r>
    <s v="Regular"/>
    <x v="3"/>
    <x v="2"/>
    <x v="6"/>
    <x v="0"/>
    <x v="0"/>
    <x v="0"/>
    <x v="1"/>
    <x v="10"/>
    <n v="0"/>
    <n v="0"/>
    <n v="29.497"/>
    <n v="29.497"/>
    <n v="29.497"/>
    <n v="29.497"/>
    <n v="69"/>
    <x v="0"/>
    <n v="0"/>
    <n v="0"/>
    <n v="36"/>
    <n v="81"/>
    <n v="0"/>
    <n v="482.65"/>
    <n v="223.07"/>
    <m/>
    <n v="692.19856331572464"/>
    <n v="133.74179569551256"/>
    <n v="0"/>
    <n v="14236.72705"/>
    <n v="6579.8957899999996"/>
    <n v="0"/>
    <n v="20417.781022123931"/>
    <n v="3944.9817476305343"/>
  </r>
  <r>
    <s v="Regular"/>
    <x v="3"/>
    <x v="2"/>
    <x v="6"/>
    <x v="0"/>
    <x v="0"/>
    <x v="0"/>
    <x v="1"/>
    <x v="11"/>
    <n v="0"/>
    <n v="0"/>
    <n v="37.067"/>
    <n v="37.067"/>
    <n v="37.067"/>
    <n v="37.067"/>
    <n v="69"/>
    <x v="0"/>
    <n v="0"/>
    <n v="0"/>
    <n v="36"/>
    <n v="81"/>
    <n v="0"/>
    <n v="482.65"/>
    <n v="223.07"/>
    <m/>
    <n v="692.19856331572464"/>
    <n v="133.74179569551256"/>
    <n v="0"/>
    <n v="17890.387549999999"/>
    <n v="8268.5356900000006"/>
    <n v="0"/>
    <n v="25657.724146423967"/>
    <n v="4957.4071410455645"/>
  </r>
  <r>
    <s v="Regular"/>
    <x v="3"/>
    <x v="2"/>
    <x v="3"/>
    <x v="1"/>
    <x v="0"/>
    <x v="0"/>
    <x v="1"/>
    <x v="0"/>
    <n v="0"/>
    <n v="0"/>
    <n v="23.096"/>
    <n v="21.710239999999999"/>
    <n v="23.096"/>
    <n v="21.710239999999999"/>
    <n v="8"/>
    <x v="0"/>
    <n v="0"/>
    <n v="0"/>
    <n v="36"/>
    <n v="81"/>
    <n v="0"/>
    <n v="482.65"/>
    <n v="223.07"/>
    <m/>
    <n v="692.19856331572464"/>
    <n v="133.74179569551256"/>
    <n v="0"/>
    <n v="10478.447335999999"/>
    <n v="4842.9032367999998"/>
    <n v="0"/>
    <n v="15027.796937239576"/>
    <n v="2903.5664825805447"/>
  </r>
  <r>
    <s v="Regular"/>
    <x v="3"/>
    <x v="2"/>
    <x v="3"/>
    <x v="1"/>
    <x v="0"/>
    <x v="0"/>
    <x v="1"/>
    <x v="1"/>
    <n v="0"/>
    <n v="0"/>
    <n v="20.457999999999998"/>
    <n v="19.230519999999999"/>
    <n v="20.457999999999998"/>
    <n v="19.230519999999999"/>
    <n v="8"/>
    <x v="0"/>
    <n v="0"/>
    <n v="0"/>
    <n v="36"/>
    <n v="81"/>
    <n v="0"/>
    <n v="482.65"/>
    <n v="223.07"/>
    <m/>
    <n v="692.19856331572464"/>
    <n v="133.74179569551256"/>
    <n v="0"/>
    <n v="9281.6104779999987"/>
    <n v="4289.7520963999996"/>
    <n v="0"/>
    <n v="13311.338315814308"/>
    <n v="2571.924276958468"/>
  </r>
  <r>
    <s v="Regular"/>
    <x v="3"/>
    <x v="2"/>
    <x v="3"/>
    <x v="1"/>
    <x v="0"/>
    <x v="0"/>
    <x v="1"/>
    <x v="2"/>
    <n v="0"/>
    <n v="0"/>
    <n v="22.648"/>
    <n v="21.28912"/>
    <n v="22.648"/>
    <n v="21.28912"/>
    <n v="8"/>
    <x v="0"/>
    <n v="0"/>
    <n v="0"/>
    <n v="36"/>
    <n v="81"/>
    <n v="0"/>
    <n v="482.65"/>
    <n v="223.07"/>
    <m/>
    <n v="692.19856331572464"/>
    <n v="133.74179569551256"/>
    <n v="0"/>
    <n v="10275.193767999999"/>
    <n v="4748.9639983999996"/>
    <n v="0"/>
    <n v="14736.298278256059"/>
    <n v="2847.2451375772507"/>
  </r>
  <r>
    <s v="Regular"/>
    <x v="3"/>
    <x v="2"/>
    <x v="3"/>
    <x v="1"/>
    <x v="0"/>
    <x v="0"/>
    <x v="1"/>
    <x v="3"/>
    <n v="0"/>
    <n v="0"/>
    <n v="21.591000000000001"/>
    <n v="20.295539999999999"/>
    <n v="21.591000000000001"/>
    <n v="20.295539999999999"/>
    <n v="8"/>
    <x v="0"/>
    <n v="0"/>
    <n v="0"/>
    <n v="36"/>
    <n v="81"/>
    <n v="0"/>
    <n v="482.65"/>
    <n v="223.07"/>
    <m/>
    <n v="692.19856331572464"/>
    <n v="133.74179569551256"/>
    <n v="0"/>
    <n v="9795.6423809999997"/>
    <n v="4527.3261077999996"/>
    <n v="0"/>
    <n v="14048.543629716822"/>
    <n v="2714.361964210103"/>
  </r>
  <r>
    <s v="Regular"/>
    <x v="3"/>
    <x v="2"/>
    <x v="3"/>
    <x v="1"/>
    <x v="0"/>
    <x v="0"/>
    <x v="1"/>
    <x v="4"/>
    <n v="0"/>
    <n v="0"/>
    <n v="29.577000000000002"/>
    <n v="27.802379999999999"/>
    <n v="29.577000000000002"/>
    <n v="27.802379999999999"/>
    <n v="8"/>
    <x v="0"/>
    <n v="0"/>
    <n v="0"/>
    <n v="36"/>
    <n v="81"/>
    <n v="0"/>
    <n v="482.65"/>
    <n v="223.07"/>
    <m/>
    <n v="692.19856331572464"/>
    <n v="133.74179569551256"/>
    <n v="0"/>
    <n v="13418.818706999999"/>
    <n v="6201.8769065999995"/>
    <n v="0"/>
    <n v="19244.767492757837"/>
    <n v="3718.3402258090046"/>
  </r>
  <r>
    <s v="Regular"/>
    <x v="3"/>
    <x v="2"/>
    <x v="3"/>
    <x v="1"/>
    <x v="0"/>
    <x v="0"/>
    <x v="1"/>
    <x v="5"/>
    <n v="0"/>
    <n v="0"/>
    <n v="32.270000000000003"/>
    <n v="30.3338"/>
    <n v="32.270000000000003"/>
    <n v="30.3338"/>
    <n v="8"/>
    <x v="0"/>
    <n v="0"/>
    <n v="0"/>
    <n v="36"/>
    <n v="81"/>
    <n v="0"/>
    <n v="482.65"/>
    <n v="223.07"/>
    <m/>
    <n v="692.19856331572464"/>
    <n v="133.74179569551256"/>
    <n v="0"/>
    <n v="14640.608569999999"/>
    <n v="6766.5607659999996"/>
    <n v="0"/>
    <n v="20997.012779906527"/>
    <n v="4056.8968822685392"/>
  </r>
  <r>
    <s v="Regular"/>
    <x v="3"/>
    <x v="2"/>
    <x v="3"/>
    <x v="1"/>
    <x v="0"/>
    <x v="0"/>
    <x v="1"/>
    <x v="6"/>
    <n v="0"/>
    <n v="0"/>
    <n v="30.125"/>
    <n v="28.317499999999999"/>
    <n v="30.125"/>
    <n v="28.317499999999999"/>
    <n v="8"/>
    <x v="0"/>
    <n v="0"/>
    <n v="0"/>
    <n v="36"/>
    <n v="81"/>
    <n v="0"/>
    <n v="482.65"/>
    <n v="223.07"/>
    <m/>
    <n v="692.19856331572464"/>
    <n v="133.74179569551256"/>
    <n v="0"/>
    <n v="13667.441374999999"/>
    <n v="6316.7847249999995"/>
    <n v="0"/>
    <n v="19601.332816693033"/>
    <n v="3787.2332996076771"/>
  </r>
  <r>
    <s v="Regular"/>
    <x v="3"/>
    <x v="2"/>
    <x v="3"/>
    <x v="1"/>
    <x v="0"/>
    <x v="0"/>
    <x v="1"/>
    <x v="7"/>
    <n v="0"/>
    <n v="0"/>
    <n v="24.422999999999998"/>
    <n v="22.957619999999999"/>
    <n v="24.422999999999998"/>
    <n v="22.957619999999999"/>
    <n v="8"/>
    <x v="0"/>
    <n v="0"/>
    <n v="0"/>
    <n v="36"/>
    <n v="81"/>
    <n v="0"/>
    <n v="482.65"/>
    <n v="223.07"/>
    <m/>
    <n v="692.19856331572464"/>
    <n v="133.74179569551256"/>
    <n v="0"/>
    <n v="11080.495292999998"/>
    <n v="5121.1562933999994"/>
    <n v="0"/>
    <n v="15891.231581148346"/>
    <n v="3070.393323695213"/>
  </r>
  <r>
    <s v="Regular"/>
    <x v="3"/>
    <x v="2"/>
    <x v="3"/>
    <x v="1"/>
    <x v="0"/>
    <x v="0"/>
    <x v="1"/>
    <x v="8"/>
    <n v="0"/>
    <n v="0"/>
    <n v="25.241"/>
    <n v="23.72654"/>
    <n v="25.241"/>
    <n v="23.72654"/>
    <n v="8"/>
    <x v="0"/>
    <n v="0"/>
    <n v="0"/>
    <n v="36"/>
    <n v="81"/>
    <n v="0"/>
    <n v="482.65"/>
    <n v="223.07"/>
    <m/>
    <n v="692.19856331572464"/>
    <n v="133.74179569551256"/>
    <n v="0"/>
    <n v="11451.614530999999"/>
    <n v="5292.6792777999999"/>
    <n v="0"/>
    <n v="16423.476900453072"/>
    <n v="3173.2300652414065"/>
  </r>
  <r>
    <s v="Regular"/>
    <x v="3"/>
    <x v="2"/>
    <x v="3"/>
    <x v="1"/>
    <x v="0"/>
    <x v="0"/>
    <x v="1"/>
    <x v="9"/>
    <n v="0"/>
    <n v="0"/>
    <n v="22.896999999999998"/>
    <n v="21.52318"/>
    <n v="22.896999999999998"/>
    <n v="21.52318"/>
    <n v="8"/>
    <x v="0"/>
    <n v="0"/>
    <n v="0"/>
    <n v="36"/>
    <n v="81"/>
    <n v="0"/>
    <n v="482.65"/>
    <n v="223.07"/>
    <m/>
    <n v="692.19856331572464"/>
    <n v="133.74179569551256"/>
    <n v="0"/>
    <n v="10388.162827"/>
    <n v="4801.1757625999999"/>
    <n v="0"/>
    <n v="14898.314273985738"/>
    <n v="2878.5487422777419"/>
  </r>
  <r>
    <s v="Regular"/>
    <x v="3"/>
    <x v="2"/>
    <x v="3"/>
    <x v="1"/>
    <x v="0"/>
    <x v="0"/>
    <x v="1"/>
    <x v="10"/>
    <n v="0"/>
    <n v="0"/>
    <n v="19.231999999999999"/>
    <n v="18.07808"/>
    <n v="19.231999999999999"/>
    <n v="18.07808"/>
    <n v="8"/>
    <x v="0"/>
    <n v="0"/>
    <n v="0"/>
    <n v="36"/>
    <n v="81"/>
    <n v="0"/>
    <n v="482.65"/>
    <n v="223.07"/>
    <m/>
    <n v="692.19856331572464"/>
    <n v="133.74179569551256"/>
    <n v="0"/>
    <n v="8725.3853120000003"/>
    <n v="4032.6773055999997"/>
    <n v="0"/>
    <n v="12513.621003506736"/>
    <n v="2417.7948819271319"/>
  </r>
  <r>
    <s v="Regular"/>
    <x v="3"/>
    <x v="2"/>
    <x v="3"/>
    <x v="1"/>
    <x v="0"/>
    <x v="0"/>
    <x v="1"/>
    <x v="11"/>
    <n v="0"/>
    <n v="0"/>
    <n v="24.995999999999999"/>
    <n v="23.49624"/>
    <n v="24.995999999999999"/>
    <n v="23.49624"/>
    <n v="8"/>
    <x v="0"/>
    <n v="0"/>
    <n v="0"/>
    <n v="36"/>
    <n v="81"/>
    <n v="0"/>
    <n v="482.65"/>
    <n v="223.07"/>
    <m/>
    <n v="692.19856331572464"/>
    <n v="133.74179569551256"/>
    <n v="0"/>
    <n v="11340.460235999999"/>
    <n v="5241.3062567999996"/>
    <n v="0"/>
    <n v="16264.063571321461"/>
    <n v="3142.4293296927303"/>
  </r>
  <r>
    <s v="Regular"/>
    <x v="4"/>
    <x v="2"/>
    <x v="7"/>
    <x v="7"/>
    <x v="0"/>
    <x v="0"/>
    <x v="1"/>
    <x v="0"/>
    <n v="0"/>
    <n v="0"/>
    <n v="308.06400000000002"/>
    <n v="308.06400000000002"/>
    <n v="308.06400000000002"/>
    <n v="308.06400000000002"/>
    <n v="3"/>
    <x v="0"/>
    <n v="0"/>
    <n v="0"/>
    <n v="47"/>
    <n v="83"/>
    <n v="0"/>
    <n v="289.58999999999997"/>
    <n v="133.84"/>
    <m/>
    <n v="415.31913798943481"/>
    <n v="80.245077417307527"/>
    <n v="0"/>
    <n v="89212.253759999992"/>
    <n v="41231.285760000006"/>
    <n v="0"/>
    <n v="127944.87492557726"/>
    <n v="24720.619529485426"/>
  </r>
  <r>
    <s v="Regular"/>
    <x v="4"/>
    <x v="2"/>
    <x v="7"/>
    <x v="7"/>
    <x v="0"/>
    <x v="0"/>
    <x v="1"/>
    <x v="1"/>
    <n v="0"/>
    <n v="0"/>
    <n v="308.262"/>
    <n v="308.262"/>
    <n v="308.262"/>
    <n v="308.262"/>
    <n v="3"/>
    <x v="0"/>
    <n v="0"/>
    <n v="0"/>
    <n v="47"/>
    <n v="83"/>
    <n v="0"/>
    <n v="289.58999999999997"/>
    <n v="133.84"/>
    <m/>
    <n v="415.31913798943481"/>
    <n v="80.245077417307527"/>
    <n v="0"/>
    <n v="89269.592579999997"/>
    <n v="41257.786079999998"/>
    <n v="0"/>
    <n v="128027.10811489915"/>
    <n v="24736.508054814054"/>
  </r>
  <r>
    <s v="Regular"/>
    <x v="4"/>
    <x v="2"/>
    <x v="7"/>
    <x v="7"/>
    <x v="0"/>
    <x v="0"/>
    <x v="1"/>
    <x v="2"/>
    <n v="0"/>
    <n v="0"/>
    <n v="308.76900000000001"/>
    <n v="308.76900000000001"/>
    <n v="308.76900000000001"/>
    <n v="308.76900000000001"/>
    <n v="3"/>
    <x v="0"/>
    <n v="0"/>
    <n v="0"/>
    <n v="47"/>
    <n v="83"/>
    <n v="0"/>
    <n v="289.58999999999997"/>
    <n v="133.84"/>
    <m/>
    <n v="415.31913798943481"/>
    <n v="80.245077417307527"/>
    <n v="0"/>
    <n v="89416.414709999997"/>
    <n v="41325.642960000005"/>
    <n v="0"/>
    <n v="128237.6749178598"/>
    <n v="24777.192309064627"/>
  </r>
  <r>
    <s v="Regular"/>
    <x v="4"/>
    <x v="2"/>
    <x v="7"/>
    <x v="7"/>
    <x v="0"/>
    <x v="0"/>
    <x v="1"/>
    <x v="3"/>
    <n v="0"/>
    <n v="0"/>
    <n v="315.70699999999999"/>
    <n v="315.70699999999999"/>
    <n v="315.70699999999999"/>
    <n v="315.70699999999999"/>
    <n v="4"/>
    <x v="0"/>
    <n v="0"/>
    <n v="0"/>
    <n v="47"/>
    <n v="83"/>
    <n v="0"/>
    <n v="289.58999999999997"/>
    <n v="133.84"/>
    <m/>
    <n v="415.31913798943481"/>
    <n v="80.245077417307527"/>
    <n v="0"/>
    <n v="91425.590129999997"/>
    <n v="42254.224880000002"/>
    <n v="0"/>
    <n v="131119.1590972305"/>
    <n v="25333.932656185909"/>
  </r>
  <r>
    <s v="Regular"/>
    <x v="4"/>
    <x v="2"/>
    <x v="7"/>
    <x v="7"/>
    <x v="0"/>
    <x v="0"/>
    <x v="1"/>
    <x v="4"/>
    <n v="0"/>
    <n v="0"/>
    <n v="317.30099999999999"/>
    <n v="317.30099999999999"/>
    <n v="317.30099999999999"/>
    <n v="317.30099999999999"/>
    <n v="4"/>
    <x v="0"/>
    <n v="0"/>
    <n v="0"/>
    <n v="47"/>
    <n v="83"/>
    <n v="0"/>
    <n v="289.58999999999997"/>
    <n v="133.84"/>
    <m/>
    <n v="415.31913798943481"/>
    <n v="80.245077417307527"/>
    <n v="0"/>
    <n v="91887.196589999992"/>
    <n v="42467.565840000003"/>
    <n v="0"/>
    <n v="131781.17780318565"/>
    <n v="25461.843309589094"/>
  </r>
  <r>
    <s v="Regular"/>
    <x v="4"/>
    <x v="2"/>
    <x v="7"/>
    <x v="7"/>
    <x v="0"/>
    <x v="0"/>
    <x v="1"/>
    <x v="5"/>
    <n v="0"/>
    <n v="0"/>
    <n v="317.30099999999999"/>
    <n v="317.30099999999999"/>
    <n v="317.30099999999999"/>
    <n v="317.30099999999999"/>
    <n v="4"/>
    <x v="0"/>
    <n v="0"/>
    <n v="0"/>
    <n v="47"/>
    <n v="83"/>
    <n v="0"/>
    <n v="289.58999999999997"/>
    <n v="133.84"/>
    <m/>
    <n v="415.31913798943481"/>
    <n v="80.245077417307527"/>
    <n v="0"/>
    <n v="91887.196589999992"/>
    <n v="42467.565840000003"/>
    <n v="0"/>
    <n v="131781.17780318565"/>
    <n v="25461.843309589094"/>
  </r>
  <r>
    <s v="Regular"/>
    <x v="4"/>
    <x v="2"/>
    <x v="7"/>
    <x v="7"/>
    <x v="0"/>
    <x v="0"/>
    <x v="1"/>
    <x v="6"/>
    <n v="0"/>
    <n v="0"/>
    <n v="318.34800000000001"/>
    <n v="318.34800000000001"/>
    <n v="318.34800000000001"/>
    <n v="318.34800000000001"/>
    <n v="4"/>
    <x v="0"/>
    <n v="0"/>
    <n v="0"/>
    <n v="47"/>
    <n v="83"/>
    <n v="0"/>
    <n v="289.58999999999997"/>
    <n v="133.84"/>
    <m/>
    <n v="415.31913798943481"/>
    <n v="80.245077417307527"/>
    <n v="0"/>
    <n v="92190.397319999989"/>
    <n v="42607.696320000003"/>
    <n v="0"/>
    <n v="132216.0169406606"/>
    <n v="25545.859905645018"/>
  </r>
  <r>
    <s v="Regular"/>
    <x v="4"/>
    <x v="2"/>
    <x v="7"/>
    <x v="7"/>
    <x v="0"/>
    <x v="0"/>
    <x v="1"/>
    <x v="7"/>
    <n v="0"/>
    <n v="0"/>
    <n v="318.91899999999998"/>
    <n v="318.91899999999998"/>
    <n v="318.91899999999998"/>
    <n v="318.91899999999998"/>
    <n v="4"/>
    <x v="0"/>
    <n v="0"/>
    <n v="0"/>
    <n v="47"/>
    <n v="83"/>
    <n v="0"/>
    <n v="289.58999999999997"/>
    <n v="133.84"/>
    <m/>
    <n v="415.31913798943481"/>
    <n v="80.245077417307527"/>
    <n v="0"/>
    <n v="92355.753209999981"/>
    <n v="42684.11896"/>
    <n v="0"/>
    <n v="132453.16416845255"/>
    <n v="25591.6798448503"/>
  </r>
  <r>
    <s v="Regular"/>
    <x v="4"/>
    <x v="2"/>
    <x v="7"/>
    <x v="7"/>
    <x v="0"/>
    <x v="0"/>
    <x v="1"/>
    <x v="8"/>
    <n v="0"/>
    <n v="0"/>
    <n v="320.483"/>
    <n v="320.483"/>
    <n v="320.483"/>
    <n v="320.483"/>
    <n v="4"/>
    <x v="0"/>
    <n v="0"/>
    <n v="0"/>
    <n v="47"/>
    <n v="83"/>
    <n v="0"/>
    <n v="289.58999999999997"/>
    <n v="133.84"/>
    <m/>
    <n v="415.31913798943481"/>
    <n v="80.245077417307527"/>
    <n v="0"/>
    <n v="92808.671969999996"/>
    <n v="42893.44472"/>
    <n v="0"/>
    <n v="133102.72330026803"/>
    <n v="25717.183145930969"/>
  </r>
  <r>
    <s v="Regular"/>
    <x v="4"/>
    <x v="2"/>
    <x v="7"/>
    <x v="7"/>
    <x v="0"/>
    <x v="0"/>
    <x v="1"/>
    <x v="9"/>
    <n v="0"/>
    <n v="0"/>
    <n v="322.30599999999998"/>
    <n v="322.30599999999998"/>
    <n v="322.30599999999998"/>
    <n v="322.30599999999998"/>
    <n v="4"/>
    <x v="0"/>
    <n v="0"/>
    <n v="0"/>
    <n v="47"/>
    <n v="83"/>
    <n v="0"/>
    <n v="289.58999999999997"/>
    <n v="133.84"/>
    <m/>
    <n v="415.31913798943481"/>
    <n v="80.245077417307527"/>
    <n v="0"/>
    <n v="93336.594539999991"/>
    <n v="43137.435039999997"/>
    <n v="0"/>
    <n v="133859.85008882277"/>
    <n v="25863.469922062719"/>
  </r>
  <r>
    <s v="Regular"/>
    <x v="4"/>
    <x v="2"/>
    <x v="7"/>
    <x v="7"/>
    <x v="0"/>
    <x v="0"/>
    <x v="1"/>
    <x v="10"/>
    <n v="0"/>
    <n v="0"/>
    <n v="335.56099999999998"/>
    <n v="335.56099999999998"/>
    <n v="335.56099999999998"/>
    <n v="335.56099999999998"/>
    <n v="4"/>
    <x v="0"/>
    <n v="0"/>
    <n v="0"/>
    <n v="47"/>
    <n v="83"/>
    <n v="0"/>
    <n v="289.58999999999997"/>
    <n v="133.84"/>
    <m/>
    <n v="415.31913798943481"/>
    <n v="80.245077417307527"/>
    <n v="0"/>
    <n v="97175.109989999983"/>
    <n v="44911.484239999998"/>
    <n v="0"/>
    <n v="139364.90526287272"/>
    <n v="26927.118423229131"/>
  </r>
  <r>
    <s v="Regular"/>
    <x v="4"/>
    <x v="2"/>
    <x v="7"/>
    <x v="7"/>
    <x v="0"/>
    <x v="0"/>
    <x v="1"/>
    <x v="11"/>
    <n v="0"/>
    <n v="0"/>
    <n v="316.31"/>
    <n v="316.31"/>
    <n v="316.31"/>
    <n v="316.31"/>
    <n v="4"/>
    <x v="0"/>
    <n v="0"/>
    <n v="0"/>
    <n v="47"/>
    <n v="83"/>
    <n v="0"/>
    <n v="289.58999999999997"/>
    <n v="133.84"/>
    <m/>
    <n v="415.31913798943481"/>
    <n v="80.245077417307527"/>
    <n v="0"/>
    <n v="91600.212899999999"/>
    <n v="42334.930400000005"/>
    <n v="0"/>
    <n v="131369.59653743813"/>
    <n v="25382.3204378685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s v="Regular"/>
    <x v="0"/>
    <x v="0"/>
    <x v="0"/>
    <x v="0"/>
    <x v="0"/>
    <x v="0"/>
    <x v="0"/>
    <x v="0"/>
    <n v="0"/>
    <n v="0"/>
    <n v="112.67"/>
    <n v="56.335000000000001"/>
    <n v="0"/>
    <n v="0"/>
    <n v="0"/>
    <s v="LIVRE"/>
    <n v="0"/>
    <n v="0"/>
    <n v="6"/>
    <n v="0"/>
    <n v="0"/>
    <n v="67.489999999999995"/>
    <n v="0"/>
    <m/>
    <n v="94.544461461160509"/>
    <m/>
    <n v="0"/>
    <n v="3802.0491499999998"/>
    <n v="0"/>
    <n v="5326.1622364144778"/>
    <x v="0"/>
  </r>
  <r>
    <s v="Refaturamento - Regular"/>
    <x v="0"/>
    <x v="0"/>
    <x v="0"/>
    <x v="0"/>
    <x v="0"/>
    <x v="0"/>
    <x v="0"/>
    <x v="0"/>
    <n v="0"/>
    <n v="0"/>
    <n v="112.67"/>
    <n v="56.335000000000001"/>
    <n v="0"/>
    <n v="0"/>
    <n v="0"/>
    <s v="LIVRE"/>
    <n v="0"/>
    <n v="0"/>
    <n v="6"/>
    <n v="0"/>
    <n v="0"/>
    <n v="67.489999999999995"/>
    <n v="0"/>
    <m/>
    <n v="94.544461461160509"/>
    <m/>
    <n v="0"/>
    <n v="3802.0491499999998"/>
    <n v="0"/>
    <n v="5326.1622364144778"/>
    <x v="0"/>
  </r>
  <r>
    <s v="Regular"/>
    <x v="0"/>
    <x v="0"/>
    <x v="0"/>
    <x v="0"/>
    <x v="0"/>
    <x v="0"/>
    <x v="0"/>
    <x v="1"/>
    <n v="0"/>
    <n v="0"/>
    <n v="136.489"/>
    <n v="68.244500000000002"/>
    <n v="0"/>
    <n v="0"/>
    <n v="0"/>
    <s v="LIVRE"/>
    <n v="0"/>
    <n v="0"/>
    <n v="6"/>
    <n v="0"/>
    <n v="0"/>
    <n v="67.489999999999995"/>
    <n v="0"/>
    <m/>
    <n v="94.544461461160509"/>
    <m/>
    <n v="0"/>
    <n v="4605.8213049999995"/>
    <n v="0"/>
    <n v="6452.1395001861683"/>
    <x v="0"/>
  </r>
  <r>
    <s v="Refaturamento - Regular"/>
    <x v="0"/>
    <x v="0"/>
    <x v="0"/>
    <x v="0"/>
    <x v="0"/>
    <x v="0"/>
    <x v="0"/>
    <x v="1"/>
    <n v="0"/>
    <n v="0"/>
    <n v="136.489"/>
    <n v="68.244500000000002"/>
    <n v="0"/>
    <n v="0"/>
    <n v="0"/>
    <s v="LIVRE"/>
    <n v="0"/>
    <n v="0"/>
    <n v="6"/>
    <n v="0"/>
    <n v="0"/>
    <n v="67.489999999999995"/>
    <n v="0"/>
    <m/>
    <n v="94.544461461160509"/>
    <m/>
    <n v="0"/>
    <n v="4605.8213049999995"/>
    <n v="0"/>
    <n v="6452.1395001861683"/>
    <x v="0"/>
  </r>
  <r>
    <s v="Regular"/>
    <x v="0"/>
    <x v="0"/>
    <x v="0"/>
    <x v="0"/>
    <x v="0"/>
    <x v="0"/>
    <x v="0"/>
    <x v="2"/>
    <n v="0"/>
    <n v="0"/>
    <n v="129.18799999999999"/>
    <n v="64.593999999999994"/>
    <n v="0"/>
    <n v="0"/>
    <n v="0"/>
    <s v="LIVRE"/>
    <n v="0"/>
    <n v="0"/>
    <n v="6"/>
    <n v="0"/>
    <n v="0"/>
    <n v="67.489999999999995"/>
    <n v="0"/>
    <m/>
    <n v="94.544461461160509"/>
    <m/>
    <n v="0"/>
    <n v="4359.449059999999"/>
    <n v="0"/>
    <n v="6107.0049436222016"/>
    <x v="0"/>
  </r>
  <r>
    <s v="Refaturamento - Regular"/>
    <x v="0"/>
    <x v="0"/>
    <x v="0"/>
    <x v="0"/>
    <x v="0"/>
    <x v="0"/>
    <x v="0"/>
    <x v="2"/>
    <n v="0"/>
    <n v="0"/>
    <n v="129.18799999999999"/>
    <n v="64.593999999999994"/>
    <n v="0"/>
    <n v="0"/>
    <n v="0"/>
    <s v="LIVRE"/>
    <n v="0"/>
    <n v="0"/>
    <n v="6"/>
    <n v="0"/>
    <n v="0"/>
    <n v="67.489999999999995"/>
    <n v="0"/>
    <m/>
    <n v="94.544461461160509"/>
    <m/>
    <n v="0"/>
    <n v="4359.449059999999"/>
    <n v="0"/>
    <n v="6107.0049436222016"/>
    <x v="0"/>
  </r>
  <r>
    <s v="Regular"/>
    <x v="0"/>
    <x v="0"/>
    <x v="0"/>
    <x v="0"/>
    <x v="0"/>
    <x v="0"/>
    <x v="0"/>
    <x v="3"/>
    <n v="0"/>
    <n v="0"/>
    <n v="132.274"/>
    <n v="66.137"/>
    <n v="0"/>
    <n v="0"/>
    <n v="0"/>
    <s v="LIVRE"/>
    <n v="0"/>
    <n v="0"/>
    <n v="6"/>
    <n v="0"/>
    <n v="0"/>
    <n v="67.489999999999995"/>
    <n v="0"/>
    <m/>
    <n v="94.544461461160509"/>
    <m/>
    <n v="0"/>
    <n v="4463.5861299999997"/>
    <n v="0"/>
    <n v="6252.8870476567727"/>
    <x v="0"/>
  </r>
  <r>
    <s v="Refaturamento - Regular"/>
    <x v="0"/>
    <x v="0"/>
    <x v="0"/>
    <x v="0"/>
    <x v="0"/>
    <x v="0"/>
    <x v="0"/>
    <x v="3"/>
    <n v="0"/>
    <n v="0"/>
    <n v="132.274"/>
    <n v="66.137"/>
    <n v="0"/>
    <n v="0"/>
    <n v="0"/>
    <s v="LIVRE"/>
    <n v="0"/>
    <n v="0"/>
    <n v="6"/>
    <n v="0"/>
    <n v="0"/>
    <n v="67.489999999999995"/>
    <n v="0"/>
    <m/>
    <n v="94.544461461160509"/>
    <m/>
    <n v="0"/>
    <n v="4463.5861299999997"/>
    <n v="0"/>
    <n v="6252.8870476567727"/>
    <x v="0"/>
  </r>
  <r>
    <s v="Regular"/>
    <x v="0"/>
    <x v="0"/>
    <x v="0"/>
    <x v="0"/>
    <x v="0"/>
    <x v="0"/>
    <x v="0"/>
    <x v="4"/>
    <n v="0"/>
    <n v="0"/>
    <n v="150.48500000000001"/>
    <n v="75.242500000000007"/>
    <n v="0"/>
    <n v="0"/>
    <n v="0"/>
    <s v="LIVRE"/>
    <n v="0"/>
    <n v="0"/>
    <n v="6"/>
    <n v="0"/>
    <n v="0"/>
    <n v="67.489999999999995"/>
    <n v="0"/>
    <m/>
    <n v="94.544461461160509"/>
    <m/>
    <n v="0"/>
    <n v="5078.116325"/>
    <n v="0"/>
    <n v="7113.76164149137"/>
    <x v="0"/>
  </r>
  <r>
    <s v="Refaturamento - Regular"/>
    <x v="0"/>
    <x v="0"/>
    <x v="0"/>
    <x v="0"/>
    <x v="0"/>
    <x v="0"/>
    <x v="0"/>
    <x v="4"/>
    <n v="0"/>
    <n v="0"/>
    <n v="150.48500000000001"/>
    <n v="75.242500000000007"/>
    <n v="0"/>
    <n v="0"/>
    <n v="0"/>
    <s v="LIVRE"/>
    <n v="0"/>
    <n v="0"/>
    <n v="6"/>
    <n v="0"/>
    <n v="0"/>
    <n v="67.489999999999995"/>
    <n v="0"/>
    <m/>
    <n v="94.544461461160509"/>
    <m/>
    <n v="0"/>
    <n v="5078.116325"/>
    <n v="0"/>
    <n v="7113.76164149137"/>
    <x v="0"/>
  </r>
  <r>
    <s v="Regular"/>
    <x v="0"/>
    <x v="0"/>
    <x v="0"/>
    <x v="0"/>
    <x v="0"/>
    <x v="0"/>
    <x v="0"/>
    <x v="5"/>
    <n v="0"/>
    <n v="0"/>
    <n v="105.614"/>
    <n v="52.807000000000002"/>
    <n v="0"/>
    <n v="0"/>
    <n v="0"/>
    <s v="LIVRE"/>
    <n v="0"/>
    <n v="0"/>
    <n v="6"/>
    <n v="0"/>
    <n v="0"/>
    <n v="67.489999999999995"/>
    <n v="0"/>
    <m/>
    <n v="94.544461461160509"/>
    <m/>
    <n v="0"/>
    <n v="3563.94443"/>
    <n v="0"/>
    <n v="4992.6093763795034"/>
    <x v="0"/>
  </r>
  <r>
    <s v="Refaturamento - Regular"/>
    <x v="0"/>
    <x v="0"/>
    <x v="0"/>
    <x v="0"/>
    <x v="0"/>
    <x v="0"/>
    <x v="0"/>
    <x v="5"/>
    <n v="0"/>
    <n v="0"/>
    <n v="105.614"/>
    <n v="52.807000000000002"/>
    <n v="0"/>
    <n v="0"/>
    <n v="0"/>
    <s v="LIVRE"/>
    <n v="0"/>
    <n v="0"/>
    <n v="6"/>
    <n v="0"/>
    <n v="0"/>
    <n v="67.489999999999995"/>
    <n v="0"/>
    <m/>
    <n v="94.544461461160509"/>
    <m/>
    <n v="0"/>
    <n v="3563.94443"/>
    <n v="0"/>
    <n v="4992.6093763795034"/>
    <x v="0"/>
  </r>
  <r>
    <s v="Regular"/>
    <x v="0"/>
    <x v="0"/>
    <x v="0"/>
    <x v="0"/>
    <x v="0"/>
    <x v="0"/>
    <x v="0"/>
    <x v="6"/>
    <n v="0"/>
    <n v="0"/>
    <n v="134.99199999999999"/>
    <n v="67.495999999999995"/>
    <n v="0"/>
    <n v="0"/>
    <n v="0"/>
    <s v="LIVRE"/>
    <n v="0"/>
    <n v="0"/>
    <n v="6"/>
    <n v="0"/>
    <n v="0"/>
    <n v="67.489999999999995"/>
    <n v="0"/>
    <m/>
    <n v="94.544461461160509"/>
    <m/>
    <n v="0"/>
    <n v="4555.3050399999993"/>
    <n v="0"/>
    <n v="6381.3729707824896"/>
    <x v="0"/>
  </r>
  <r>
    <s v="Refaturamento - Regular"/>
    <x v="0"/>
    <x v="0"/>
    <x v="0"/>
    <x v="0"/>
    <x v="0"/>
    <x v="0"/>
    <x v="0"/>
    <x v="6"/>
    <n v="0"/>
    <n v="0"/>
    <n v="134.99199999999999"/>
    <n v="67.495999999999995"/>
    <n v="0"/>
    <n v="0"/>
    <n v="0"/>
    <s v="LIVRE"/>
    <n v="0"/>
    <n v="0"/>
    <n v="6"/>
    <n v="0"/>
    <n v="0"/>
    <n v="67.489999999999995"/>
    <n v="0"/>
    <m/>
    <n v="94.544461461160509"/>
    <m/>
    <n v="0"/>
    <n v="4555.3050399999993"/>
    <n v="0"/>
    <n v="6381.3729707824896"/>
    <x v="0"/>
  </r>
  <r>
    <s v="Regular"/>
    <x v="0"/>
    <x v="0"/>
    <x v="0"/>
    <x v="0"/>
    <x v="0"/>
    <x v="0"/>
    <x v="0"/>
    <x v="7"/>
    <n v="0"/>
    <n v="0"/>
    <n v="121.937"/>
    <n v="60.968499999999999"/>
    <n v="0"/>
    <n v="0"/>
    <n v="0"/>
    <s v="LIVRE"/>
    <n v="0"/>
    <n v="0"/>
    <n v="6"/>
    <n v="0"/>
    <n v="0"/>
    <n v="67.489999999999995"/>
    <n v="0"/>
    <m/>
    <n v="94.544461461160509"/>
    <m/>
    <n v="0"/>
    <n v="4114.7640649999994"/>
    <n v="0"/>
    <n v="5764.2339985947647"/>
    <x v="0"/>
  </r>
  <r>
    <s v="Refaturamento - Regular"/>
    <x v="0"/>
    <x v="0"/>
    <x v="0"/>
    <x v="0"/>
    <x v="0"/>
    <x v="0"/>
    <x v="0"/>
    <x v="7"/>
    <n v="0"/>
    <n v="0"/>
    <n v="121.937"/>
    <n v="60.968499999999999"/>
    <n v="0"/>
    <n v="0"/>
    <n v="0"/>
    <s v="LIVRE"/>
    <n v="0"/>
    <n v="0"/>
    <n v="6"/>
    <n v="0"/>
    <n v="0"/>
    <n v="67.489999999999995"/>
    <n v="0"/>
    <m/>
    <n v="94.544461461160509"/>
    <m/>
    <n v="0"/>
    <n v="4114.7640649999994"/>
    <n v="0"/>
    <n v="5764.2339985947647"/>
    <x v="0"/>
  </r>
  <r>
    <s v="Regular"/>
    <x v="0"/>
    <x v="0"/>
    <x v="0"/>
    <x v="0"/>
    <x v="0"/>
    <x v="0"/>
    <x v="0"/>
    <x v="8"/>
    <n v="0"/>
    <n v="0"/>
    <n v="134.49"/>
    <n v="67.245000000000005"/>
    <n v="0"/>
    <n v="0"/>
    <n v="0"/>
    <s v="LIVRE"/>
    <n v="0"/>
    <n v="0"/>
    <n v="6"/>
    <n v="0"/>
    <n v="0"/>
    <n v="67.489999999999995"/>
    <n v="0"/>
    <m/>
    <n v="94.544461461160509"/>
    <m/>
    <n v="0"/>
    <n v="4538.3650500000003"/>
    <n v="0"/>
    <n v="6357.642310955739"/>
    <x v="0"/>
  </r>
  <r>
    <s v="Refaturamento - Regular"/>
    <x v="0"/>
    <x v="0"/>
    <x v="0"/>
    <x v="0"/>
    <x v="0"/>
    <x v="0"/>
    <x v="0"/>
    <x v="8"/>
    <n v="0"/>
    <n v="0"/>
    <n v="134.49"/>
    <n v="67.245000000000005"/>
    <n v="0"/>
    <n v="0"/>
    <n v="0"/>
    <s v="LIVRE"/>
    <n v="0"/>
    <n v="0"/>
    <n v="6"/>
    <n v="0"/>
    <n v="0"/>
    <n v="67.489999999999995"/>
    <n v="0"/>
    <m/>
    <n v="94.544461461160509"/>
    <m/>
    <n v="0"/>
    <n v="4538.3650500000003"/>
    <n v="0"/>
    <n v="6357.642310955739"/>
    <x v="0"/>
  </r>
  <r>
    <s v="Regular"/>
    <x v="0"/>
    <x v="0"/>
    <x v="0"/>
    <x v="0"/>
    <x v="0"/>
    <x v="0"/>
    <x v="0"/>
    <x v="9"/>
    <n v="0"/>
    <n v="0"/>
    <n v="134.74299999999999"/>
    <n v="67.371499999999997"/>
    <n v="0"/>
    <n v="0"/>
    <n v="0"/>
    <s v="LIVRE"/>
    <n v="0"/>
    <n v="0"/>
    <n v="6"/>
    <n v="0"/>
    <n v="0"/>
    <n v="67.489999999999995"/>
    <n v="0"/>
    <m/>
    <n v="94.544461461160509"/>
    <m/>
    <n v="0"/>
    <n v="4546.9025349999993"/>
    <n v="0"/>
    <n v="6369.6021853305747"/>
    <x v="0"/>
  </r>
  <r>
    <s v="Refaturamento - Regular"/>
    <x v="0"/>
    <x v="0"/>
    <x v="0"/>
    <x v="0"/>
    <x v="0"/>
    <x v="0"/>
    <x v="0"/>
    <x v="9"/>
    <n v="0"/>
    <n v="0"/>
    <n v="134.74299999999999"/>
    <n v="67.371499999999997"/>
    <n v="0"/>
    <n v="0"/>
    <n v="0"/>
    <s v="LIVRE"/>
    <n v="0"/>
    <n v="0"/>
    <n v="6"/>
    <n v="0"/>
    <n v="0"/>
    <n v="67.489999999999995"/>
    <n v="0"/>
    <m/>
    <n v="94.544461461160509"/>
    <m/>
    <n v="0"/>
    <n v="4546.9025349999993"/>
    <n v="0"/>
    <n v="6369.6021853305747"/>
    <x v="0"/>
  </r>
  <r>
    <s v="Regular"/>
    <x v="0"/>
    <x v="0"/>
    <x v="0"/>
    <x v="0"/>
    <x v="0"/>
    <x v="0"/>
    <x v="0"/>
    <x v="10"/>
    <n v="0"/>
    <n v="0"/>
    <n v="163.56399999999999"/>
    <n v="81.781999999999996"/>
    <n v="0"/>
    <n v="0"/>
    <n v="0"/>
    <s v="LIVRE"/>
    <n v="0"/>
    <n v="0"/>
    <n v="6"/>
    <n v="0"/>
    <n v="0"/>
    <n v="67.489999999999995"/>
    <n v="0"/>
    <m/>
    <n v="94.544461461160509"/>
    <m/>
    <n v="0"/>
    <n v="5519.4671799999996"/>
    <n v="0"/>
    <n v="7732.0351472166285"/>
    <x v="0"/>
  </r>
  <r>
    <s v="Refaturamento - Regular"/>
    <x v="0"/>
    <x v="0"/>
    <x v="0"/>
    <x v="0"/>
    <x v="0"/>
    <x v="0"/>
    <x v="0"/>
    <x v="10"/>
    <n v="0"/>
    <n v="0"/>
    <n v="163.56399999999999"/>
    <n v="81.781999999999996"/>
    <n v="0"/>
    <n v="0"/>
    <n v="0"/>
    <s v="LIVRE"/>
    <n v="0"/>
    <n v="0"/>
    <n v="6"/>
    <n v="0"/>
    <n v="0"/>
    <n v="67.489999999999995"/>
    <n v="0"/>
    <m/>
    <n v="94.544461461160509"/>
    <m/>
    <n v="0"/>
    <n v="5519.4671799999996"/>
    <n v="0"/>
    <n v="7732.0351472166285"/>
    <x v="0"/>
  </r>
  <r>
    <s v="Regular"/>
    <x v="0"/>
    <x v="0"/>
    <x v="0"/>
    <x v="0"/>
    <x v="0"/>
    <x v="0"/>
    <x v="0"/>
    <x v="11"/>
    <n v="0"/>
    <n v="0"/>
    <n v="155.51400000000001"/>
    <n v="80.074158600000004"/>
    <n v="0"/>
    <n v="0"/>
    <n v="0"/>
    <s v="LIVRE"/>
    <n v="0"/>
    <n v="0"/>
    <n v="6"/>
    <n v="0"/>
    <n v="0"/>
    <n v="67.489999999999995"/>
    <n v="0"/>
    <m/>
    <n v="94.544461461160509"/>
    <m/>
    <n v="0"/>
    <n v="5091.4348960859998"/>
    <n v="0"/>
    <n v="7132.4191778783616"/>
    <x v="0"/>
  </r>
  <r>
    <s v="Refaturamento - Regular"/>
    <x v="0"/>
    <x v="0"/>
    <x v="0"/>
    <x v="0"/>
    <x v="0"/>
    <x v="0"/>
    <x v="0"/>
    <x v="11"/>
    <n v="0"/>
    <n v="0"/>
    <n v="155.51400000000001"/>
    <n v="80.074158600000004"/>
    <n v="0"/>
    <n v="0"/>
    <n v="0"/>
    <s v="LIVRE"/>
    <n v="0"/>
    <n v="0"/>
    <n v="6"/>
    <n v="0"/>
    <n v="0"/>
    <n v="67.489999999999995"/>
    <n v="0"/>
    <m/>
    <n v="94.544461461160509"/>
    <m/>
    <n v="0"/>
    <n v="5091.4348960859998"/>
    <n v="0"/>
    <n v="7132.4191778783616"/>
    <x v="0"/>
  </r>
  <r>
    <s v="Regular"/>
    <x v="0"/>
    <x v="0"/>
    <x v="0"/>
    <x v="0"/>
    <x v="0"/>
    <x v="0"/>
    <x v="1"/>
    <x v="0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0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1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1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2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2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3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3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4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4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5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5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6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6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7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7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8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8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9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9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10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faturamento - Regular"/>
    <x v="0"/>
    <x v="0"/>
    <x v="0"/>
    <x v="0"/>
    <x v="0"/>
    <x v="0"/>
    <x v="1"/>
    <x v="10"/>
    <n v="1050"/>
    <n v="525"/>
    <n v="0"/>
    <n v="0"/>
    <n v="0"/>
    <n v="0"/>
    <n v="1"/>
    <s v="LIVRE"/>
    <n v="0"/>
    <n v="10"/>
    <n v="0"/>
    <n v="0"/>
    <n v="34.08"/>
    <n v="0"/>
    <n v="0"/>
    <n v="46.559537342020157"/>
    <m/>
    <m/>
    <n v="17892"/>
    <n v="0"/>
    <n v="24443.757104560584"/>
    <n v="0"/>
    <x v="0"/>
  </r>
  <r>
    <s v="Regular"/>
    <x v="0"/>
    <x v="0"/>
    <x v="0"/>
    <x v="0"/>
    <x v="0"/>
    <x v="0"/>
    <x v="1"/>
    <x v="11"/>
    <n v="1050"/>
    <n v="540.64499999999998"/>
    <n v="0"/>
    <n v="0"/>
    <n v="0"/>
    <n v="0"/>
    <n v="1"/>
    <s v="LIVRE"/>
    <n v="0"/>
    <n v="10"/>
    <n v="0"/>
    <n v="0"/>
    <n v="34.08"/>
    <n v="0"/>
    <n v="0"/>
    <n v="46.559537342020157"/>
    <m/>
    <m/>
    <n v="17358.8184"/>
    <n v="0"/>
    <n v="23715.333142844676"/>
    <n v="0"/>
    <x v="0"/>
  </r>
  <r>
    <s v="Refaturamento - Regular"/>
    <x v="0"/>
    <x v="0"/>
    <x v="0"/>
    <x v="0"/>
    <x v="0"/>
    <x v="0"/>
    <x v="1"/>
    <x v="11"/>
    <n v="1050"/>
    <n v="540.64499999999998"/>
    <n v="0"/>
    <n v="0"/>
    <n v="0"/>
    <n v="0"/>
    <n v="1"/>
    <s v="LIVRE"/>
    <n v="0"/>
    <n v="10"/>
    <n v="0"/>
    <n v="0"/>
    <n v="34.08"/>
    <n v="0"/>
    <n v="0"/>
    <n v="46.559537342020157"/>
    <m/>
    <m/>
    <n v="17358.8184"/>
    <n v="0"/>
    <n v="23715.333142844676"/>
    <n v="0"/>
    <x v="0"/>
  </r>
  <r>
    <s v="Regular"/>
    <x v="0"/>
    <x v="0"/>
    <x v="0"/>
    <x v="0"/>
    <x v="0"/>
    <x v="0"/>
    <x v="2"/>
    <x v="0"/>
    <n v="0"/>
    <n v="0"/>
    <n v="0.85099999999999998"/>
    <n v="0.42549999999999999"/>
    <n v="0"/>
    <n v="0"/>
    <n v="0"/>
    <s v="LIVRE"/>
    <n v="0"/>
    <n v="0"/>
    <n v="23"/>
    <n v="0"/>
    <n v="0"/>
    <n v="2545.94"/>
    <n v="0"/>
    <m/>
    <n v="3640.0032141838496"/>
    <m/>
    <n v="0"/>
    <n v="1083.29747"/>
    <n v="0"/>
    <n v="1548.8213676352279"/>
    <x v="0"/>
  </r>
  <r>
    <s v="Refaturamento - Regular"/>
    <x v="0"/>
    <x v="0"/>
    <x v="0"/>
    <x v="0"/>
    <x v="0"/>
    <x v="0"/>
    <x v="2"/>
    <x v="0"/>
    <n v="0"/>
    <n v="0"/>
    <n v="0.85099999999999998"/>
    <n v="0.42549999999999999"/>
    <n v="0"/>
    <n v="0"/>
    <n v="0"/>
    <s v="LIVRE"/>
    <n v="0"/>
    <n v="0"/>
    <n v="23"/>
    <n v="0"/>
    <n v="0"/>
    <n v="2545.94"/>
    <n v="0"/>
    <m/>
    <n v="3640.0032141838496"/>
    <m/>
    <n v="0"/>
    <n v="1083.29747"/>
    <n v="0"/>
    <n v="1548.8213676352279"/>
    <x v="0"/>
  </r>
  <r>
    <s v="Regular"/>
    <x v="0"/>
    <x v="0"/>
    <x v="0"/>
    <x v="0"/>
    <x v="0"/>
    <x v="0"/>
    <x v="2"/>
    <x v="1"/>
    <n v="0"/>
    <n v="0"/>
    <n v="0.93700000000000006"/>
    <n v="0.46850000000000003"/>
    <n v="0"/>
    <n v="0"/>
    <n v="0"/>
    <s v="LIVRE"/>
    <n v="0"/>
    <n v="0"/>
    <n v="23"/>
    <n v="0"/>
    <n v="0"/>
    <n v="2545.94"/>
    <n v="0"/>
    <m/>
    <n v="3640.0032141838496"/>
    <m/>
    <n v="0"/>
    <n v="1192.7728900000002"/>
    <n v="0"/>
    <n v="1705.3415058451337"/>
    <x v="0"/>
  </r>
  <r>
    <s v="Refaturamento - Regular"/>
    <x v="0"/>
    <x v="0"/>
    <x v="0"/>
    <x v="0"/>
    <x v="0"/>
    <x v="0"/>
    <x v="2"/>
    <x v="1"/>
    <n v="0"/>
    <n v="0"/>
    <n v="0.93700000000000006"/>
    <n v="0.46850000000000003"/>
    <n v="0"/>
    <n v="0"/>
    <n v="0"/>
    <s v="LIVRE"/>
    <n v="0"/>
    <n v="0"/>
    <n v="23"/>
    <n v="0"/>
    <n v="0"/>
    <n v="2545.94"/>
    <n v="0"/>
    <m/>
    <n v="3640.0032141838496"/>
    <m/>
    <n v="0"/>
    <n v="1192.7728900000002"/>
    <n v="0"/>
    <n v="1705.3415058451337"/>
    <x v="0"/>
  </r>
  <r>
    <s v="Regular"/>
    <x v="0"/>
    <x v="0"/>
    <x v="0"/>
    <x v="0"/>
    <x v="0"/>
    <x v="0"/>
    <x v="2"/>
    <x v="2"/>
    <n v="0"/>
    <n v="0"/>
    <n v="1.032"/>
    <n v="0.51600000000000001"/>
    <n v="0"/>
    <n v="0"/>
    <n v="0"/>
    <s v="LIVRE"/>
    <n v="0"/>
    <n v="0"/>
    <n v="23"/>
    <n v="0"/>
    <n v="0"/>
    <n v="2545.94"/>
    <n v="0"/>
    <m/>
    <n v="3640.0032141838496"/>
    <m/>
    <n v="0"/>
    <n v="1313.7050400000001"/>
    <n v="0"/>
    <n v="1878.2416585188664"/>
    <x v="0"/>
  </r>
  <r>
    <s v="Refaturamento - Regular"/>
    <x v="0"/>
    <x v="0"/>
    <x v="0"/>
    <x v="0"/>
    <x v="0"/>
    <x v="0"/>
    <x v="2"/>
    <x v="2"/>
    <n v="0"/>
    <n v="0"/>
    <n v="1.032"/>
    <n v="0.51600000000000001"/>
    <n v="0"/>
    <n v="0"/>
    <n v="0"/>
    <s v="LIVRE"/>
    <n v="0"/>
    <n v="0"/>
    <n v="23"/>
    <n v="0"/>
    <n v="0"/>
    <n v="2545.94"/>
    <n v="0"/>
    <m/>
    <n v="3640.0032141838496"/>
    <m/>
    <n v="0"/>
    <n v="1313.7050400000001"/>
    <n v="0"/>
    <n v="1878.2416585188664"/>
    <x v="0"/>
  </r>
  <r>
    <s v="Regular"/>
    <x v="0"/>
    <x v="0"/>
    <x v="0"/>
    <x v="0"/>
    <x v="0"/>
    <x v="0"/>
    <x v="2"/>
    <x v="3"/>
    <n v="0"/>
    <n v="0"/>
    <n v="0.99099999999999999"/>
    <n v="0.4955"/>
    <n v="0"/>
    <n v="0"/>
    <n v="0"/>
    <s v="LIVRE"/>
    <n v="0"/>
    <n v="0"/>
    <n v="23"/>
    <n v="0"/>
    <n v="0"/>
    <n v="2545.94"/>
    <n v="0"/>
    <m/>
    <n v="3640.0032141838496"/>
    <m/>
    <n v="0"/>
    <n v="1261.5132699999999"/>
    <n v="0"/>
    <n v="1803.6215926280975"/>
    <x v="0"/>
  </r>
  <r>
    <s v="Refaturamento - Regular"/>
    <x v="0"/>
    <x v="0"/>
    <x v="0"/>
    <x v="0"/>
    <x v="0"/>
    <x v="0"/>
    <x v="2"/>
    <x v="3"/>
    <n v="0"/>
    <n v="0"/>
    <n v="0.99099999999999999"/>
    <n v="0.4955"/>
    <n v="0"/>
    <n v="0"/>
    <n v="0"/>
    <s v="LIVRE"/>
    <n v="0"/>
    <n v="0"/>
    <n v="23"/>
    <n v="0"/>
    <n v="0"/>
    <n v="2545.94"/>
    <n v="0"/>
    <m/>
    <n v="3640.0032141838496"/>
    <m/>
    <n v="0"/>
    <n v="1261.5132699999999"/>
    <n v="0"/>
    <n v="1803.6215926280975"/>
    <x v="0"/>
  </r>
  <r>
    <s v="Regular"/>
    <x v="0"/>
    <x v="0"/>
    <x v="0"/>
    <x v="0"/>
    <x v="0"/>
    <x v="0"/>
    <x v="2"/>
    <x v="4"/>
    <n v="0"/>
    <n v="0"/>
    <n v="1.056"/>
    <n v="0.52800000000000002"/>
    <n v="0"/>
    <n v="0"/>
    <n v="0"/>
    <s v="LIVRE"/>
    <n v="0"/>
    <n v="0"/>
    <n v="23"/>
    <n v="0"/>
    <n v="0"/>
    <n v="2545.94"/>
    <n v="0"/>
    <m/>
    <n v="3640.0032141838496"/>
    <m/>
    <n v="0"/>
    <n v="1344.2563200000002"/>
    <n v="0"/>
    <n v="1921.9216970890727"/>
    <x v="0"/>
  </r>
  <r>
    <s v="Refaturamento - Regular"/>
    <x v="0"/>
    <x v="0"/>
    <x v="0"/>
    <x v="0"/>
    <x v="0"/>
    <x v="0"/>
    <x v="2"/>
    <x v="4"/>
    <n v="0"/>
    <n v="0"/>
    <n v="1.056"/>
    <n v="0.52800000000000002"/>
    <n v="0"/>
    <n v="0"/>
    <n v="0"/>
    <s v="LIVRE"/>
    <n v="0"/>
    <n v="0"/>
    <n v="23"/>
    <n v="0"/>
    <n v="0"/>
    <n v="2545.94"/>
    <n v="0"/>
    <m/>
    <n v="3640.0032141838496"/>
    <m/>
    <n v="0"/>
    <n v="1344.2563200000002"/>
    <n v="0"/>
    <n v="1921.9216970890727"/>
    <x v="0"/>
  </r>
  <r>
    <s v="Regular"/>
    <x v="0"/>
    <x v="0"/>
    <x v="0"/>
    <x v="0"/>
    <x v="0"/>
    <x v="0"/>
    <x v="2"/>
    <x v="5"/>
    <n v="0"/>
    <n v="0"/>
    <n v="0.85099999999999998"/>
    <n v="0.42549999999999999"/>
    <n v="0"/>
    <n v="0"/>
    <n v="0"/>
    <s v="LIVRE"/>
    <n v="0"/>
    <n v="0"/>
    <n v="23"/>
    <n v="0"/>
    <n v="0"/>
    <n v="2545.94"/>
    <n v="0"/>
    <m/>
    <n v="3640.0032141838496"/>
    <m/>
    <n v="0"/>
    <n v="1083.29747"/>
    <n v="0"/>
    <n v="1548.8213676352279"/>
    <x v="0"/>
  </r>
  <r>
    <s v="Refaturamento - Regular"/>
    <x v="0"/>
    <x v="0"/>
    <x v="0"/>
    <x v="0"/>
    <x v="0"/>
    <x v="0"/>
    <x v="2"/>
    <x v="5"/>
    <n v="0"/>
    <n v="0"/>
    <n v="0.85099999999999998"/>
    <n v="0.42549999999999999"/>
    <n v="0"/>
    <n v="0"/>
    <n v="0"/>
    <s v="LIVRE"/>
    <n v="0"/>
    <n v="0"/>
    <n v="23"/>
    <n v="0"/>
    <n v="0"/>
    <n v="2545.94"/>
    <n v="0"/>
    <m/>
    <n v="3640.0032141838496"/>
    <m/>
    <n v="0"/>
    <n v="1083.29747"/>
    <n v="0"/>
    <n v="1548.8213676352279"/>
    <x v="0"/>
  </r>
  <r>
    <s v="Regular"/>
    <x v="0"/>
    <x v="0"/>
    <x v="0"/>
    <x v="0"/>
    <x v="0"/>
    <x v="0"/>
    <x v="2"/>
    <x v="6"/>
    <n v="0"/>
    <n v="0"/>
    <n v="1.2250000000000001"/>
    <n v="0.61250000000000004"/>
    <n v="0"/>
    <n v="0"/>
    <n v="0"/>
    <s v="LIVRE"/>
    <n v="0"/>
    <n v="0"/>
    <n v="23"/>
    <n v="0"/>
    <n v="0"/>
    <n v="2545.94"/>
    <n v="0"/>
    <m/>
    <n v="3640.0032141838496"/>
    <m/>
    <n v="0"/>
    <n v="1559.3882500000002"/>
    <n v="0"/>
    <n v="2229.501968687608"/>
    <x v="0"/>
  </r>
  <r>
    <s v="Refaturamento - Regular"/>
    <x v="0"/>
    <x v="0"/>
    <x v="0"/>
    <x v="0"/>
    <x v="0"/>
    <x v="0"/>
    <x v="2"/>
    <x v="6"/>
    <n v="0"/>
    <n v="0"/>
    <n v="1.2250000000000001"/>
    <n v="0.61250000000000004"/>
    <n v="0"/>
    <n v="0"/>
    <n v="0"/>
    <s v="LIVRE"/>
    <n v="0"/>
    <n v="0"/>
    <n v="23"/>
    <n v="0"/>
    <n v="0"/>
    <n v="2545.94"/>
    <n v="0"/>
    <m/>
    <n v="3640.0032141838496"/>
    <m/>
    <n v="0"/>
    <n v="1559.3882500000002"/>
    <n v="0"/>
    <n v="2229.501968687608"/>
    <x v="0"/>
  </r>
  <r>
    <s v="Regular"/>
    <x v="0"/>
    <x v="0"/>
    <x v="0"/>
    <x v="0"/>
    <x v="0"/>
    <x v="0"/>
    <x v="2"/>
    <x v="7"/>
    <n v="0"/>
    <n v="0"/>
    <n v="1.232"/>
    <n v="0.61599999999999999"/>
    <n v="0"/>
    <n v="0"/>
    <n v="0"/>
    <s v="LIVRE"/>
    <n v="0"/>
    <n v="0"/>
    <n v="23"/>
    <n v="0"/>
    <n v="0"/>
    <n v="2545.94"/>
    <n v="0"/>
    <m/>
    <n v="3640.0032141838496"/>
    <m/>
    <n v="0"/>
    <n v="1568.2990400000001"/>
    <n v="0"/>
    <n v="2242.2419799372515"/>
    <x v="0"/>
  </r>
  <r>
    <s v="Refaturamento - Regular"/>
    <x v="0"/>
    <x v="0"/>
    <x v="0"/>
    <x v="0"/>
    <x v="0"/>
    <x v="0"/>
    <x v="2"/>
    <x v="7"/>
    <n v="0"/>
    <n v="0"/>
    <n v="1.232"/>
    <n v="0.61599999999999999"/>
    <n v="0"/>
    <n v="0"/>
    <n v="0"/>
    <s v="LIVRE"/>
    <n v="0"/>
    <n v="0"/>
    <n v="23"/>
    <n v="0"/>
    <n v="0"/>
    <n v="2545.94"/>
    <n v="0"/>
    <m/>
    <n v="3640.0032141838496"/>
    <m/>
    <n v="0"/>
    <n v="1568.2990400000001"/>
    <n v="0"/>
    <n v="2242.2419799372515"/>
    <x v="0"/>
  </r>
  <r>
    <s v="Regular"/>
    <x v="0"/>
    <x v="0"/>
    <x v="0"/>
    <x v="0"/>
    <x v="0"/>
    <x v="0"/>
    <x v="2"/>
    <x v="8"/>
    <n v="0"/>
    <n v="0"/>
    <n v="1.4910000000000001"/>
    <n v="0.74550000000000005"/>
    <n v="0"/>
    <n v="0"/>
    <n v="0"/>
    <s v="LIVRE"/>
    <n v="0"/>
    <n v="0"/>
    <n v="23"/>
    <n v="0"/>
    <n v="0"/>
    <n v="2545.94"/>
    <n v="0"/>
    <m/>
    <n v="3640.0032141838496"/>
    <m/>
    <n v="0"/>
    <n v="1897.9982700000003"/>
    <n v="0"/>
    <n v="2713.6223961740602"/>
    <x v="0"/>
  </r>
  <r>
    <s v="Refaturamento - Regular"/>
    <x v="0"/>
    <x v="0"/>
    <x v="0"/>
    <x v="0"/>
    <x v="0"/>
    <x v="0"/>
    <x v="2"/>
    <x v="8"/>
    <n v="0"/>
    <n v="0"/>
    <n v="1.4910000000000001"/>
    <n v="0.74550000000000005"/>
    <n v="0"/>
    <n v="0"/>
    <n v="0"/>
    <s v="LIVRE"/>
    <n v="0"/>
    <n v="0"/>
    <n v="23"/>
    <n v="0"/>
    <n v="0"/>
    <n v="2545.94"/>
    <n v="0"/>
    <m/>
    <n v="3640.0032141838496"/>
    <m/>
    <n v="0"/>
    <n v="1897.9982700000003"/>
    <n v="0"/>
    <n v="2713.6223961740602"/>
    <x v="0"/>
  </r>
  <r>
    <s v="Regular"/>
    <x v="0"/>
    <x v="0"/>
    <x v="0"/>
    <x v="0"/>
    <x v="0"/>
    <x v="0"/>
    <x v="2"/>
    <x v="9"/>
    <n v="0"/>
    <n v="0"/>
    <n v="1.47"/>
    <n v="0.73499999999999999"/>
    <n v="0"/>
    <n v="0"/>
    <n v="0"/>
    <s v="LIVRE"/>
    <n v="0"/>
    <n v="0"/>
    <n v="23"/>
    <n v="0"/>
    <n v="0"/>
    <n v="2545.94"/>
    <n v="0"/>
    <m/>
    <n v="3640.0032141838496"/>
    <m/>
    <n v="0"/>
    <n v="1871.2659000000001"/>
    <n v="0"/>
    <n v="2675.4023624251295"/>
    <x v="0"/>
  </r>
  <r>
    <s v="Refaturamento - Regular"/>
    <x v="0"/>
    <x v="0"/>
    <x v="0"/>
    <x v="0"/>
    <x v="0"/>
    <x v="0"/>
    <x v="2"/>
    <x v="9"/>
    <n v="0"/>
    <n v="0"/>
    <n v="1.47"/>
    <n v="0.73499999999999999"/>
    <n v="0"/>
    <n v="0"/>
    <n v="0"/>
    <s v="LIVRE"/>
    <n v="0"/>
    <n v="0"/>
    <n v="23"/>
    <n v="0"/>
    <n v="0"/>
    <n v="2545.94"/>
    <n v="0"/>
    <m/>
    <n v="3640.0032141838496"/>
    <m/>
    <n v="0"/>
    <n v="1871.2659000000001"/>
    <n v="0"/>
    <n v="2675.4023624251295"/>
    <x v="0"/>
  </r>
  <r>
    <s v="Regular"/>
    <x v="0"/>
    <x v="0"/>
    <x v="0"/>
    <x v="0"/>
    <x v="0"/>
    <x v="0"/>
    <x v="2"/>
    <x v="10"/>
    <n v="0"/>
    <n v="0"/>
    <n v="1.5820000000000001"/>
    <n v="0.79100000000000004"/>
    <n v="0"/>
    <n v="0"/>
    <n v="0"/>
    <s v="LIVRE"/>
    <n v="0"/>
    <n v="0"/>
    <n v="23"/>
    <n v="0"/>
    <n v="0"/>
    <n v="2545.94"/>
    <n v="0"/>
    <m/>
    <n v="3640.0032141838496"/>
    <m/>
    <n v="0"/>
    <n v="2013.8385400000002"/>
    <n v="0"/>
    <n v="2879.2425424194253"/>
    <x v="0"/>
  </r>
  <r>
    <s v="Refaturamento - Regular"/>
    <x v="0"/>
    <x v="0"/>
    <x v="0"/>
    <x v="0"/>
    <x v="0"/>
    <x v="0"/>
    <x v="2"/>
    <x v="10"/>
    <n v="0"/>
    <n v="0"/>
    <n v="1.5820000000000001"/>
    <n v="0.79100000000000004"/>
    <n v="0"/>
    <n v="0"/>
    <n v="0"/>
    <s v="LIVRE"/>
    <n v="0"/>
    <n v="0"/>
    <n v="23"/>
    <n v="0"/>
    <n v="0"/>
    <n v="2545.94"/>
    <n v="0"/>
    <m/>
    <n v="3640.0032141838496"/>
    <m/>
    <n v="0"/>
    <n v="2013.8385400000002"/>
    <n v="0"/>
    <n v="2879.2425424194253"/>
    <x v="0"/>
  </r>
  <r>
    <s v="Regular"/>
    <x v="0"/>
    <x v="0"/>
    <x v="0"/>
    <x v="0"/>
    <x v="0"/>
    <x v="0"/>
    <x v="2"/>
    <x v="11"/>
    <n v="0"/>
    <n v="0"/>
    <n v="1.419"/>
    <n v="0.73064309999999999"/>
    <n v="0"/>
    <n v="0"/>
    <n v="0"/>
    <s v="LIVRE"/>
    <n v="0"/>
    <n v="0"/>
    <n v="23"/>
    <n v="0"/>
    <n v="0"/>
    <n v="2545.94"/>
    <n v="0"/>
    <m/>
    <n v="3640.0032141838496"/>
    <m/>
    <n v="0"/>
    <n v="1752.5153659860002"/>
    <n v="0"/>
    <n v="2505.621328505631"/>
    <x v="0"/>
  </r>
  <r>
    <s v="Refaturamento - Regular"/>
    <x v="0"/>
    <x v="0"/>
    <x v="0"/>
    <x v="0"/>
    <x v="0"/>
    <x v="0"/>
    <x v="2"/>
    <x v="11"/>
    <n v="0"/>
    <n v="0"/>
    <n v="1.419"/>
    <n v="0.73064309999999999"/>
    <n v="0"/>
    <n v="0"/>
    <n v="0"/>
    <s v="LIVRE"/>
    <n v="0"/>
    <n v="0"/>
    <n v="23"/>
    <n v="0"/>
    <n v="0"/>
    <n v="2545.94"/>
    <n v="0"/>
    <m/>
    <n v="3640.0032141838496"/>
    <m/>
    <n v="0"/>
    <n v="1752.5153659860002"/>
    <n v="0"/>
    <n v="2505.621328505631"/>
    <x v="0"/>
  </r>
  <r>
    <s v="Regular"/>
    <x v="0"/>
    <x v="0"/>
    <x v="1"/>
    <x v="0"/>
    <x v="1"/>
    <x v="0"/>
    <x v="0"/>
    <x v="0"/>
    <n v="0"/>
    <n v="0"/>
    <n v="1.2929999999999999"/>
    <n v="1.2412799999999999"/>
    <n v="1.2929999999999999"/>
    <n v="1.2412799999999999"/>
    <n v="0"/>
    <s v="CATIVO"/>
    <n v="0"/>
    <n v="0"/>
    <n v="6"/>
    <n v="50"/>
    <n v="0"/>
    <n v="67.489999999999995"/>
    <n v="223.07"/>
    <m/>
    <n v="94.544461461160509"/>
    <n v="133.74179569551256"/>
    <n v="0"/>
    <n v="15.027763199999995"/>
    <n v="0"/>
    <n v="11.806965220143129"/>
    <x v="1"/>
  </r>
  <r>
    <s v="Regular"/>
    <x v="0"/>
    <x v="0"/>
    <x v="1"/>
    <x v="0"/>
    <x v="1"/>
    <x v="0"/>
    <x v="0"/>
    <x v="1"/>
    <n v="0"/>
    <n v="0"/>
    <n v="1.663"/>
    <n v="1.5964799999999999"/>
    <n v="1.663"/>
    <n v="1.5964799999999999"/>
    <n v="0"/>
    <s v="CATIVO"/>
    <n v="0"/>
    <n v="0"/>
    <n v="6"/>
    <n v="50"/>
    <n v="0"/>
    <n v="67.489999999999995"/>
    <n v="223.07"/>
    <m/>
    <n v="94.544461461160509"/>
    <n v="133.74179569551256"/>
    <n v="0"/>
    <n v="19.32805120000004"/>
    <n v="0"/>
    <n v="15.185601826061923"/>
    <x v="1"/>
  </r>
  <r>
    <s v="Regular"/>
    <x v="0"/>
    <x v="0"/>
    <x v="1"/>
    <x v="0"/>
    <x v="1"/>
    <x v="0"/>
    <x v="0"/>
    <x v="2"/>
    <n v="0"/>
    <n v="0"/>
    <n v="2.8610000000000002"/>
    <n v="2.7465600000000001"/>
    <n v="2.8610000000000002"/>
    <n v="2.7465600000000001"/>
    <n v="0"/>
    <s v="CATIVO"/>
    <n v="0"/>
    <n v="0"/>
    <n v="6"/>
    <n v="50"/>
    <n v="0"/>
    <n v="67.489999999999995"/>
    <n v="223.07"/>
    <m/>
    <n v="94.544461461160509"/>
    <n v="133.74179569551256"/>
    <n v="0"/>
    <n v="33.251686400000025"/>
    <n v="0"/>
    <n v="26.125079269009689"/>
    <x v="1"/>
  </r>
  <r>
    <s v="Regular"/>
    <x v="0"/>
    <x v="0"/>
    <x v="1"/>
    <x v="0"/>
    <x v="1"/>
    <x v="0"/>
    <x v="0"/>
    <x v="3"/>
    <n v="0"/>
    <n v="0"/>
    <n v="1.603"/>
    <n v="1.53888"/>
    <n v="1.603"/>
    <n v="1.53888"/>
    <n v="0"/>
    <s v="CATIVO"/>
    <n v="0"/>
    <n v="0"/>
    <n v="6"/>
    <n v="50"/>
    <n v="0"/>
    <n v="67.489999999999995"/>
    <n v="223.07"/>
    <m/>
    <n v="94.544461461160509"/>
    <n v="133.74179569551256"/>
    <n v="0"/>
    <n v="18.630707199999986"/>
    <n v="0"/>
    <n v="14.637714808885868"/>
    <x v="1"/>
  </r>
  <r>
    <s v="Regular"/>
    <x v="0"/>
    <x v="0"/>
    <x v="1"/>
    <x v="0"/>
    <x v="1"/>
    <x v="0"/>
    <x v="0"/>
    <x v="4"/>
    <n v="0"/>
    <n v="0"/>
    <n v="3.4369999999999998"/>
    <n v="3.2995199999999998"/>
    <n v="3.4369999999999998"/>
    <n v="3.2995199999999998"/>
    <n v="0"/>
    <s v="CATIVO"/>
    <n v="0"/>
    <n v="0"/>
    <n v="6"/>
    <n v="50"/>
    <n v="0"/>
    <n v="67.489999999999995"/>
    <n v="223.07"/>
    <m/>
    <n v="94.544461461160509"/>
    <n v="133.74179569551256"/>
    <n v="0"/>
    <n v="39.946188800000009"/>
    <n v="0"/>
    <n v="31.384794633899425"/>
    <x v="1"/>
  </r>
  <r>
    <s v="Regular"/>
    <x v="0"/>
    <x v="0"/>
    <x v="1"/>
    <x v="0"/>
    <x v="1"/>
    <x v="0"/>
    <x v="0"/>
    <x v="5"/>
    <n v="0"/>
    <n v="0"/>
    <n v="29.199000000000002"/>
    <n v="28.031040000000001"/>
    <n v="29.199000000000002"/>
    <n v="28.031040000000001"/>
    <n v="0"/>
    <s v="CATIVO"/>
    <n v="0"/>
    <n v="0"/>
    <n v="6"/>
    <n v="50"/>
    <n v="0"/>
    <n v="67.489999999999995"/>
    <n v="223.07"/>
    <m/>
    <n v="94.544461461160509"/>
    <n v="133.74179569551256"/>
    <n v="0"/>
    <n v="339.3624576000002"/>
    <n v="0"/>
    <n v="266.62921690870803"/>
    <x v="1"/>
  </r>
  <r>
    <s v="Regular"/>
    <x v="0"/>
    <x v="0"/>
    <x v="1"/>
    <x v="0"/>
    <x v="1"/>
    <x v="0"/>
    <x v="0"/>
    <x v="6"/>
    <n v="0"/>
    <n v="0"/>
    <n v="53.161000000000001"/>
    <n v="51.034559999999999"/>
    <n v="53.161000000000001"/>
    <n v="51.034559999999999"/>
    <n v="0"/>
    <s v="CATIVO"/>
    <n v="0"/>
    <n v="0"/>
    <n v="6"/>
    <n v="50"/>
    <n v="0"/>
    <n v="67.489999999999995"/>
    <n v="223.07"/>
    <m/>
    <n v="94.544461461160509"/>
    <n v="133.74179569551256"/>
    <n v="0"/>
    <n v="617.8584064000006"/>
    <n v="0"/>
    <n v="485.43702866823639"/>
    <x v="1"/>
  </r>
  <r>
    <s v="Regular"/>
    <x v="0"/>
    <x v="0"/>
    <x v="1"/>
    <x v="0"/>
    <x v="1"/>
    <x v="0"/>
    <x v="0"/>
    <x v="7"/>
    <n v="0"/>
    <n v="0"/>
    <n v="40.383000000000003"/>
    <n v="38.767679999999999"/>
    <n v="40.383000000000003"/>
    <n v="38.767679999999999"/>
    <n v="0"/>
    <s v="CATIVO"/>
    <n v="0"/>
    <n v="0"/>
    <n v="6"/>
    <n v="50"/>
    <n v="0"/>
    <n v="67.489999999999995"/>
    <n v="223.07"/>
    <m/>
    <n v="94.544461461160509"/>
    <n v="133.74179569551256"/>
    <n v="0"/>
    <n v="469.34737920000117"/>
    <n v="0"/>
    <n v="368.75535691031808"/>
    <x v="1"/>
  </r>
  <r>
    <s v="Regular"/>
    <x v="0"/>
    <x v="0"/>
    <x v="1"/>
    <x v="0"/>
    <x v="1"/>
    <x v="0"/>
    <x v="0"/>
    <x v="8"/>
    <n v="0"/>
    <n v="0"/>
    <n v="24.954999999999998"/>
    <n v="23.956800000000001"/>
    <n v="24.954999999999998"/>
    <n v="23.956800000000001"/>
    <n v="0"/>
    <s v="CATIVO"/>
    <n v="0"/>
    <n v="0"/>
    <n v="6"/>
    <n v="50"/>
    <n v="0"/>
    <n v="67.489999999999995"/>
    <n v="223.07"/>
    <m/>
    <n v="94.544461461160509"/>
    <n v="133.74179569551256"/>
    <n v="0"/>
    <n v="290.03699199999915"/>
    <n v="0"/>
    <n v="227.87534189379039"/>
    <x v="1"/>
  </r>
  <r>
    <s v="Regular"/>
    <x v="0"/>
    <x v="0"/>
    <x v="1"/>
    <x v="0"/>
    <x v="1"/>
    <x v="0"/>
    <x v="0"/>
    <x v="9"/>
    <n v="0"/>
    <n v="0"/>
    <n v="8.3390000000000004"/>
    <n v="8.0054400000000001"/>
    <n v="8.3390000000000004"/>
    <n v="8.0054400000000001"/>
    <n v="0"/>
    <s v="CATIVO"/>
    <n v="0"/>
    <n v="0"/>
    <n v="6"/>
    <n v="50"/>
    <n v="0"/>
    <n v="67.489999999999995"/>
    <n v="223.07"/>
    <m/>
    <n v="94.544461461160509"/>
    <n v="133.74179569551256"/>
    <n v="0"/>
    <n v="96.919193600000085"/>
    <n v="0"/>
    <n v="76.14716393717994"/>
    <x v="1"/>
  </r>
  <r>
    <s v="Regular"/>
    <x v="0"/>
    <x v="0"/>
    <x v="1"/>
    <x v="0"/>
    <x v="1"/>
    <x v="0"/>
    <x v="0"/>
    <x v="10"/>
    <n v="0"/>
    <n v="0"/>
    <n v="0.99399999999999999"/>
    <n v="0.95423999999999998"/>
    <n v="0.99399999999999999"/>
    <n v="0.95423999999999998"/>
    <n v="0"/>
    <s v="CATIVO"/>
    <n v="0"/>
    <n v="0"/>
    <n v="6"/>
    <n v="50"/>
    <n v="0"/>
    <n v="67.489999999999995"/>
    <n v="223.07"/>
    <m/>
    <n v="94.544461461160509"/>
    <n v="133.74179569551256"/>
    <n v="0"/>
    <n v="11.552665600000005"/>
    <n v="0"/>
    <n v="9.0766615845493241"/>
    <x v="1"/>
  </r>
  <r>
    <s v="Regular"/>
    <x v="0"/>
    <x v="0"/>
    <x v="1"/>
    <x v="0"/>
    <x v="1"/>
    <x v="0"/>
    <x v="0"/>
    <x v="11"/>
    <n v="0"/>
    <n v="0"/>
    <n v="3.0830000000000002"/>
    <n v="2.9596800000000001"/>
    <n v="3.0830000000000002"/>
    <n v="2.9596800000000001"/>
    <n v="0"/>
    <s v="CATIVO"/>
    <n v="0"/>
    <n v="0"/>
    <n v="6"/>
    <n v="50"/>
    <n v="0"/>
    <n v="67.489999999999995"/>
    <n v="223.07"/>
    <m/>
    <n v="94.544461461160509"/>
    <n v="133.74179569551256"/>
    <n v="0"/>
    <n v="35.831859200000025"/>
    <n v="0"/>
    <n v="28.152261232560946"/>
    <x v="1"/>
  </r>
  <r>
    <s v="Regular"/>
    <x v="0"/>
    <x v="0"/>
    <x v="1"/>
    <x v="0"/>
    <x v="1"/>
    <x v="0"/>
    <x v="1"/>
    <x v="0"/>
    <n v="21"/>
    <n v="20.16"/>
    <n v="0"/>
    <n v="0"/>
    <n v="0"/>
    <n v="0"/>
    <n v="1"/>
    <s v="CATIVO"/>
    <n v="0"/>
    <n v="10"/>
    <n v="0"/>
    <n v="0"/>
    <n v="34.08"/>
    <n v="0"/>
    <n v="0"/>
    <n v="46.559537342020157"/>
    <m/>
    <m/>
    <n v="28.627199999999995"/>
    <n v="0"/>
    <n v="39.110011367296927"/>
    <n v="0"/>
    <x v="1"/>
  </r>
  <r>
    <s v="Regular"/>
    <x v="0"/>
    <x v="0"/>
    <x v="1"/>
    <x v="0"/>
    <x v="1"/>
    <x v="0"/>
    <x v="1"/>
    <x v="1"/>
    <n v="62"/>
    <n v="59.52"/>
    <n v="0"/>
    <n v="0"/>
    <n v="0"/>
    <n v="0"/>
    <n v="1"/>
    <s v="CATIVO"/>
    <n v="0"/>
    <n v="10"/>
    <n v="0"/>
    <n v="0"/>
    <n v="34.08"/>
    <n v="0"/>
    <n v="0"/>
    <n v="46.559537342020157"/>
    <m/>
    <m/>
    <n v="84.518399999999886"/>
    <n v="0"/>
    <n v="115.46765260820985"/>
    <n v="0"/>
    <x v="1"/>
  </r>
  <r>
    <s v="Regular"/>
    <x v="0"/>
    <x v="0"/>
    <x v="1"/>
    <x v="0"/>
    <x v="1"/>
    <x v="0"/>
    <x v="1"/>
    <x v="2"/>
    <n v="63"/>
    <n v="60.48"/>
    <n v="0"/>
    <n v="0"/>
    <n v="0"/>
    <n v="0"/>
    <n v="1"/>
    <s v="CATIVO"/>
    <n v="0"/>
    <n v="10"/>
    <n v="0"/>
    <n v="0"/>
    <n v="34.08"/>
    <n v="0"/>
    <n v="0"/>
    <n v="46.559537342020157"/>
    <m/>
    <m/>
    <n v="85.881600000000105"/>
    <n v="0"/>
    <n v="117.33003410189094"/>
    <n v="0"/>
    <x v="1"/>
  </r>
  <r>
    <s v="Regular"/>
    <x v="0"/>
    <x v="0"/>
    <x v="1"/>
    <x v="0"/>
    <x v="1"/>
    <x v="0"/>
    <x v="1"/>
    <x v="3"/>
    <n v="44"/>
    <n v="42.24"/>
    <n v="0"/>
    <n v="0"/>
    <n v="0"/>
    <n v="0"/>
    <n v="1"/>
    <s v="CATIVO"/>
    <n v="0"/>
    <n v="10"/>
    <n v="0"/>
    <n v="0"/>
    <n v="34.08"/>
    <n v="0"/>
    <n v="0"/>
    <n v="46.559537342020157"/>
    <m/>
    <m/>
    <n v="59.980799999999931"/>
    <n v="0"/>
    <n v="81.944785721955384"/>
    <n v="0"/>
    <x v="1"/>
  </r>
  <r>
    <s v="Regular"/>
    <x v="0"/>
    <x v="0"/>
    <x v="1"/>
    <x v="0"/>
    <x v="1"/>
    <x v="0"/>
    <x v="1"/>
    <x v="4"/>
    <n v="99"/>
    <n v="95.04"/>
    <n v="0"/>
    <n v="0"/>
    <n v="0"/>
    <n v="0"/>
    <n v="1"/>
    <s v="CATIVO"/>
    <n v="0"/>
    <n v="10"/>
    <n v="0"/>
    <n v="0"/>
    <n v="34.08"/>
    <n v="0"/>
    <n v="0"/>
    <n v="46.559537342020157"/>
    <m/>
    <m/>
    <n v="134.95679999999979"/>
    <n v="0"/>
    <n v="184.37576787439954"/>
    <n v="0"/>
    <x v="1"/>
  </r>
  <r>
    <s v="Regular"/>
    <x v="0"/>
    <x v="0"/>
    <x v="1"/>
    <x v="0"/>
    <x v="1"/>
    <x v="0"/>
    <x v="1"/>
    <x v="5"/>
    <n v="190"/>
    <n v="182.4"/>
    <n v="0"/>
    <n v="0"/>
    <n v="0"/>
    <n v="0"/>
    <n v="1"/>
    <s v="CATIVO"/>
    <n v="0"/>
    <n v="10"/>
    <n v="0"/>
    <n v="0"/>
    <n v="34.08"/>
    <n v="0"/>
    <n v="0"/>
    <n v="46.559537342020157"/>
    <m/>
    <m/>
    <n v="259.00799999999981"/>
    <n v="0"/>
    <n v="353.85248379935291"/>
    <n v="0"/>
    <x v="1"/>
  </r>
  <r>
    <s v="Regular"/>
    <x v="0"/>
    <x v="0"/>
    <x v="1"/>
    <x v="0"/>
    <x v="1"/>
    <x v="0"/>
    <x v="1"/>
    <x v="6"/>
    <n v="204"/>
    <n v="195.84"/>
    <n v="0"/>
    <n v="0"/>
    <n v="0"/>
    <n v="0"/>
    <n v="1"/>
    <s v="CATIVO"/>
    <n v="0"/>
    <n v="10"/>
    <n v="0"/>
    <n v="0"/>
    <n v="34.08"/>
    <n v="0"/>
    <n v="0"/>
    <n v="46.559537342020157"/>
    <m/>
    <m/>
    <n v="278.0927999999999"/>
    <n v="0"/>
    <n v="379.92582471088434"/>
    <n v="0"/>
    <x v="1"/>
  </r>
  <r>
    <s v="Regular"/>
    <x v="0"/>
    <x v="0"/>
    <x v="1"/>
    <x v="0"/>
    <x v="1"/>
    <x v="0"/>
    <x v="1"/>
    <x v="7"/>
    <n v="198"/>
    <n v="190.08"/>
    <n v="0"/>
    <n v="0"/>
    <n v="0"/>
    <n v="0"/>
    <n v="1"/>
    <s v="CATIVO"/>
    <n v="0"/>
    <n v="10"/>
    <n v="0"/>
    <n v="0"/>
    <n v="34.08"/>
    <n v="0"/>
    <n v="0"/>
    <n v="46.559537342020157"/>
    <m/>
    <m/>
    <n v="269.91359999999958"/>
    <n v="0"/>
    <n v="368.75153574879909"/>
    <n v="0"/>
    <x v="1"/>
  </r>
  <r>
    <s v="Regular"/>
    <x v="0"/>
    <x v="0"/>
    <x v="1"/>
    <x v="0"/>
    <x v="1"/>
    <x v="0"/>
    <x v="1"/>
    <x v="8"/>
    <n v="193"/>
    <n v="185.28"/>
    <n v="0"/>
    <n v="0"/>
    <n v="0"/>
    <n v="0"/>
    <n v="1"/>
    <s v="CATIVO"/>
    <n v="0"/>
    <n v="10"/>
    <n v="0"/>
    <n v="0"/>
    <n v="34.08"/>
    <n v="0"/>
    <n v="0"/>
    <n v="46.559537342020157"/>
    <m/>
    <m/>
    <n v="263.09759999999994"/>
    <n v="0"/>
    <n v="359.43962828039554"/>
    <n v="0"/>
    <x v="1"/>
  </r>
  <r>
    <s v="Regular"/>
    <x v="0"/>
    <x v="0"/>
    <x v="1"/>
    <x v="0"/>
    <x v="1"/>
    <x v="0"/>
    <x v="1"/>
    <x v="9"/>
    <n v="196"/>
    <n v="188.16"/>
    <n v="0"/>
    <n v="0"/>
    <n v="0"/>
    <n v="0"/>
    <n v="1"/>
    <s v="CATIVO"/>
    <n v="0"/>
    <n v="10"/>
    <n v="0"/>
    <n v="0"/>
    <n v="34.08"/>
    <n v="0"/>
    <n v="0"/>
    <n v="46.559537342020157"/>
    <m/>
    <m/>
    <n v="267.18720000000008"/>
    <n v="0"/>
    <n v="365.02677276143817"/>
    <n v="0"/>
    <x v="1"/>
  </r>
  <r>
    <s v="Regular"/>
    <x v="0"/>
    <x v="0"/>
    <x v="1"/>
    <x v="0"/>
    <x v="1"/>
    <x v="0"/>
    <x v="1"/>
    <x v="10"/>
    <n v="20"/>
    <n v="19.2"/>
    <n v="0"/>
    <n v="0"/>
    <n v="0"/>
    <n v="0"/>
    <n v="1"/>
    <s v="CATIVO"/>
    <n v="0"/>
    <n v="10"/>
    <n v="0"/>
    <n v="0"/>
    <n v="34.08"/>
    <n v="0"/>
    <n v="0"/>
    <n v="46.559537342020157"/>
    <m/>
    <m/>
    <n v="27.264000000000024"/>
    <n v="0"/>
    <n v="37.247629873616155"/>
    <n v="0"/>
    <x v="1"/>
  </r>
  <r>
    <s v="Regular"/>
    <x v="0"/>
    <x v="0"/>
    <x v="1"/>
    <x v="0"/>
    <x v="1"/>
    <x v="0"/>
    <x v="1"/>
    <x v="11"/>
    <n v="198"/>
    <n v="190.08"/>
    <n v="0"/>
    <n v="0"/>
    <n v="0"/>
    <n v="0"/>
    <n v="1"/>
    <s v="CATIVO"/>
    <n v="0"/>
    <n v="10"/>
    <n v="0"/>
    <n v="0"/>
    <n v="34.08"/>
    <n v="0"/>
    <n v="0"/>
    <n v="46.559537342020157"/>
    <m/>
    <m/>
    <n v="269.91359999999958"/>
    <n v="0"/>
    <n v="368.75153574879909"/>
    <n v="0"/>
    <x v="1"/>
  </r>
  <r>
    <s v="Regular"/>
    <x v="0"/>
    <x v="0"/>
    <x v="1"/>
    <x v="0"/>
    <x v="1"/>
    <x v="0"/>
    <x v="2"/>
    <x v="0"/>
    <n v="0"/>
    <n v="0"/>
    <n v="0.20100000000000001"/>
    <n v="0.19295999999999999"/>
    <n v="0.20100000000000001"/>
    <n v="0.19295999999999999"/>
    <n v="0"/>
    <s v="CATIVO"/>
    <n v="0"/>
    <n v="0"/>
    <n v="23"/>
    <n v="25"/>
    <n v="0"/>
    <n v="2545.94"/>
    <n v="223.07"/>
    <m/>
    <n v="3640.0032141838496"/>
    <n v="133.74179569551256"/>
    <n v="0"/>
    <n v="22.262840400000051"/>
    <n v="0"/>
    <n v="30.340909879430146"/>
    <x v="1"/>
  </r>
  <r>
    <s v="Regular"/>
    <x v="0"/>
    <x v="0"/>
    <x v="1"/>
    <x v="0"/>
    <x v="1"/>
    <x v="0"/>
    <x v="2"/>
    <x v="1"/>
    <n v="0"/>
    <n v="0"/>
    <n v="0.20799999999999999"/>
    <n v="0.19968"/>
    <n v="0.20799999999999999"/>
    <n v="0.19968"/>
    <n v="0"/>
    <s v="CATIVO"/>
    <n v="0"/>
    <n v="0"/>
    <n v="23"/>
    <n v="25"/>
    <n v="0"/>
    <n v="2545.94"/>
    <n v="223.07"/>
    <m/>
    <n v="3640.0032141838496"/>
    <n v="133.74179569551256"/>
    <n v="0"/>
    <n v="23.038163199999985"/>
    <n v="0"/>
    <n v="31.397558482196271"/>
    <x v="1"/>
  </r>
  <r>
    <s v="Regular"/>
    <x v="0"/>
    <x v="0"/>
    <x v="1"/>
    <x v="0"/>
    <x v="1"/>
    <x v="0"/>
    <x v="2"/>
    <x v="2"/>
    <n v="0"/>
    <n v="0"/>
    <n v="0.245"/>
    <n v="0.23519999999999999"/>
    <n v="0.245"/>
    <n v="0.23519999999999999"/>
    <n v="0"/>
    <s v="CATIVO"/>
    <n v="0"/>
    <n v="0"/>
    <n v="23"/>
    <n v="25"/>
    <n v="0"/>
    <n v="2545.94"/>
    <n v="223.07"/>
    <m/>
    <n v="3640.0032141838496"/>
    <n v="133.74179569551256"/>
    <n v="0"/>
    <n v="27.136298000000007"/>
    <n v="0"/>
    <n v="36.982701096817763"/>
    <x v="1"/>
  </r>
  <r>
    <s v="Regular"/>
    <x v="0"/>
    <x v="0"/>
    <x v="1"/>
    <x v="0"/>
    <x v="1"/>
    <x v="0"/>
    <x v="2"/>
    <x v="3"/>
    <n v="0"/>
    <n v="0"/>
    <n v="0.20300000000000001"/>
    <n v="0.19488"/>
    <n v="0.20300000000000001"/>
    <n v="0.19488"/>
    <n v="0"/>
    <s v="CATIVO"/>
    <n v="0"/>
    <n v="0"/>
    <n v="23"/>
    <n v="25"/>
    <n v="0"/>
    <n v="2545.94"/>
    <n v="223.07"/>
    <m/>
    <n v="3640.0032141838496"/>
    <n v="133.74179569551256"/>
    <n v="0"/>
    <n v="22.484361200000045"/>
    <n v="0"/>
    <n v="30.642809480220482"/>
    <x v="1"/>
  </r>
  <r>
    <s v="Regular"/>
    <x v="0"/>
    <x v="0"/>
    <x v="1"/>
    <x v="0"/>
    <x v="1"/>
    <x v="0"/>
    <x v="2"/>
    <x v="4"/>
    <n v="0"/>
    <n v="0"/>
    <n v="0.16"/>
    <n v="0.15359999999999999"/>
    <n v="0.16"/>
    <n v="0.15359999999999999"/>
    <n v="0"/>
    <s v="CATIVO"/>
    <n v="0"/>
    <n v="0"/>
    <n v="23"/>
    <n v="25"/>
    <n v="0"/>
    <n v="2545.94"/>
    <n v="223.07"/>
    <m/>
    <n v="3640.0032141838496"/>
    <n v="133.74179569551256"/>
    <n v="0"/>
    <n v="17.721664000000047"/>
    <n v="0"/>
    <n v="24.151968063227979"/>
    <x v="1"/>
  </r>
  <r>
    <s v="Regular"/>
    <x v="0"/>
    <x v="0"/>
    <x v="1"/>
    <x v="0"/>
    <x v="1"/>
    <x v="0"/>
    <x v="2"/>
    <x v="5"/>
    <n v="0"/>
    <n v="0"/>
    <n v="0.64700000000000002"/>
    <n v="0.62112000000000001"/>
    <n v="0.64700000000000002"/>
    <n v="0.62112000000000001"/>
    <n v="0"/>
    <s v="CATIVO"/>
    <n v="0"/>
    <n v="0"/>
    <n v="23"/>
    <n v="25"/>
    <n v="0"/>
    <n v="2545.94"/>
    <n v="223.07"/>
    <m/>
    <n v="3640.0032141838496"/>
    <n v="133.74179569551256"/>
    <n v="0"/>
    <n v="71.661978800000043"/>
    <n v="0"/>
    <n v="97.664520855677949"/>
    <x v="1"/>
  </r>
  <r>
    <s v="Regular"/>
    <x v="0"/>
    <x v="0"/>
    <x v="1"/>
    <x v="0"/>
    <x v="1"/>
    <x v="0"/>
    <x v="2"/>
    <x v="6"/>
    <n v="0"/>
    <n v="0"/>
    <n v="0.501"/>
    <n v="0.48096"/>
    <n v="0.501"/>
    <n v="0.48096"/>
    <n v="0"/>
    <s v="CATIVO"/>
    <n v="0"/>
    <n v="0"/>
    <n v="23"/>
    <n v="25"/>
    <n v="0"/>
    <n v="2545.94"/>
    <n v="223.07"/>
    <m/>
    <n v="3640.0032141838496"/>
    <n v="133.74179569551256"/>
    <n v="0"/>
    <n v="55.490960400000006"/>
    <n v="0"/>
    <n v="75.625849997982428"/>
    <x v="1"/>
  </r>
  <r>
    <s v="Regular"/>
    <x v="0"/>
    <x v="0"/>
    <x v="1"/>
    <x v="0"/>
    <x v="1"/>
    <x v="0"/>
    <x v="2"/>
    <x v="7"/>
    <n v="0"/>
    <n v="0"/>
    <n v="0.442"/>
    <n v="0.42431999999999997"/>
    <n v="0.442"/>
    <n v="0.42431999999999997"/>
    <n v="0"/>
    <s v="CATIVO"/>
    <n v="0"/>
    <n v="0"/>
    <n v="23"/>
    <n v="25"/>
    <n v="0"/>
    <n v="2545.94"/>
    <n v="223.07"/>
    <m/>
    <n v="3640.0032141838496"/>
    <n v="133.74179569551256"/>
    <n v="0"/>
    <n v="48.956096800000083"/>
    <n v="0"/>
    <n v="66.719811774667235"/>
    <x v="1"/>
  </r>
  <r>
    <s v="Regular"/>
    <x v="0"/>
    <x v="0"/>
    <x v="1"/>
    <x v="0"/>
    <x v="1"/>
    <x v="0"/>
    <x v="2"/>
    <x v="8"/>
    <n v="0"/>
    <n v="0"/>
    <n v="0.17"/>
    <n v="0.16320000000000001"/>
    <n v="0.17"/>
    <n v="0.16320000000000001"/>
    <n v="0"/>
    <s v="CATIVO"/>
    <n v="0"/>
    <n v="0"/>
    <n v="23"/>
    <n v="25"/>
    <n v="0"/>
    <n v="2545.94"/>
    <n v="223.07"/>
    <m/>
    <n v="3640.0032141838496"/>
    <n v="133.74179569551256"/>
    <n v="0"/>
    <n v="18.829268000000003"/>
    <n v="0"/>
    <n v="25.661466067179667"/>
    <x v="1"/>
  </r>
  <r>
    <s v="Regular"/>
    <x v="0"/>
    <x v="0"/>
    <x v="1"/>
    <x v="0"/>
    <x v="1"/>
    <x v="0"/>
    <x v="2"/>
    <x v="9"/>
    <n v="0"/>
    <n v="0"/>
    <n v="0.159"/>
    <n v="0.15264"/>
    <n v="0.159"/>
    <n v="0.15264"/>
    <n v="0"/>
    <s v="CATIVO"/>
    <n v="0"/>
    <n v="0"/>
    <n v="23"/>
    <n v="25"/>
    <n v="0"/>
    <n v="2545.94"/>
    <n v="223.07"/>
    <m/>
    <n v="3640.0032141838496"/>
    <n v="133.74179569551256"/>
    <n v="0"/>
    <n v="17.610903600000011"/>
    <n v="0"/>
    <n v="24.001018262832758"/>
    <x v="1"/>
  </r>
  <r>
    <s v="Regular"/>
    <x v="0"/>
    <x v="0"/>
    <x v="1"/>
    <x v="0"/>
    <x v="1"/>
    <x v="0"/>
    <x v="2"/>
    <x v="10"/>
    <n v="0"/>
    <n v="0"/>
    <n v="0.14599999999999999"/>
    <n v="0.14016000000000001"/>
    <n v="0.14599999999999999"/>
    <n v="0.14016000000000001"/>
    <n v="0"/>
    <s v="CATIVO"/>
    <n v="0"/>
    <n v="0"/>
    <n v="23"/>
    <n v="25"/>
    <n v="0"/>
    <n v="2545.94"/>
    <n v="223.07"/>
    <m/>
    <n v="3640.0032141838496"/>
    <n v="133.74179569551256"/>
    <n v="0"/>
    <n v="16.171018399999955"/>
    <n v="0"/>
    <n v="22.038670857695415"/>
    <x v="1"/>
  </r>
  <r>
    <s v="Regular"/>
    <x v="0"/>
    <x v="0"/>
    <x v="1"/>
    <x v="0"/>
    <x v="1"/>
    <x v="0"/>
    <x v="2"/>
    <x v="11"/>
    <n v="0"/>
    <n v="0"/>
    <n v="0.14099999999999999"/>
    <n v="0.13536000000000001"/>
    <n v="0.14099999999999999"/>
    <n v="0.13536000000000001"/>
    <n v="0"/>
    <s v="CATIVO"/>
    <n v="0"/>
    <n v="0"/>
    <n v="23"/>
    <n v="25"/>
    <n v="0"/>
    <n v="2545.94"/>
    <n v="223.07"/>
    <m/>
    <n v="3640.0032141838496"/>
    <n v="133.74179569551256"/>
    <n v="0"/>
    <n v="15.61721639999994"/>
    <n v="0"/>
    <n v="21.283921855719523"/>
    <x v="1"/>
  </r>
  <r>
    <s v="Regular"/>
    <x v="0"/>
    <x v="0"/>
    <x v="2"/>
    <x v="1"/>
    <x v="1"/>
    <x v="0"/>
    <x v="0"/>
    <x v="0"/>
    <n v="0"/>
    <n v="0"/>
    <n v="138.11699999999999"/>
    <n v="129.82998000000001"/>
    <n v="138.11699999999999"/>
    <n v="129.82998000000001"/>
    <n v="0"/>
    <s v="CATIVO"/>
    <n v="0"/>
    <n v="0"/>
    <n v="6"/>
    <n v="50"/>
    <n v="0"/>
    <n v="67.489999999999995"/>
    <n v="223.07"/>
    <m/>
    <n v="94.544461461160509"/>
    <n v="133.74179569551256"/>
    <n v="0"/>
    <n v="2407.876531199995"/>
    <n v="0"/>
    <n v="1891.8127787824892"/>
    <x v="2"/>
  </r>
  <r>
    <s v="Regular"/>
    <x v="0"/>
    <x v="0"/>
    <x v="2"/>
    <x v="1"/>
    <x v="1"/>
    <x v="0"/>
    <x v="0"/>
    <x v="1"/>
    <n v="0"/>
    <n v="0"/>
    <n v="152.06100000000001"/>
    <n v="142.93734000000001"/>
    <n v="152.06100000000001"/>
    <n v="142.93734000000001"/>
    <n v="0"/>
    <s v="CATIVO"/>
    <n v="0"/>
    <n v="0"/>
    <n v="6"/>
    <n v="50"/>
    <n v="0"/>
    <n v="67.489999999999995"/>
    <n v="223.07"/>
    <m/>
    <n v="94.544461461160509"/>
    <n v="133.74179569551256"/>
    <n v="0"/>
    <n v="2650.9706496000003"/>
    <n v="0"/>
    <n v="2082.8061929700521"/>
    <x v="2"/>
  </r>
  <r>
    <s v="Regular"/>
    <x v="0"/>
    <x v="0"/>
    <x v="2"/>
    <x v="1"/>
    <x v="1"/>
    <x v="0"/>
    <x v="0"/>
    <x v="2"/>
    <n v="0"/>
    <n v="0"/>
    <n v="155.066"/>
    <n v="145.76204000000001"/>
    <n v="155.066"/>
    <n v="145.76204000000001"/>
    <n v="0"/>
    <s v="CATIVO"/>
    <n v="0"/>
    <n v="0"/>
    <n v="6"/>
    <n v="50"/>
    <n v="0"/>
    <n v="67.489999999999995"/>
    <n v="223.07"/>
    <m/>
    <n v="94.544461461160509"/>
    <n v="133.74179569551256"/>
    <n v="0"/>
    <n v="2703.3586175999967"/>
    <n v="0"/>
    <n v="2123.9662051353976"/>
    <x v="2"/>
  </r>
  <r>
    <s v="Regular"/>
    <x v="0"/>
    <x v="0"/>
    <x v="2"/>
    <x v="1"/>
    <x v="1"/>
    <x v="0"/>
    <x v="0"/>
    <x v="3"/>
    <n v="0"/>
    <n v="0"/>
    <n v="180.202"/>
    <n v="169.38988000000001"/>
    <n v="180.202"/>
    <n v="169.38988000000001"/>
    <n v="0"/>
    <s v="CATIVO"/>
    <n v="0"/>
    <n v="0"/>
    <n v="6"/>
    <n v="50"/>
    <n v="0"/>
    <n v="67.489999999999995"/>
    <n v="223.07"/>
    <m/>
    <n v="94.544461461160509"/>
    <n v="133.74179569551256"/>
    <n v="0"/>
    <n v="3141.5695871999978"/>
    <n v="0"/>
    <n v="2468.2584067288062"/>
    <x v="2"/>
  </r>
  <r>
    <s v="Regular"/>
    <x v="0"/>
    <x v="0"/>
    <x v="2"/>
    <x v="1"/>
    <x v="1"/>
    <x v="0"/>
    <x v="0"/>
    <x v="4"/>
    <n v="0"/>
    <n v="0"/>
    <n v="222.1"/>
    <n v="208.774"/>
    <n v="222.1"/>
    <n v="208.774"/>
    <n v="0"/>
    <s v="CATIVO"/>
    <n v="0"/>
    <n v="0"/>
    <n v="6"/>
    <n v="50"/>
    <n v="0"/>
    <n v="67.489999999999995"/>
    <n v="223.07"/>
    <m/>
    <n v="94.544461461160509"/>
    <n v="133.74179569551256"/>
    <n v="0"/>
    <n v="3872.0025599999981"/>
    <n v="0"/>
    <n v="3042.1426628698237"/>
    <x v="2"/>
  </r>
  <r>
    <s v="Regular"/>
    <x v="0"/>
    <x v="0"/>
    <x v="2"/>
    <x v="1"/>
    <x v="1"/>
    <x v="0"/>
    <x v="0"/>
    <x v="5"/>
    <n v="0"/>
    <n v="0"/>
    <n v="190.614"/>
    <n v="179.17715999999999"/>
    <n v="190.614"/>
    <n v="179.17715999999999"/>
    <n v="0"/>
    <s v="CATIVO"/>
    <n v="0"/>
    <n v="0"/>
    <n v="6"/>
    <n v="50"/>
    <n v="0"/>
    <n v="67.489999999999995"/>
    <n v="223.07"/>
    <m/>
    <n v="94.544461461160509"/>
    <n v="133.74179569551256"/>
    <n v="0"/>
    <n v="3323.0882304000052"/>
    <n v="0"/>
    <n v="2610.8733972997288"/>
    <x v="2"/>
  </r>
  <r>
    <s v="Regular"/>
    <x v="0"/>
    <x v="0"/>
    <x v="2"/>
    <x v="1"/>
    <x v="1"/>
    <x v="0"/>
    <x v="0"/>
    <x v="6"/>
    <n v="0"/>
    <n v="0"/>
    <n v="182.78899999999999"/>
    <n v="171.82166000000001"/>
    <n v="182.78899999999999"/>
    <n v="171.82166000000001"/>
    <n v="0"/>
    <s v="CATIVO"/>
    <n v="0"/>
    <n v="0"/>
    <n v="6"/>
    <n v="50"/>
    <n v="0"/>
    <n v="67.489999999999995"/>
    <n v="223.07"/>
    <m/>
    <n v="94.544461461160509"/>
    <n v="133.74179569551256"/>
    <n v="0"/>
    <n v="3186.6703103999935"/>
    <n v="0"/>
    <n v="2503.6929995646619"/>
    <x v="2"/>
  </r>
  <r>
    <s v="Regular"/>
    <x v="0"/>
    <x v="0"/>
    <x v="2"/>
    <x v="1"/>
    <x v="1"/>
    <x v="0"/>
    <x v="0"/>
    <x v="7"/>
    <n v="0"/>
    <n v="0"/>
    <n v="182.22300000000001"/>
    <n v="171.28962000000001"/>
    <n v="182.22300000000001"/>
    <n v="171.28962000000001"/>
    <n v="0"/>
    <s v="CATIVO"/>
    <n v="0"/>
    <n v="0"/>
    <n v="6"/>
    <n v="50"/>
    <n v="0"/>
    <n v="67.489999999999995"/>
    <n v="223.07"/>
    <m/>
    <n v="94.544461461160509"/>
    <n v="133.74179569551256"/>
    <n v="0"/>
    <n v="3176.8028927999999"/>
    <n v="0"/>
    <n v="2495.9403982716262"/>
    <x v="2"/>
  </r>
  <r>
    <s v="Regular"/>
    <x v="0"/>
    <x v="0"/>
    <x v="2"/>
    <x v="1"/>
    <x v="1"/>
    <x v="0"/>
    <x v="0"/>
    <x v="8"/>
    <n v="0"/>
    <n v="0"/>
    <n v="172.721"/>
    <n v="162.35774000000001"/>
    <n v="172.721"/>
    <n v="162.35774000000001"/>
    <n v="0"/>
    <s v="CATIVO"/>
    <n v="0"/>
    <n v="0"/>
    <n v="6"/>
    <n v="50"/>
    <n v="0"/>
    <n v="67.489999999999995"/>
    <n v="223.07"/>
    <m/>
    <n v="94.544461461160509"/>
    <n v="133.74179569551256"/>
    <n v="0"/>
    <n v="3011.1488255999989"/>
    <n v="0"/>
    <n v="2365.7898373414632"/>
    <x v="2"/>
  </r>
  <r>
    <s v="Regular"/>
    <x v="0"/>
    <x v="0"/>
    <x v="2"/>
    <x v="1"/>
    <x v="1"/>
    <x v="0"/>
    <x v="0"/>
    <x v="9"/>
    <n v="0"/>
    <n v="0"/>
    <n v="150.96"/>
    <n v="141.9024"/>
    <n v="150.96"/>
    <n v="141.9024"/>
    <n v="0"/>
    <s v="CATIVO"/>
    <n v="0"/>
    <n v="0"/>
    <n v="6"/>
    <n v="50"/>
    <n v="0"/>
    <n v="67.489999999999995"/>
    <n v="223.07"/>
    <m/>
    <n v="94.544461461160509"/>
    <n v="133.74179569551256"/>
    <n v="0"/>
    <n v="2631.7762560000019"/>
    <n v="0"/>
    <n v="2067.7256028222837"/>
    <x v="2"/>
  </r>
  <r>
    <s v="Regular"/>
    <x v="0"/>
    <x v="0"/>
    <x v="2"/>
    <x v="1"/>
    <x v="1"/>
    <x v="0"/>
    <x v="0"/>
    <x v="10"/>
    <n v="0"/>
    <n v="0"/>
    <n v="167.42699999999999"/>
    <n v="157.38138000000001"/>
    <n v="167.42699999999999"/>
    <n v="157.38138000000001"/>
    <n v="0"/>
    <s v="CATIVO"/>
    <n v="0"/>
    <n v="0"/>
    <n v="6"/>
    <n v="50"/>
    <n v="0"/>
    <n v="67.489999999999995"/>
    <n v="223.07"/>
    <m/>
    <n v="94.544461461160509"/>
    <n v="133.74179569551256"/>
    <n v="0"/>
    <n v="2918.8553471999958"/>
    <n v="0"/>
    <n v="2293.2769906182148"/>
    <x v="2"/>
  </r>
  <r>
    <s v="Regular"/>
    <x v="0"/>
    <x v="0"/>
    <x v="2"/>
    <x v="1"/>
    <x v="1"/>
    <x v="0"/>
    <x v="0"/>
    <x v="11"/>
    <n v="0"/>
    <n v="0"/>
    <n v="161.76599999999999"/>
    <n v="152.06003999999999"/>
    <n v="161.76599999999999"/>
    <n v="152.06003999999999"/>
    <n v="0"/>
    <s v="CATIVO"/>
    <n v="0"/>
    <n v="0"/>
    <n v="6"/>
    <n v="50"/>
    <n v="0"/>
    <n v="67.489999999999995"/>
    <n v="223.07"/>
    <m/>
    <n v="94.544461461160509"/>
    <n v="133.74179569551256"/>
    <n v="0"/>
    <n v="2820.1637376000008"/>
    <n v="0"/>
    <n v="2215.7372805123837"/>
    <x v="2"/>
  </r>
  <r>
    <s v="Regular"/>
    <x v="0"/>
    <x v="0"/>
    <x v="2"/>
    <x v="1"/>
    <x v="1"/>
    <x v="0"/>
    <x v="1"/>
    <x v="0"/>
    <n v="325"/>
    <n v="276.25"/>
    <n v="0"/>
    <n v="0"/>
    <n v="0"/>
    <n v="0"/>
    <n v="2"/>
    <s v="CATIVO"/>
    <n v="0"/>
    <n v="10"/>
    <n v="0"/>
    <n v="0"/>
    <n v="34.08"/>
    <n v="0"/>
    <n v="0"/>
    <n v="46.559537342020157"/>
    <m/>
    <m/>
    <n v="1661.3999999999999"/>
    <n v="0"/>
    <n v="2269.7774454234827"/>
    <n v="0"/>
    <x v="2"/>
  </r>
  <r>
    <s v="Regular"/>
    <x v="0"/>
    <x v="0"/>
    <x v="2"/>
    <x v="1"/>
    <x v="1"/>
    <x v="0"/>
    <x v="1"/>
    <x v="1"/>
    <n v="333"/>
    <n v="283.05"/>
    <n v="0"/>
    <n v="0"/>
    <n v="0"/>
    <n v="0"/>
    <n v="2"/>
    <s v="CATIVO"/>
    <n v="0"/>
    <n v="10"/>
    <n v="0"/>
    <n v="0"/>
    <n v="34.08"/>
    <n v="0"/>
    <n v="0"/>
    <n v="46.559537342020157"/>
    <m/>
    <m/>
    <n v="1702.2959999999996"/>
    <n v="0"/>
    <n v="2325.6488902339065"/>
    <n v="0"/>
    <x v="2"/>
  </r>
  <r>
    <s v="Regular"/>
    <x v="0"/>
    <x v="0"/>
    <x v="2"/>
    <x v="1"/>
    <x v="1"/>
    <x v="0"/>
    <x v="1"/>
    <x v="2"/>
    <n v="330"/>
    <n v="280.5"/>
    <n v="0"/>
    <n v="0"/>
    <n v="0"/>
    <n v="0"/>
    <n v="2"/>
    <s v="CATIVO"/>
    <n v="0"/>
    <n v="10"/>
    <n v="0"/>
    <n v="0"/>
    <n v="34.08"/>
    <n v="0"/>
    <n v="0"/>
    <n v="46.559537342020157"/>
    <m/>
    <m/>
    <n v="1686.9599999999998"/>
    <n v="0"/>
    <n v="2304.6970984299978"/>
    <n v="0"/>
    <x v="2"/>
  </r>
  <r>
    <s v="Regular"/>
    <x v="0"/>
    <x v="0"/>
    <x v="2"/>
    <x v="1"/>
    <x v="1"/>
    <x v="0"/>
    <x v="1"/>
    <x v="3"/>
    <n v="381"/>
    <n v="323.84999999999997"/>
    <n v="0"/>
    <n v="0"/>
    <n v="0"/>
    <n v="0"/>
    <n v="2"/>
    <s v="CATIVO"/>
    <n v="0"/>
    <n v="10"/>
    <n v="0"/>
    <n v="0"/>
    <n v="34.08"/>
    <n v="0"/>
    <n v="0"/>
    <n v="46.559537342020157"/>
    <m/>
    <m/>
    <n v="1947.6720000000012"/>
    <n v="0"/>
    <n v="2660.8775590964538"/>
    <n v="0"/>
    <x v="2"/>
  </r>
  <r>
    <s v="Regular"/>
    <x v="0"/>
    <x v="0"/>
    <x v="2"/>
    <x v="1"/>
    <x v="1"/>
    <x v="0"/>
    <x v="1"/>
    <x v="4"/>
    <n v="381"/>
    <n v="323.84999999999997"/>
    <n v="0"/>
    <n v="0"/>
    <n v="0"/>
    <n v="0"/>
    <n v="2"/>
    <s v="CATIVO"/>
    <n v="0"/>
    <n v="10"/>
    <n v="0"/>
    <n v="0"/>
    <n v="34.08"/>
    <n v="0"/>
    <n v="0"/>
    <n v="46.559537342020157"/>
    <m/>
    <m/>
    <n v="1947.6720000000012"/>
    <n v="0"/>
    <n v="2660.8775590964538"/>
    <n v="0"/>
    <x v="2"/>
  </r>
  <r>
    <s v="Regular"/>
    <x v="0"/>
    <x v="0"/>
    <x v="2"/>
    <x v="1"/>
    <x v="1"/>
    <x v="0"/>
    <x v="1"/>
    <x v="5"/>
    <n v="392"/>
    <n v="333.2"/>
    <n v="0"/>
    <n v="0"/>
    <n v="0"/>
    <n v="0"/>
    <n v="2"/>
    <s v="CATIVO"/>
    <n v="0"/>
    <n v="10"/>
    <n v="0"/>
    <n v="0"/>
    <n v="34.08"/>
    <n v="0"/>
    <n v="0"/>
    <n v="46.559537342020157"/>
    <m/>
    <m/>
    <n v="2003.9040000000002"/>
    <n v="0"/>
    <n v="2737.7007957107858"/>
    <n v="0"/>
    <x v="2"/>
  </r>
  <r>
    <s v="Regular"/>
    <x v="0"/>
    <x v="0"/>
    <x v="2"/>
    <x v="1"/>
    <x v="1"/>
    <x v="0"/>
    <x v="1"/>
    <x v="6"/>
    <n v="379"/>
    <n v="322.14999999999998"/>
    <n v="0"/>
    <n v="0"/>
    <n v="0"/>
    <n v="0"/>
    <n v="2"/>
    <s v="CATIVO"/>
    <n v="0"/>
    <n v="10"/>
    <n v="0"/>
    <n v="0"/>
    <n v="34.08"/>
    <n v="0"/>
    <n v="0"/>
    <n v="46.559537342020157"/>
    <m/>
    <m/>
    <n v="1937.4480000000008"/>
    <n v="0"/>
    <n v="2646.9096978938469"/>
    <n v="0"/>
    <x v="2"/>
  </r>
  <r>
    <s v="Regular"/>
    <x v="0"/>
    <x v="0"/>
    <x v="2"/>
    <x v="1"/>
    <x v="1"/>
    <x v="0"/>
    <x v="1"/>
    <x v="7"/>
    <n v="374"/>
    <n v="317.89999999999998"/>
    <n v="0"/>
    <n v="0"/>
    <n v="0"/>
    <n v="0"/>
    <n v="2"/>
    <s v="CATIVO"/>
    <n v="0"/>
    <n v="10"/>
    <n v="0"/>
    <n v="0"/>
    <n v="34.08"/>
    <n v="0"/>
    <n v="0"/>
    <n v="46.559537342020157"/>
    <m/>
    <m/>
    <n v="1911.8880000000006"/>
    <n v="0"/>
    <n v="2611.9900448873318"/>
    <n v="0"/>
    <x v="2"/>
  </r>
  <r>
    <s v="Regular"/>
    <x v="0"/>
    <x v="0"/>
    <x v="2"/>
    <x v="1"/>
    <x v="1"/>
    <x v="0"/>
    <x v="1"/>
    <x v="8"/>
    <n v="382"/>
    <n v="324.7"/>
    <n v="0"/>
    <n v="0"/>
    <n v="0"/>
    <n v="0"/>
    <n v="2"/>
    <s v="CATIVO"/>
    <n v="0"/>
    <n v="10"/>
    <n v="0"/>
    <n v="0"/>
    <n v="34.08"/>
    <n v="0"/>
    <n v="0"/>
    <n v="46.559537342020157"/>
    <m/>
    <m/>
    <n v="1952.7840000000003"/>
    <n v="0"/>
    <n v="2667.8614896977556"/>
    <n v="0"/>
    <x v="2"/>
  </r>
  <r>
    <s v="Regular"/>
    <x v="0"/>
    <x v="0"/>
    <x v="2"/>
    <x v="1"/>
    <x v="1"/>
    <x v="0"/>
    <x v="1"/>
    <x v="9"/>
    <n v="365"/>
    <n v="310.25"/>
    <n v="0"/>
    <n v="0"/>
    <n v="0"/>
    <n v="0"/>
    <n v="2"/>
    <s v="CATIVO"/>
    <n v="0"/>
    <n v="10"/>
    <n v="0"/>
    <n v="0"/>
    <n v="34.08"/>
    <n v="0"/>
    <n v="0"/>
    <n v="46.559537342020157"/>
    <m/>
    <m/>
    <n v="1865.8799999999999"/>
    <n v="0"/>
    <n v="2549.1346694756035"/>
    <n v="0"/>
    <x v="2"/>
  </r>
  <r>
    <s v="Regular"/>
    <x v="0"/>
    <x v="0"/>
    <x v="2"/>
    <x v="1"/>
    <x v="1"/>
    <x v="0"/>
    <x v="1"/>
    <x v="10"/>
    <n v="372"/>
    <n v="316.2"/>
    <n v="0"/>
    <n v="0"/>
    <n v="0"/>
    <n v="0"/>
    <n v="2"/>
    <s v="CATIVO"/>
    <n v="0"/>
    <n v="10"/>
    <n v="0"/>
    <n v="0"/>
    <n v="34.08"/>
    <n v="0"/>
    <n v="0"/>
    <n v="46.559537342020157"/>
    <m/>
    <m/>
    <n v="1901.6640000000002"/>
    <n v="0"/>
    <n v="2598.0221836847254"/>
    <n v="0"/>
    <x v="2"/>
  </r>
  <r>
    <s v="Regular"/>
    <x v="0"/>
    <x v="0"/>
    <x v="2"/>
    <x v="1"/>
    <x v="1"/>
    <x v="0"/>
    <x v="1"/>
    <x v="11"/>
    <n v="424"/>
    <n v="360.4"/>
    <n v="0"/>
    <n v="0"/>
    <n v="0"/>
    <n v="0"/>
    <n v="2"/>
    <s v="CATIVO"/>
    <n v="0"/>
    <n v="10"/>
    <n v="0"/>
    <n v="0"/>
    <n v="34.08"/>
    <n v="0"/>
    <n v="0"/>
    <n v="46.559537342020157"/>
    <m/>
    <m/>
    <n v="2167.4880000000007"/>
    <n v="0"/>
    <n v="2961.1865749524832"/>
    <n v="0"/>
    <x v="2"/>
  </r>
  <r>
    <s v="Regular"/>
    <x v="0"/>
    <x v="0"/>
    <x v="2"/>
    <x v="1"/>
    <x v="1"/>
    <x v="0"/>
    <x v="2"/>
    <x v="0"/>
    <n v="0"/>
    <n v="0"/>
    <n v="14.760999999999999"/>
    <n v="13.87534"/>
    <n v="14.760999999999999"/>
    <n v="13.87534"/>
    <n v="0"/>
    <s v="CATIVO"/>
    <n v="0"/>
    <n v="0"/>
    <n v="23"/>
    <n v="25"/>
    <n v="0"/>
    <n v="2545.94"/>
    <n v="223.07"/>
    <m/>
    <n v="3640.0032141838496"/>
    <n v="133.74179569551256"/>
    <n v="0"/>
    <n v="2452.4013965999993"/>
    <n v="0"/>
    <n v="3342.2550054497547"/>
    <x v="2"/>
  </r>
  <r>
    <s v="Regular"/>
    <x v="0"/>
    <x v="0"/>
    <x v="2"/>
    <x v="1"/>
    <x v="1"/>
    <x v="0"/>
    <x v="2"/>
    <x v="1"/>
    <n v="0"/>
    <n v="0"/>
    <n v="15.125"/>
    <n v="14.217499999999999"/>
    <n v="15.125"/>
    <n v="14.217499999999999"/>
    <n v="0"/>
    <s v="CATIVO"/>
    <n v="0"/>
    <n v="0"/>
    <n v="23"/>
    <n v="25"/>
    <n v="0"/>
    <n v="2545.94"/>
    <n v="223.07"/>
    <m/>
    <n v="3640.0032141838496"/>
    <n v="133.74179569551256"/>
    <n v="0"/>
    <n v="2512.8765750000016"/>
    <n v="0"/>
    <n v="3424.6735964655236"/>
    <x v="2"/>
  </r>
  <r>
    <s v="Regular"/>
    <x v="0"/>
    <x v="0"/>
    <x v="2"/>
    <x v="1"/>
    <x v="1"/>
    <x v="0"/>
    <x v="2"/>
    <x v="2"/>
    <n v="0"/>
    <n v="0"/>
    <n v="13.497"/>
    <n v="12.68718"/>
    <n v="13.497"/>
    <n v="12.68718"/>
    <n v="0"/>
    <s v="CATIVO"/>
    <n v="0"/>
    <n v="0"/>
    <n v="23"/>
    <n v="25"/>
    <n v="0"/>
    <n v="2545.94"/>
    <n v="223.07"/>
    <m/>
    <n v="3640.0032141838496"/>
    <n v="133.74179569551256"/>
    <n v="0"/>
    <n v="2242.3996782000008"/>
    <n v="0"/>
    <n v="3056.0541839005059"/>
    <x v="2"/>
  </r>
  <r>
    <s v="Regular"/>
    <x v="0"/>
    <x v="0"/>
    <x v="2"/>
    <x v="1"/>
    <x v="1"/>
    <x v="0"/>
    <x v="2"/>
    <x v="3"/>
    <n v="0"/>
    <n v="0"/>
    <n v="19.161000000000001"/>
    <n v="18.011340000000001"/>
    <n v="19.161000000000001"/>
    <n v="18.011340000000001"/>
    <n v="0"/>
    <s v="CATIVO"/>
    <n v="0"/>
    <n v="0"/>
    <n v="23"/>
    <n v="25"/>
    <n v="0"/>
    <n v="2545.94"/>
    <n v="223.07"/>
    <m/>
    <n v="3640.0032141838496"/>
    <n v="133.74179569551256"/>
    <n v="0"/>
    <n v="3183.4200366000023"/>
    <n v="0"/>
    <n v="4338.5236880579114"/>
    <x v="2"/>
  </r>
  <r>
    <s v="Regular"/>
    <x v="0"/>
    <x v="0"/>
    <x v="2"/>
    <x v="1"/>
    <x v="1"/>
    <x v="0"/>
    <x v="2"/>
    <x v="4"/>
    <n v="0"/>
    <n v="0"/>
    <n v="22.17"/>
    <n v="20.8398"/>
    <n v="22.17"/>
    <n v="20.8398"/>
    <n v="0"/>
    <s v="CATIVO"/>
    <n v="0"/>
    <n v="0"/>
    <n v="23"/>
    <n v="25"/>
    <n v="0"/>
    <n v="2545.94"/>
    <n v="223.07"/>
    <m/>
    <n v="3640.0032141838496"/>
    <n v="133.74179569551256"/>
    <n v="0"/>
    <n v="3683.3371020000036"/>
    <n v="0"/>
    <n v="5019.8356121415327"/>
    <x v="2"/>
  </r>
  <r>
    <s v="Regular"/>
    <x v="0"/>
    <x v="0"/>
    <x v="2"/>
    <x v="1"/>
    <x v="1"/>
    <x v="0"/>
    <x v="2"/>
    <x v="5"/>
    <n v="0"/>
    <n v="0"/>
    <n v="21.122"/>
    <n v="19.854679999999998"/>
    <n v="21.122"/>
    <n v="19.854679999999998"/>
    <n v="0"/>
    <s v="CATIVO"/>
    <n v="0"/>
    <n v="0"/>
    <n v="23"/>
    <n v="25"/>
    <n v="0"/>
    <n v="2545.94"/>
    <n v="223.07"/>
    <m/>
    <n v="3640.0032141838496"/>
    <n v="133.74179569551256"/>
    <n v="0"/>
    <n v="3509.2217532000041"/>
    <n v="0"/>
    <n v="4782.5425259203184"/>
    <x v="2"/>
  </r>
  <r>
    <s v="Regular"/>
    <x v="0"/>
    <x v="0"/>
    <x v="2"/>
    <x v="1"/>
    <x v="1"/>
    <x v="0"/>
    <x v="2"/>
    <x v="6"/>
    <n v="0"/>
    <n v="0"/>
    <n v="19.91"/>
    <n v="18.715399999999999"/>
    <n v="19.91"/>
    <n v="18.715399999999999"/>
    <n v="0"/>
    <s v="CATIVO"/>
    <n v="0"/>
    <n v="0"/>
    <n v="23"/>
    <n v="25"/>
    <n v="0"/>
    <n v="2545.94"/>
    <n v="223.07"/>
    <m/>
    <n v="3640.0032141838496"/>
    <n v="133.74179569551256"/>
    <n v="0"/>
    <n v="3307.8593460000034"/>
    <n v="0"/>
    <n v="4508.1157888018906"/>
    <x v="2"/>
  </r>
  <r>
    <s v="Regular"/>
    <x v="0"/>
    <x v="0"/>
    <x v="2"/>
    <x v="1"/>
    <x v="1"/>
    <x v="0"/>
    <x v="2"/>
    <x v="7"/>
    <n v="0"/>
    <n v="0"/>
    <n v="17.25"/>
    <n v="16.215"/>
    <n v="17.25"/>
    <n v="16.215"/>
    <n v="0"/>
    <s v="CATIVO"/>
    <n v="0"/>
    <n v="0"/>
    <n v="23"/>
    <n v="25"/>
    <n v="0"/>
    <n v="2545.94"/>
    <n v="223.07"/>
    <m/>
    <n v="3640.0032141838496"/>
    <n v="133.74179569551256"/>
    <n v="0"/>
    <n v="2865.9253500000004"/>
    <n v="0"/>
    <n v="3905.8260852251406"/>
    <x v="2"/>
  </r>
  <r>
    <s v="Regular"/>
    <x v="0"/>
    <x v="0"/>
    <x v="2"/>
    <x v="1"/>
    <x v="1"/>
    <x v="0"/>
    <x v="2"/>
    <x v="8"/>
    <n v="0"/>
    <n v="0"/>
    <n v="17.478000000000002"/>
    <n v="16.429320000000001"/>
    <n v="17.478000000000002"/>
    <n v="16.429320000000001"/>
    <n v="0"/>
    <s v="CATIVO"/>
    <n v="0"/>
    <n v="0"/>
    <n v="23"/>
    <n v="25"/>
    <n v="0"/>
    <n v="2545.94"/>
    <n v="223.07"/>
    <m/>
    <n v="3640.0032141838496"/>
    <n v="133.74179569551256"/>
    <n v="0"/>
    <n v="2903.8054068000024"/>
    <n v="0"/>
    <n v="3957.4509169602929"/>
    <x v="2"/>
  </r>
  <r>
    <s v="Regular"/>
    <x v="0"/>
    <x v="0"/>
    <x v="2"/>
    <x v="1"/>
    <x v="1"/>
    <x v="0"/>
    <x v="2"/>
    <x v="9"/>
    <n v="0"/>
    <n v="0"/>
    <n v="16.527000000000001"/>
    <n v="15.53538"/>
    <n v="16.527000000000001"/>
    <n v="15.53538"/>
    <n v="0"/>
    <s v="CATIVO"/>
    <n v="0"/>
    <n v="0"/>
    <n v="23"/>
    <n v="25"/>
    <n v="0"/>
    <n v="2545.94"/>
    <n v="223.07"/>
    <m/>
    <n v="3640.0032141838496"/>
    <n v="133.74179569551256"/>
    <n v="0"/>
    <n v="2745.8056962000028"/>
    <n v="0"/>
    <n v="3742.1210266965772"/>
    <x v="2"/>
  </r>
  <r>
    <s v="Regular"/>
    <x v="0"/>
    <x v="0"/>
    <x v="2"/>
    <x v="1"/>
    <x v="1"/>
    <x v="0"/>
    <x v="2"/>
    <x v="10"/>
    <n v="0"/>
    <n v="0"/>
    <n v="17.495000000000001"/>
    <n v="16.4453"/>
    <n v="17.495000000000001"/>
    <n v="16.4453"/>
    <n v="0"/>
    <s v="CATIVO"/>
    <n v="0"/>
    <n v="0"/>
    <n v="23"/>
    <n v="25"/>
    <n v="0"/>
    <n v="2545.94"/>
    <n v="223.07"/>
    <m/>
    <n v="3640.0032141838496"/>
    <n v="133.74179569551256"/>
    <n v="0"/>
    <n v="2906.6297970000041"/>
    <n v="0"/>
    <n v="3961.3001368703722"/>
    <x v="2"/>
  </r>
  <r>
    <s v="Regular"/>
    <x v="0"/>
    <x v="0"/>
    <x v="2"/>
    <x v="1"/>
    <x v="1"/>
    <x v="0"/>
    <x v="2"/>
    <x v="11"/>
    <n v="0"/>
    <n v="0"/>
    <n v="17.931000000000001"/>
    <n v="16.855139999999999"/>
    <n v="17.931000000000001"/>
    <n v="16.855139999999999"/>
    <n v="0"/>
    <s v="CATIVO"/>
    <n v="0"/>
    <n v="0"/>
    <n v="23"/>
    <n v="25"/>
    <n v="0"/>
    <n v="2545.94"/>
    <n v="223.07"/>
    <m/>
    <n v="3640.0032141838496"/>
    <n v="133.74179569551256"/>
    <n v="0"/>
    <n v="2979.0670986000064"/>
    <n v="0"/>
    <n v="4060.0213063288188"/>
    <x v="2"/>
  </r>
  <r>
    <s v="Regular"/>
    <x v="1"/>
    <x v="1"/>
    <x v="3"/>
    <x v="2"/>
    <x v="1"/>
    <x v="0"/>
    <x v="1"/>
    <x v="0"/>
    <n v="0"/>
    <n v="0"/>
    <n v="2217.5830000000001"/>
    <n v="2217.5830000000001"/>
    <n v="2217.5830000000001"/>
    <n v="2217.5830000000001"/>
    <n v="13311"/>
    <s v="CATIVO"/>
    <n v="0"/>
    <n v="0"/>
    <n v="18"/>
    <n v="42"/>
    <n v="0"/>
    <n v="482.65"/>
    <n v="223.07"/>
    <m/>
    <n v="692.19856331572464"/>
    <n v="133.74179569551256"/>
    <n v="0"/>
    <n v="0"/>
    <n v="0"/>
    <n v="0"/>
    <x v="3"/>
  </r>
  <r>
    <s v="Regular"/>
    <x v="1"/>
    <x v="1"/>
    <x v="3"/>
    <x v="3"/>
    <x v="1"/>
    <x v="0"/>
    <x v="1"/>
    <x v="0"/>
    <n v="0"/>
    <n v="0"/>
    <n v="5.7"/>
    <n v="5.7"/>
    <n v="5.7"/>
    <n v="5.7"/>
    <n v="11"/>
    <s v="CATIVO"/>
    <n v="0"/>
    <n v="0"/>
    <n v="13"/>
    <n v="68"/>
    <n v="0"/>
    <n v="146.74"/>
    <n v="78.069999999999993"/>
    <m/>
    <n v="206.33427093031264"/>
    <n v="46.809628493429393"/>
    <n v="0"/>
    <n v="2379.9209999999998"/>
    <n v="0"/>
    <n v="2679.7089924713268"/>
    <x v="4"/>
  </r>
  <r>
    <s v="Regular"/>
    <x v="1"/>
    <x v="1"/>
    <x v="3"/>
    <x v="3"/>
    <x v="1"/>
    <x v="0"/>
    <x v="1"/>
    <x v="1"/>
    <n v="0"/>
    <n v="0"/>
    <n v="5.7"/>
    <n v="5.7"/>
    <n v="5.7"/>
    <n v="5.7"/>
    <n v="9"/>
    <s v="CATIVO"/>
    <n v="0"/>
    <n v="0"/>
    <n v="13"/>
    <n v="68"/>
    <n v="0"/>
    <n v="146.74"/>
    <n v="78.069999999999993"/>
    <m/>
    <n v="206.33427093031264"/>
    <n v="46.809628493429393"/>
    <n v="0"/>
    <n v="2379.9209999999998"/>
    <n v="0"/>
    <n v="2679.7089924713268"/>
    <x v="4"/>
  </r>
  <r>
    <s v="Regular"/>
    <x v="1"/>
    <x v="1"/>
    <x v="3"/>
    <x v="3"/>
    <x v="1"/>
    <x v="0"/>
    <x v="1"/>
    <x v="2"/>
    <n v="0"/>
    <n v="0"/>
    <n v="5.82"/>
    <n v="5.82"/>
    <n v="5.82"/>
    <n v="5.82"/>
    <n v="6"/>
    <s v="CATIVO"/>
    <n v="0"/>
    <n v="0"/>
    <n v="13"/>
    <n v="68"/>
    <n v="0"/>
    <n v="146.74"/>
    <n v="78.069999999999993"/>
    <m/>
    <n v="206.33427093031264"/>
    <n v="46.809628493429393"/>
    <n v="0"/>
    <n v="2430.0245999999997"/>
    <n v="0"/>
    <n v="2736.123918628618"/>
    <x v="4"/>
  </r>
  <r>
    <s v="Regular"/>
    <x v="1"/>
    <x v="1"/>
    <x v="3"/>
    <x v="3"/>
    <x v="1"/>
    <x v="0"/>
    <x v="1"/>
    <x v="3"/>
    <n v="0"/>
    <n v="0"/>
    <n v="5.79"/>
    <n v="5.79"/>
    <n v="5.79"/>
    <n v="5.79"/>
    <n v="6"/>
    <s v="CATIVO"/>
    <n v="0"/>
    <n v="0"/>
    <n v="13"/>
    <n v="68"/>
    <n v="0"/>
    <n v="146.74"/>
    <n v="78.069999999999993"/>
    <m/>
    <n v="206.33427093031264"/>
    <n v="46.809628493429393"/>
    <n v="0"/>
    <n v="2417.4986999999996"/>
    <n v="0"/>
    <n v="2722.0201870892952"/>
    <x v="4"/>
  </r>
  <r>
    <s v="Regular"/>
    <x v="1"/>
    <x v="1"/>
    <x v="3"/>
    <x v="3"/>
    <x v="1"/>
    <x v="0"/>
    <x v="1"/>
    <x v="4"/>
    <n v="0"/>
    <n v="0"/>
    <n v="5.73"/>
    <n v="5.73"/>
    <n v="5.73"/>
    <n v="5.73"/>
    <n v="4"/>
    <s v="CATIVO"/>
    <n v="0"/>
    <n v="0"/>
    <n v="13"/>
    <n v="68"/>
    <n v="0"/>
    <n v="146.74"/>
    <n v="78.069999999999993"/>
    <m/>
    <n v="206.33427093031264"/>
    <n v="46.809628493429393"/>
    <n v="0"/>
    <n v="2392.4468999999999"/>
    <n v="0"/>
    <n v="2693.8127240106496"/>
    <x v="4"/>
  </r>
  <r>
    <s v="Regular"/>
    <x v="1"/>
    <x v="1"/>
    <x v="3"/>
    <x v="3"/>
    <x v="1"/>
    <x v="0"/>
    <x v="1"/>
    <x v="5"/>
    <n v="0"/>
    <n v="0"/>
    <n v="5.85"/>
    <n v="5.85"/>
    <n v="5.85"/>
    <n v="5.85"/>
    <n v="3"/>
    <s v="CATIVO"/>
    <n v="0"/>
    <n v="0"/>
    <n v="13"/>
    <n v="68"/>
    <n v="0"/>
    <n v="146.74"/>
    <n v="78.069999999999993"/>
    <m/>
    <n v="206.33427093031264"/>
    <n v="46.809628493429393"/>
    <n v="0"/>
    <n v="2442.5504999999994"/>
    <n v="0"/>
    <n v="2750.2276501679403"/>
    <x v="4"/>
  </r>
  <r>
    <s v="Regular"/>
    <x v="1"/>
    <x v="1"/>
    <x v="3"/>
    <x v="3"/>
    <x v="1"/>
    <x v="0"/>
    <x v="1"/>
    <x v="6"/>
    <n v="0"/>
    <n v="0"/>
    <n v="6"/>
    <n v="6"/>
    <n v="6"/>
    <n v="6"/>
    <n v="4"/>
    <s v="CATIVO"/>
    <n v="0"/>
    <n v="0"/>
    <n v="13"/>
    <n v="68"/>
    <n v="0"/>
    <n v="146.74"/>
    <n v="78.069999999999993"/>
    <m/>
    <n v="206.33427093031264"/>
    <n v="46.809628493429393"/>
    <n v="0"/>
    <n v="2505.1799999999994"/>
    <n v="0"/>
    <n v="2820.7463078645542"/>
    <x v="4"/>
  </r>
  <r>
    <s v="Regular"/>
    <x v="1"/>
    <x v="1"/>
    <x v="3"/>
    <x v="3"/>
    <x v="1"/>
    <x v="0"/>
    <x v="1"/>
    <x v="7"/>
    <n v="0"/>
    <n v="0"/>
    <n v="8.82"/>
    <n v="8.82"/>
    <n v="8.82"/>
    <n v="8.82"/>
    <n v="14"/>
    <s v="CATIVO"/>
    <n v="0"/>
    <n v="0"/>
    <n v="13"/>
    <n v="68"/>
    <n v="0"/>
    <n v="146.74"/>
    <n v="78.069999999999993"/>
    <m/>
    <n v="206.33427093031264"/>
    <n v="46.809628493429393"/>
    <n v="0"/>
    <n v="3682.6145999999994"/>
    <n v="0"/>
    <n v="4146.4970725608955"/>
    <x v="4"/>
  </r>
  <r>
    <s v="Regular"/>
    <x v="1"/>
    <x v="1"/>
    <x v="3"/>
    <x v="3"/>
    <x v="1"/>
    <x v="0"/>
    <x v="1"/>
    <x v="8"/>
    <n v="0"/>
    <n v="0"/>
    <n v="8.82"/>
    <n v="8.82"/>
    <n v="8.82"/>
    <n v="8.82"/>
    <n v="11"/>
    <s v="CATIVO"/>
    <n v="0"/>
    <n v="0"/>
    <n v="13"/>
    <n v="68"/>
    <n v="0"/>
    <n v="146.74"/>
    <n v="78.069999999999993"/>
    <m/>
    <n v="206.33427093031264"/>
    <n v="46.809628493429393"/>
    <n v="0"/>
    <n v="3682.6145999999994"/>
    <n v="0"/>
    <n v="4146.4970725608955"/>
    <x v="4"/>
  </r>
  <r>
    <s v="Regular"/>
    <x v="1"/>
    <x v="1"/>
    <x v="3"/>
    <x v="3"/>
    <x v="1"/>
    <x v="0"/>
    <x v="1"/>
    <x v="9"/>
    <n v="0"/>
    <n v="0"/>
    <n v="8.58"/>
    <n v="8.58"/>
    <n v="8.58"/>
    <n v="8.58"/>
    <n v="13"/>
    <s v="CATIVO"/>
    <n v="0"/>
    <n v="0"/>
    <n v="13"/>
    <n v="68"/>
    <n v="0"/>
    <n v="146.74"/>
    <n v="78.069999999999993"/>
    <m/>
    <n v="206.33427093031264"/>
    <n v="46.809628493429393"/>
    <n v="0"/>
    <n v="3582.4073999999991"/>
    <n v="0"/>
    <n v="4033.6672202463128"/>
    <x v="4"/>
  </r>
  <r>
    <s v="Regular"/>
    <x v="1"/>
    <x v="1"/>
    <x v="3"/>
    <x v="3"/>
    <x v="1"/>
    <x v="0"/>
    <x v="1"/>
    <x v="10"/>
    <n v="0"/>
    <n v="0"/>
    <n v="8.3230000000000004"/>
    <n v="8.3230000000000004"/>
    <n v="8.3230000000000004"/>
    <n v="8.3230000000000004"/>
    <n v="15"/>
    <s v="CATIVO"/>
    <n v="0"/>
    <n v="0"/>
    <n v="13"/>
    <n v="68"/>
    <n v="0"/>
    <n v="146.74"/>
    <n v="78.069999999999993"/>
    <m/>
    <n v="206.33427093031264"/>
    <n v="46.809628493429393"/>
    <n v="0"/>
    <n v="3475.1021899999996"/>
    <n v="0"/>
    <n v="3912.8452533927812"/>
    <x v="4"/>
  </r>
  <r>
    <s v="Regular"/>
    <x v="1"/>
    <x v="1"/>
    <x v="3"/>
    <x v="3"/>
    <x v="1"/>
    <x v="0"/>
    <x v="1"/>
    <x v="11"/>
    <n v="0"/>
    <n v="0"/>
    <n v="8.19"/>
    <n v="8.19"/>
    <n v="8.19"/>
    <n v="8.19"/>
    <n v="9"/>
    <s v="CATIVO"/>
    <n v="0"/>
    <n v="0"/>
    <n v="13"/>
    <n v="68"/>
    <n v="0"/>
    <n v="146.74"/>
    <n v="78.069999999999993"/>
    <m/>
    <n v="206.33427093031264"/>
    <n v="46.809628493429393"/>
    <n v="0"/>
    <n v="3419.5706999999993"/>
    <n v="0"/>
    <n v="3850.3187102351167"/>
    <x v="4"/>
  </r>
  <r>
    <s v="Regular"/>
    <x v="1"/>
    <x v="1"/>
    <x v="3"/>
    <x v="4"/>
    <x v="1"/>
    <x v="0"/>
    <x v="1"/>
    <x v="0"/>
    <n v="0"/>
    <n v="0"/>
    <n v="11.907999999999999"/>
    <n v="11.907999999999999"/>
    <n v="11.907999999999999"/>
    <n v="11.907999999999999"/>
    <n v="22"/>
    <s v="CATIVO"/>
    <n v="0"/>
    <n v="0"/>
    <n v="9"/>
    <n v="66"/>
    <n v="0"/>
    <n v="251.56"/>
    <n v="133.84"/>
    <m/>
    <n v="353.71589302339311"/>
    <n v="80.245077417307542"/>
    <n v="0"/>
    <n v="3059.6415199999992"/>
    <n v="0"/>
    <n v="3445.071490671909"/>
    <x v="4"/>
  </r>
  <r>
    <s v="Regular"/>
    <x v="1"/>
    <x v="1"/>
    <x v="3"/>
    <x v="4"/>
    <x v="1"/>
    <x v="0"/>
    <x v="1"/>
    <x v="1"/>
    <n v="0"/>
    <n v="0"/>
    <n v="11.816000000000001"/>
    <n v="11.816000000000001"/>
    <n v="11.816000000000001"/>
    <n v="11.816000000000001"/>
    <n v="31"/>
    <s v="CATIVO"/>
    <n v="0"/>
    <n v="0"/>
    <n v="9"/>
    <n v="66"/>
    <n v="0"/>
    <n v="251.56"/>
    <n v="133.84"/>
    <m/>
    <n v="353.71589302339311"/>
    <n v="80.245077417307542"/>
    <n v="0"/>
    <n v="3036.0030399999996"/>
    <n v="0"/>
    <n v="3418.455217818213"/>
    <x v="4"/>
  </r>
  <r>
    <s v="Regular"/>
    <x v="1"/>
    <x v="1"/>
    <x v="3"/>
    <x v="4"/>
    <x v="1"/>
    <x v="0"/>
    <x v="1"/>
    <x v="2"/>
    <n v="0"/>
    <n v="0"/>
    <n v="12.362"/>
    <n v="12.362"/>
    <n v="12.362"/>
    <n v="12.362"/>
    <n v="26"/>
    <s v="CATIVO"/>
    <n v="0"/>
    <n v="0"/>
    <n v="9"/>
    <n v="66"/>
    <n v="0"/>
    <n v="251.56"/>
    <n v="133.84"/>
    <m/>
    <n v="353.71589302339311"/>
    <n v="80.245077417307542"/>
    <n v="0"/>
    <n v="3176.2922799999992"/>
    <n v="0"/>
    <n v="3576.4170110586278"/>
    <x v="4"/>
  </r>
  <r>
    <s v="Regular"/>
    <x v="1"/>
    <x v="1"/>
    <x v="3"/>
    <x v="4"/>
    <x v="1"/>
    <x v="0"/>
    <x v="1"/>
    <x v="3"/>
    <n v="0"/>
    <n v="0"/>
    <n v="12.407"/>
    <n v="12.407"/>
    <n v="12.407"/>
    <n v="12.407"/>
    <n v="33"/>
    <s v="CATIVO"/>
    <n v="0"/>
    <n v="0"/>
    <n v="9"/>
    <n v="66"/>
    <n v="0"/>
    <n v="251.56"/>
    <n v="133.84"/>
    <m/>
    <n v="353.71589302339311"/>
    <n v="80.245077417307542"/>
    <n v="0"/>
    <n v="3187.8545799999993"/>
    <n v="0"/>
    <n v="3589.4358401718491"/>
    <x v="4"/>
  </r>
  <r>
    <s v="Regular"/>
    <x v="1"/>
    <x v="1"/>
    <x v="3"/>
    <x v="4"/>
    <x v="1"/>
    <x v="0"/>
    <x v="1"/>
    <x v="4"/>
    <n v="0"/>
    <n v="0"/>
    <n v="12.515000000000001"/>
    <n v="12.515000000000001"/>
    <n v="12.515000000000001"/>
    <n v="12.515000000000001"/>
    <n v="24"/>
    <s v="CATIVO"/>
    <n v="0"/>
    <n v="0"/>
    <n v="9"/>
    <n v="66"/>
    <n v="0"/>
    <n v="251.56"/>
    <n v="133.84"/>
    <m/>
    <n v="353.71589302339311"/>
    <n v="80.245077417307542"/>
    <n v="0"/>
    <n v="3215.6040999999996"/>
    <n v="0"/>
    <n v="3620.6810300435795"/>
    <x v="4"/>
  </r>
  <r>
    <s v="Regular"/>
    <x v="1"/>
    <x v="1"/>
    <x v="3"/>
    <x v="4"/>
    <x v="1"/>
    <x v="0"/>
    <x v="1"/>
    <x v="5"/>
    <n v="0"/>
    <n v="0"/>
    <n v="12.965"/>
    <n v="12.965"/>
    <n v="12.965"/>
    <n v="12.965"/>
    <n v="16"/>
    <s v="CATIVO"/>
    <n v="0"/>
    <n v="0"/>
    <n v="9"/>
    <n v="66"/>
    <n v="0"/>
    <n v="251.56"/>
    <n v="133.84"/>
    <m/>
    <n v="353.71589302339311"/>
    <n v="80.245077417307542"/>
    <n v="0"/>
    <n v="3331.2270999999992"/>
    <n v="0"/>
    <n v="3750.8693211757895"/>
    <x v="4"/>
  </r>
  <r>
    <s v="Regular"/>
    <x v="1"/>
    <x v="1"/>
    <x v="3"/>
    <x v="4"/>
    <x v="1"/>
    <x v="0"/>
    <x v="1"/>
    <x v="6"/>
    <n v="0"/>
    <n v="0"/>
    <n v="13.321999999999999"/>
    <n v="13.321999999999999"/>
    <n v="13.321999999999999"/>
    <n v="13.321999999999999"/>
    <n v="17"/>
    <s v="CATIVO"/>
    <n v="0"/>
    <n v="0"/>
    <n v="9"/>
    <n v="66"/>
    <n v="0"/>
    <n v="251.56"/>
    <n v="133.84"/>
    <m/>
    <n v="353.71589302339311"/>
    <n v="80.245077417307542"/>
    <n v="0"/>
    <n v="3422.9546799999989"/>
    <n v="0"/>
    <n v="3854.1520321406761"/>
    <x v="4"/>
  </r>
  <r>
    <s v="Regular"/>
    <x v="1"/>
    <x v="1"/>
    <x v="3"/>
    <x v="4"/>
    <x v="1"/>
    <x v="0"/>
    <x v="1"/>
    <x v="7"/>
    <n v="0"/>
    <n v="0"/>
    <n v="18.669"/>
    <n v="18.669"/>
    <n v="18.669"/>
    <n v="18.669"/>
    <n v="38"/>
    <s v="CATIVO"/>
    <n v="0"/>
    <n v="0"/>
    <n v="9"/>
    <n v="66"/>
    <n v="0"/>
    <n v="251.56"/>
    <n v="133.84"/>
    <m/>
    <n v="353.71589302339311"/>
    <n v="80.245077417307542"/>
    <n v="0"/>
    <n v="4796.8128599999991"/>
    <n v="0"/>
    <n v="5401.0782381049612"/>
    <x v="4"/>
  </r>
  <r>
    <s v="Regular"/>
    <x v="1"/>
    <x v="1"/>
    <x v="3"/>
    <x v="4"/>
    <x v="1"/>
    <x v="0"/>
    <x v="1"/>
    <x v="8"/>
    <n v="0"/>
    <n v="0"/>
    <n v="18.667000000000002"/>
    <n v="18.667000000000002"/>
    <n v="18.667000000000002"/>
    <n v="18.667000000000002"/>
    <n v="37"/>
    <s v="CATIVO"/>
    <n v="0"/>
    <n v="0"/>
    <n v="9"/>
    <n v="66"/>
    <n v="0"/>
    <n v="251.56"/>
    <n v="133.84"/>
    <m/>
    <n v="353.71589302339311"/>
    <n v="80.245077417307542"/>
    <n v="0"/>
    <n v="4796.2989799999996"/>
    <n v="0"/>
    <n v="5400.4996234777072"/>
    <x v="4"/>
  </r>
  <r>
    <s v="Regular"/>
    <x v="1"/>
    <x v="1"/>
    <x v="3"/>
    <x v="4"/>
    <x v="1"/>
    <x v="0"/>
    <x v="1"/>
    <x v="9"/>
    <n v="0"/>
    <n v="0"/>
    <n v="17.456"/>
    <n v="17.456"/>
    <n v="17.456"/>
    <n v="17.456"/>
    <n v="54"/>
    <s v="CATIVO"/>
    <n v="0"/>
    <n v="0"/>
    <n v="9"/>
    <n v="66"/>
    <n v="0"/>
    <n v="251.56"/>
    <n v="133.84"/>
    <m/>
    <n v="353.71589302339311"/>
    <n v="80.245077417307542"/>
    <n v="0"/>
    <n v="4485.1446399999986"/>
    <n v="0"/>
    <n v="5050.1484666752476"/>
    <x v="4"/>
  </r>
  <r>
    <s v="Regular"/>
    <x v="1"/>
    <x v="1"/>
    <x v="3"/>
    <x v="4"/>
    <x v="1"/>
    <x v="0"/>
    <x v="1"/>
    <x v="10"/>
    <n v="0"/>
    <n v="0"/>
    <n v="16.745999999999999"/>
    <n v="16.745999999999999"/>
    <n v="16.745999999999999"/>
    <n v="16.745999999999999"/>
    <n v="57"/>
    <s v="CATIVO"/>
    <n v="0"/>
    <n v="0"/>
    <n v="9"/>
    <n v="66"/>
    <n v="0"/>
    <n v="251.56"/>
    <n v="133.84"/>
    <m/>
    <n v="353.71589302339311"/>
    <n v="80.245077417307542"/>
    <n v="0"/>
    <n v="4302.717239999999"/>
    <n v="0"/>
    <n v="4844.7402739999825"/>
    <x v="4"/>
  </r>
  <r>
    <s v="Regular"/>
    <x v="1"/>
    <x v="1"/>
    <x v="3"/>
    <x v="4"/>
    <x v="1"/>
    <x v="0"/>
    <x v="1"/>
    <x v="11"/>
    <n v="0"/>
    <n v="0"/>
    <n v="17.123000000000001"/>
    <n v="17.123000000000001"/>
    <n v="17.123000000000001"/>
    <n v="17.123000000000001"/>
    <n v="43"/>
    <s v="CATIVO"/>
    <n v="0"/>
    <n v="0"/>
    <n v="9"/>
    <n v="66"/>
    <n v="0"/>
    <n v="251.56"/>
    <n v="133.84"/>
    <m/>
    <n v="353.71589302339311"/>
    <n v="80.245077417307542"/>
    <n v="0"/>
    <n v="4399.5836199999994"/>
    <n v="0"/>
    <n v="4953.8091312374127"/>
    <x v="4"/>
  </r>
  <r>
    <s v="Regular"/>
    <x v="1"/>
    <x v="1"/>
    <x v="3"/>
    <x v="5"/>
    <x v="1"/>
    <x v="0"/>
    <x v="1"/>
    <x v="0"/>
    <n v="0"/>
    <n v="0"/>
    <n v="13.037000000000001"/>
    <n v="13.037000000000001"/>
    <n v="13.037000000000001"/>
    <n v="13.037000000000001"/>
    <n v="96"/>
    <s v="CATIVO"/>
    <n v="0"/>
    <n v="0"/>
    <n v="11"/>
    <n v="79"/>
    <n v="0"/>
    <n v="377.34"/>
    <n v="200.76"/>
    <m/>
    <n v="530.57383953508975"/>
    <n v="120.36761612596131"/>
    <n v="0"/>
    <n v="837.49687999999946"/>
    <n v="0"/>
    <n v="942.92486193923492"/>
    <x v="4"/>
  </r>
  <r>
    <s v="Regular"/>
    <x v="1"/>
    <x v="1"/>
    <x v="3"/>
    <x v="5"/>
    <x v="1"/>
    <x v="0"/>
    <x v="1"/>
    <x v="1"/>
    <n v="0"/>
    <n v="0"/>
    <n v="11.964"/>
    <n v="11.964"/>
    <n v="11.964"/>
    <n v="11.964"/>
    <n v="98"/>
    <s v="CATIVO"/>
    <n v="0"/>
    <n v="0"/>
    <n v="11"/>
    <n v="79"/>
    <n v="0"/>
    <n v="377.34"/>
    <n v="200.76"/>
    <m/>
    <n v="530.57383953508975"/>
    <n v="120.36761612596131"/>
    <n v="0"/>
    <n v="768.56735999999944"/>
    <n v="0"/>
    <n v="865.31817505875631"/>
    <x v="4"/>
  </r>
  <r>
    <s v="Regular"/>
    <x v="1"/>
    <x v="1"/>
    <x v="3"/>
    <x v="5"/>
    <x v="1"/>
    <x v="0"/>
    <x v="1"/>
    <x v="2"/>
    <n v="0"/>
    <n v="0"/>
    <n v="12.827999999999999"/>
    <n v="12.827999999999999"/>
    <n v="12.827999999999999"/>
    <n v="12.827999999999999"/>
    <n v="105"/>
    <s v="CATIVO"/>
    <n v="0"/>
    <n v="0"/>
    <n v="11"/>
    <n v="79"/>
    <n v="0"/>
    <n v="377.34"/>
    <n v="200.76"/>
    <m/>
    <n v="530.57383953508975"/>
    <n v="120.36761612596131"/>
    <n v="0"/>
    <n v="824.07071999999937"/>
    <n v="0"/>
    <n v="927.80855480221715"/>
    <x v="4"/>
  </r>
  <r>
    <s v="Regular"/>
    <x v="1"/>
    <x v="1"/>
    <x v="3"/>
    <x v="5"/>
    <x v="1"/>
    <x v="0"/>
    <x v="1"/>
    <x v="3"/>
    <n v="0"/>
    <n v="0"/>
    <n v="11.624000000000001"/>
    <n v="11.624000000000001"/>
    <n v="11.624000000000001"/>
    <n v="11.624000000000001"/>
    <n v="109"/>
    <s v="CATIVO"/>
    <n v="0"/>
    <n v="0"/>
    <n v="11"/>
    <n v="79"/>
    <n v="0"/>
    <n v="377.34"/>
    <n v="200.76"/>
    <m/>
    <n v="530.57383953508975"/>
    <n v="120.36761612596131"/>
    <n v="0"/>
    <n v="746.72575999999947"/>
    <n v="0"/>
    <n v="840.72705340045002"/>
    <x v="4"/>
  </r>
  <r>
    <s v="Regular"/>
    <x v="1"/>
    <x v="1"/>
    <x v="3"/>
    <x v="5"/>
    <x v="1"/>
    <x v="0"/>
    <x v="1"/>
    <x v="4"/>
    <n v="0"/>
    <n v="0"/>
    <n v="13.792999999999999"/>
    <n v="13.792999999999999"/>
    <n v="13.792999999999999"/>
    <n v="13.792999999999999"/>
    <n v="96"/>
    <s v="CATIVO"/>
    <n v="0"/>
    <n v="0"/>
    <n v="11"/>
    <n v="79"/>
    <n v="0"/>
    <n v="377.34"/>
    <n v="200.76"/>
    <m/>
    <n v="530.57383953508975"/>
    <n v="120.36761612596131"/>
    <n v="0"/>
    <n v="886.06231999999932"/>
    <n v="0"/>
    <n v="997.60394421476303"/>
    <x v="4"/>
  </r>
  <r>
    <s v="Regular"/>
    <x v="1"/>
    <x v="1"/>
    <x v="3"/>
    <x v="5"/>
    <x v="1"/>
    <x v="0"/>
    <x v="1"/>
    <x v="5"/>
    <n v="0"/>
    <n v="0"/>
    <n v="16.074000000000002"/>
    <n v="16.074000000000002"/>
    <n v="16.074000000000002"/>
    <n v="16.074000000000002"/>
    <n v="83"/>
    <s v="CATIVO"/>
    <n v="0"/>
    <n v="0"/>
    <n v="11"/>
    <n v="79"/>
    <n v="0"/>
    <n v="377.34"/>
    <n v="200.76"/>
    <m/>
    <n v="530.57383953508975"/>
    <n v="120.36761612596131"/>
    <n v="0"/>
    <n v="1032.5937599999993"/>
    <n v="0"/>
    <n v="1162.5814398106361"/>
    <x v="4"/>
  </r>
  <r>
    <s v="Regular"/>
    <x v="1"/>
    <x v="1"/>
    <x v="3"/>
    <x v="5"/>
    <x v="1"/>
    <x v="0"/>
    <x v="1"/>
    <x v="6"/>
    <n v="0"/>
    <n v="0"/>
    <n v="16.405999999999999"/>
    <n v="16.405999999999999"/>
    <n v="16.405999999999999"/>
    <n v="16.405999999999999"/>
    <n v="92"/>
    <s v="CATIVO"/>
    <n v="0"/>
    <n v="0"/>
    <n v="11"/>
    <n v="79"/>
    <n v="0"/>
    <n v="377.34"/>
    <n v="200.76"/>
    <m/>
    <n v="530.57383953508975"/>
    <n v="120.36761612596131"/>
    <n v="0"/>
    <n v="1053.9214399999992"/>
    <n v="0"/>
    <n v="1186.593946841688"/>
    <x v="4"/>
  </r>
  <r>
    <s v="Regular"/>
    <x v="1"/>
    <x v="1"/>
    <x v="3"/>
    <x v="5"/>
    <x v="1"/>
    <x v="0"/>
    <x v="1"/>
    <x v="7"/>
    <n v="0"/>
    <n v="0"/>
    <n v="20.940999999999999"/>
    <n v="20.940999999999999"/>
    <n v="20.940999999999999"/>
    <n v="20.940999999999999"/>
    <n v="140"/>
    <s v="CATIVO"/>
    <n v="0"/>
    <n v="0"/>
    <n v="11"/>
    <n v="79"/>
    <n v="0"/>
    <n v="377.34"/>
    <n v="200.76"/>
    <m/>
    <n v="530.57383953508975"/>
    <n v="120.36761612596131"/>
    <n v="0"/>
    <n v="1345.249839999999"/>
    <n v="0"/>
    <n v="1514.5961136664507"/>
    <x v="4"/>
  </r>
  <r>
    <s v="Regular"/>
    <x v="1"/>
    <x v="1"/>
    <x v="3"/>
    <x v="5"/>
    <x v="1"/>
    <x v="0"/>
    <x v="1"/>
    <x v="8"/>
    <n v="0"/>
    <n v="0"/>
    <n v="20.719000000000001"/>
    <n v="20.719000000000001"/>
    <n v="20.719000000000001"/>
    <n v="20.719000000000001"/>
    <n v="141"/>
    <s v="CATIVO"/>
    <n v="0"/>
    <n v="0"/>
    <n v="11"/>
    <n v="79"/>
    <n v="0"/>
    <n v="377.34"/>
    <n v="200.76"/>
    <m/>
    <n v="530.57383953508975"/>
    <n v="120.36761612596131"/>
    <n v="0"/>
    <n v="1330.9885599999991"/>
    <n v="0"/>
    <n v="1498.5395577601448"/>
    <x v="4"/>
  </r>
  <r>
    <s v="Regular"/>
    <x v="1"/>
    <x v="1"/>
    <x v="3"/>
    <x v="5"/>
    <x v="1"/>
    <x v="0"/>
    <x v="1"/>
    <x v="9"/>
    <n v="0"/>
    <n v="0"/>
    <n v="20.085000000000001"/>
    <n v="20.085000000000001"/>
    <n v="20.085000000000001"/>
    <n v="20.085000000000001"/>
    <n v="118"/>
    <s v="CATIVO"/>
    <n v="0"/>
    <n v="0"/>
    <n v="11"/>
    <n v="79"/>
    <n v="0"/>
    <n v="377.34"/>
    <n v="200.76"/>
    <m/>
    <n v="530.57383953508975"/>
    <n v="120.36761612596131"/>
    <n v="0"/>
    <n v="1290.2603999999992"/>
    <n v="0"/>
    <n v="1452.6843485502443"/>
    <x v="4"/>
  </r>
  <r>
    <s v="Regular"/>
    <x v="1"/>
    <x v="1"/>
    <x v="3"/>
    <x v="5"/>
    <x v="1"/>
    <x v="0"/>
    <x v="1"/>
    <x v="10"/>
    <n v="0"/>
    <n v="0"/>
    <n v="16.491"/>
    <n v="16.491"/>
    <n v="16.491"/>
    <n v="16.491"/>
    <n v="134"/>
    <s v="CATIVO"/>
    <n v="0"/>
    <n v="0"/>
    <n v="11"/>
    <n v="79"/>
    <n v="0"/>
    <n v="377.34"/>
    <n v="200.76"/>
    <m/>
    <n v="530.57383953508975"/>
    <n v="120.36761612596131"/>
    <n v="0"/>
    <n v="1059.3818399999991"/>
    <n v="0"/>
    <n v="1192.7417272562648"/>
    <x v="4"/>
  </r>
  <r>
    <s v="Regular"/>
    <x v="1"/>
    <x v="1"/>
    <x v="3"/>
    <x v="5"/>
    <x v="1"/>
    <x v="0"/>
    <x v="1"/>
    <x v="11"/>
    <n v="0"/>
    <n v="0"/>
    <n v="19.074999999999999"/>
    <n v="19.074999999999999"/>
    <n v="19.074999999999999"/>
    <n v="19.074999999999999"/>
    <n v="122"/>
    <s v="CATIVO"/>
    <n v="0"/>
    <n v="0"/>
    <n v="11"/>
    <n v="79"/>
    <n v="0"/>
    <n v="377.34"/>
    <n v="200.76"/>
    <m/>
    <n v="530.57383953508975"/>
    <n v="120.36761612596131"/>
    <n v="0"/>
    <n v="1225.377999999999"/>
    <n v="0"/>
    <n v="1379.6342518593929"/>
    <x v="4"/>
  </r>
  <r>
    <s v="Regular"/>
    <x v="1"/>
    <x v="1"/>
    <x v="3"/>
    <x v="6"/>
    <x v="1"/>
    <x v="0"/>
    <x v="1"/>
    <x v="0"/>
    <n v="0"/>
    <n v="0"/>
    <n v="6.2409999999999997"/>
    <n v="6.2409999999999997"/>
    <n v="6.2409999999999997"/>
    <n v="6.2409999999999997"/>
    <n v="61"/>
    <s v="CATIVO"/>
    <n v="0"/>
    <n v="0"/>
    <n v="20"/>
    <n v="61"/>
    <n v="0"/>
    <n v="419.27"/>
    <n v="223.07"/>
    <m/>
    <n v="589.52648837232186"/>
    <n v="133.74179569551256"/>
    <n v="0"/>
    <n v="-3.547597771103028E-13"/>
    <n v="0"/>
    <n v="0"/>
    <x v="4"/>
  </r>
  <r>
    <s v="Regular"/>
    <x v="1"/>
    <x v="1"/>
    <x v="3"/>
    <x v="6"/>
    <x v="1"/>
    <x v="0"/>
    <x v="1"/>
    <x v="1"/>
    <n v="0"/>
    <n v="0"/>
    <n v="4.742"/>
    <n v="4.742"/>
    <n v="4.742"/>
    <n v="4.742"/>
    <n v="52"/>
    <s v="CATIVO"/>
    <n v="0"/>
    <n v="0"/>
    <n v="20"/>
    <n v="61"/>
    <n v="0"/>
    <n v="419.27"/>
    <n v="223.07"/>
    <m/>
    <n v="589.52648837232186"/>
    <n v="133.74179569551256"/>
    <n v="0"/>
    <n v="-2.6955149223795161E-13"/>
    <n v="0"/>
    <n v="0"/>
    <x v="4"/>
  </r>
  <r>
    <s v="Regular"/>
    <x v="1"/>
    <x v="1"/>
    <x v="3"/>
    <x v="6"/>
    <x v="1"/>
    <x v="0"/>
    <x v="1"/>
    <x v="2"/>
    <n v="0"/>
    <n v="0"/>
    <n v="5.9029999999999996"/>
    <n v="5.9029999999999996"/>
    <n v="5.9029999999999996"/>
    <n v="5.9029999999999996"/>
    <n v="56"/>
    <s v="CATIVO"/>
    <n v="0"/>
    <n v="0"/>
    <n v="20"/>
    <n v="61"/>
    <n v="0"/>
    <n v="419.27"/>
    <n v="223.07"/>
    <m/>
    <n v="589.52648837232186"/>
    <n v="133.74179569551256"/>
    <n v="0"/>
    <n v="-3.3554670153534969E-13"/>
    <n v="0"/>
    <n v="0"/>
    <x v="4"/>
  </r>
  <r>
    <s v="Regular"/>
    <x v="1"/>
    <x v="1"/>
    <x v="3"/>
    <x v="6"/>
    <x v="1"/>
    <x v="0"/>
    <x v="1"/>
    <x v="3"/>
    <n v="0"/>
    <n v="0"/>
    <n v="3.8780000000000001"/>
    <n v="3.8780000000000001"/>
    <n v="3.8780000000000001"/>
    <n v="3.8780000000000001"/>
    <n v="46"/>
    <s v="CATIVO"/>
    <n v="0"/>
    <n v="0"/>
    <n v="20"/>
    <n v="61"/>
    <n v="0"/>
    <n v="419.27"/>
    <n v="223.07"/>
    <m/>
    <n v="589.52648837232186"/>
    <n v="133.74179569551256"/>
    <n v="0"/>
    <n v="-2.2043877834221349E-13"/>
    <n v="0"/>
    <n v="0"/>
    <x v="4"/>
  </r>
  <r>
    <s v="Regular"/>
    <x v="1"/>
    <x v="1"/>
    <x v="3"/>
    <x v="6"/>
    <x v="1"/>
    <x v="0"/>
    <x v="1"/>
    <x v="4"/>
    <n v="0"/>
    <n v="0"/>
    <n v="7.048"/>
    <n v="7.048"/>
    <n v="7.048"/>
    <n v="7.048"/>
    <n v="67"/>
    <s v="CATIVO"/>
    <n v="0"/>
    <n v="0"/>
    <n v="20"/>
    <n v="61"/>
    <n v="0"/>
    <n v="419.27"/>
    <n v="223.07"/>
    <m/>
    <n v="589.52648837232186"/>
    <n v="133.74179569551256"/>
    <n v="0"/>
    <n v="-4.0063241613097489E-13"/>
    <n v="0"/>
    <n v="0"/>
    <x v="4"/>
  </r>
  <r>
    <s v="Regular"/>
    <x v="1"/>
    <x v="1"/>
    <x v="3"/>
    <x v="6"/>
    <x v="1"/>
    <x v="0"/>
    <x v="1"/>
    <x v="5"/>
    <n v="0"/>
    <n v="0"/>
    <n v="10.411"/>
    <n v="10.411"/>
    <n v="10.411"/>
    <n v="10.411"/>
    <n v="93"/>
    <s v="CATIVO"/>
    <n v="0"/>
    <n v="0"/>
    <n v="20"/>
    <n v="61"/>
    <n v="0"/>
    <n v="419.27"/>
    <n v="223.07"/>
    <m/>
    <n v="589.52648837232186"/>
    <n v="133.74179569551256"/>
    <n v="0"/>
    <n v="-5.9179683375987222E-13"/>
    <n v="0"/>
    <n v="0"/>
    <x v="4"/>
  </r>
  <r>
    <s v="Regular"/>
    <x v="1"/>
    <x v="1"/>
    <x v="3"/>
    <x v="6"/>
    <x v="1"/>
    <x v="0"/>
    <x v="1"/>
    <x v="6"/>
    <n v="0"/>
    <n v="0"/>
    <n v="10.984"/>
    <n v="10.984"/>
    <n v="10.984"/>
    <n v="10.984"/>
    <n v="87"/>
    <s v="CATIVO"/>
    <n v="0"/>
    <n v="0"/>
    <n v="20"/>
    <n v="61"/>
    <n v="0"/>
    <n v="419.27"/>
    <n v="223.07"/>
    <m/>
    <n v="589.52648837232186"/>
    <n v="133.74179569551256"/>
    <n v="0"/>
    <n v="-6.2436811276711523E-13"/>
    <n v="0"/>
    <n v="0"/>
    <x v="4"/>
  </r>
  <r>
    <s v="Regular"/>
    <x v="1"/>
    <x v="1"/>
    <x v="3"/>
    <x v="6"/>
    <x v="1"/>
    <x v="0"/>
    <x v="1"/>
    <x v="7"/>
    <n v="0"/>
    <n v="0"/>
    <n v="11.212"/>
    <n v="11.212"/>
    <n v="11.212"/>
    <n v="11.212"/>
    <n v="102"/>
    <s v="CATIVO"/>
    <n v="0"/>
    <n v="0"/>
    <n v="20"/>
    <n v="61"/>
    <n v="0"/>
    <n v="419.27"/>
    <n v="223.07"/>
    <m/>
    <n v="589.52648837232186"/>
    <n v="133.74179569551256"/>
    <n v="0"/>
    <n v="-6.3732841226737945E-13"/>
    <n v="0"/>
    <n v="0"/>
    <x v="4"/>
  </r>
  <r>
    <s v="Regular"/>
    <x v="1"/>
    <x v="1"/>
    <x v="3"/>
    <x v="6"/>
    <x v="1"/>
    <x v="0"/>
    <x v="1"/>
    <x v="8"/>
    <n v="0"/>
    <n v="0"/>
    <n v="10.695"/>
    <n v="10.695"/>
    <n v="10.695"/>
    <n v="10.695"/>
    <n v="105"/>
    <s v="CATIVO"/>
    <n v="0"/>
    <n v="0"/>
    <n v="20"/>
    <n v="61"/>
    <n v="0"/>
    <n v="419.27"/>
    <n v="223.07"/>
    <m/>
    <n v="589.52648837232186"/>
    <n v="133.74179569551256"/>
    <n v="0"/>
    <n v="-6.0794036471634174E-13"/>
    <n v="0"/>
    <n v="0"/>
    <x v="4"/>
  </r>
  <r>
    <s v="Regular"/>
    <x v="1"/>
    <x v="1"/>
    <x v="3"/>
    <x v="6"/>
    <x v="1"/>
    <x v="0"/>
    <x v="1"/>
    <x v="9"/>
    <n v="0"/>
    <n v="0"/>
    <n v="10.532"/>
    <n v="10.532"/>
    <n v="10.532"/>
    <n v="10.532"/>
    <n v="101"/>
    <s v="CATIVO"/>
    <n v="0"/>
    <n v="0"/>
    <n v="20"/>
    <n v="61"/>
    <n v="0"/>
    <n v="419.27"/>
    <n v="223.07"/>
    <m/>
    <n v="589.52648837232186"/>
    <n v="133.74179569551256"/>
    <n v="0"/>
    <n v="-5.9867488744203001E-13"/>
    <n v="0"/>
    <n v="0"/>
    <x v="4"/>
  </r>
  <r>
    <s v="Regular"/>
    <x v="1"/>
    <x v="1"/>
    <x v="3"/>
    <x v="6"/>
    <x v="1"/>
    <x v="0"/>
    <x v="1"/>
    <x v="10"/>
    <n v="0"/>
    <n v="0"/>
    <n v="6.1269999999999998"/>
    <n v="6.1269999999999998"/>
    <n v="6.1269999999999998"/>
    <n v="6.1269999999999998"/>
    <n v="74"/>
    <s v="CATIVO"/>
    <n v="0"/>
    <n v="0"/>
    <n v="20"/>
    <n v="61"/>
    <n v="0"/>
    <n v="419.27"/>
    <n v="223.07"/>
    <m/>
    <n v="589.52648837232186"/>
    <n v="133.74179569551256"/>
    <n v="0"/>
    <n v="-3.4827962736017069E-13"/>
    <n v="0"/>
    <n v="0"/>
    <x v="4"/>
  </r>
  <r>
    <s v="Regular"/>
    <x v="1"/>
    <x v="1"/>
    <x v="3"/>
    <x v="6"/>
    <x v="1"/>
    <x v="0"/>
    <x v="1"/>
    <x v="11"/>
    <n v="0"/>
    <n v="0"/>
    <n v="10.805999999999999"/>
    <n v="10.805999999999999"/>
    <n v="10.805999999999999"/>
    <n v="10.805999999999999"/>
    <n v="99"/>
    <s v="CATIVO"/>
    <n v="0"/>
    <n v="0"/>
    <n v="20"/>
    <n v="61"/>
    <n v="0"/>
    <n v="419.27"/>
    <n v="223.07"/>
    <m/>
    <n v="589.52648837232186"/>
    <n v="133.74179569551256"/>
    <n v="0"/>
    <n v="-6.1424998420989136E-13"/>
    <n v="0"/>
    <n v="0"/>
    <x v="4"/>
  </r>
  <r>
    <s v="Regular"/>
    <x v="2"/>
    <x v="1"/>
    <x v="1"/>
    <x v="0"/>
    <x v="1"/>
    <x v="0"/>
    <x v="1"/>
    <x v="0"/>
    <n v="0"/>
    <n v="0"/>
    <n v="37.402000000000001"/>
    <n v="37.402000000000001"/>
    <n v="37.402000000000001"/>
    <n v="37.402000000000001"/>
    <n v="174"/>
    <s v="CATIVO"/>
    <n v="0"/>
    <n v="0"/>
    <n v="75"/>
    <n v="53"/>
    <n v="0"/>
    <n v="424.73"/>
    <n v="196.3"/>
    <m/>
    <n v="643.74466388362384"/>
    <n v="124.37986999682667"/>
    <n v="0"/>
    <n v="3167.5753800000002"/>
    <n v="0"/>
    <n v="2162.427491541684"/>
    <x v="1"/>
  </r>
  <r>
    <s v="Sistema de Compensação"/>
    <x v="2"/>
    <x v="1"/>
    <x v="1"/>
    <x v="0"/>
    <x v="1"/>
    <x v="0"/>
    <x v="1"/>
    <x v="0"/>
    <n v="0"/>
    <n v="0"/>
    <n v="2.456"/>
    <n v="2.456"/>
    <n v="2.456"/>
    <n v="2.456"/>
    <n v="5"/>
    <s v="CATIVO"/>
    <n v="0"/>
    <n v="0"/>
    <n v="75"/>
    <n v="53"/>
    <n v="0"/>
    <n v="424.73"/>
    <n v="196.3"/>
    <m/>
    <n v="643.74466388362384"/>
    <n v="124.37986999682667"/>
    <n v="0"/>
    <n v="207.99863999999999"/>
    <n v="0"/>
    <n v="141.99566652121212"/>
    <x v="1"/>
  </r>
  <r>
    <s v="Regular"/>
    <x v="2"/>
    <x v="1"/>
    <x v="1"/>
    <x v="0"/>
    <x v="1"/>
    <x v="0"/>
    <x v="1"/>
    <x v="1"/>
    <n v="0"/>
    <n v="0"/>
    <n v="37.35"/>
    <n v="37.35"/>
    <n v="37.35"/>
    <n v="37.35"/>
    <n v="176"/>
    <s v="CATIVO"/>
    <n v="0"/>
    <n v="0"/>
    <n v="75"/>
    <n v="53"/>
    <n v="0"/>
    <n v="424.73"/>
    <n v="196.3"/>
    <m/>
    <n v="643.74466388362384"/>
    <n v="124.37986999682667"/>
    <n v="0"/>
    <n v="3163.1714999999999"/>
    <n v="0"/>
    <n v="2159.4210686348829"/>
    <x v="1"/>
  </r>
  <r>
    <s v="Sistema de Compensação"/>
    <x v="2"/>
    <x v="1"/>
    <x v="1"/>
    <x v="0"/>
    <x v="1"/>
    <x v="0"/>
    <x v="1"/>
    <x v="1"/>
    <n v="0"/>
    <n v="0"/>
    <n v="2.9449999999999998"/>
    <n v="2.9449999999999998"/>
    <n v="2.9449999999999998"/>
    <n v="2.9449999999999998"/>
    <n v="5"/>
    <s v="CATIVO"/>
    <n v="0"/>
    <n v="0"/>
    <n v="75"/>
    <n v="53"/>
    <n v="0"/>
    <n v="424.73"/>
    <n v="196.3"/>
    <m/>
    <n v="643.74466388362384"/>
    <n v="124.37986999682667"/>
    <n v="0"/>
    <n v="249.41204999999999"/>
    <n v="0"/>
    <n v="170.26760501016679"/>
    <x v="1"/>
  </r>
  <r>
    <s v="Regular"/>
    <x v="2"/>
    <x v="1"/>
    <x v="1"/>
    <x v="0"/>
    <x v="1"/>
    <x v="0"/>
    <x v="1"/>
    <x v="2"/>
    <n v="0"/>
    <n v="0"/>
    <n v="40.924999999999997"/>
    <n v="40.924999999999997"/>
    <n v="40.924999999999997"/>
    <n v="40.924999999999997"/>
    <n v="174"/>
    <s v="CATIVO"/>
    <n v="0"/>
    <n v="0"/>
    <n v="75"/>
    <n v="53"/>
    <n v="0"/>
    <n v="424.73"/>
    <n v="196.3"/>
    <m/>
    <n v="643.74466388362384"/>
    <n v="124.37986999682667"/>
    <n v="0"/>
    <n v="3465.9382499999997"/>
    <n v="0"/>
    <n v="2366.1126434774451"/>
    <x v="1"/>
  </r>
  <r>
    <s v="Refaturamento - Regular"/>
    <x v="2"/>
    <x v="1"/>
    <x v="1"/>
    <x v="0"/>
    <x v="1"/>
    <x v="0"/>
    <x v="1"/>
    <x v="2"/>
    <n v="0"/>
    <n v="0"/>
    <n v="-1.7999999999999999E-2"/>
    <n v="-1.7999999999999999E-2"/>
    <n v="-1.7999999999999999E-2"/>
    <n v="-1.7999999999999999E-2"/>
    <n v="0"/>
    <s v="CATIVO"/>
    <n v="0"/>
    <n v="0"/>
    <n v="75"/>
    <n v="53"/>
    <n v="0"/>
    <n v="424.73"/>
    <n v="196.3"/>
    <m/>
    <n v="643.74466388362384"/>
    <n v="124.37986999682667"/>
    <n v="0"/>
    <n v="-1.5244199999999999"/>
    <n v="0"/>
    <n v="-1.0406848523541603"/>
    <x v="1"/>
  </r>
  <r>
    <s v="Sistema de Compensação"/>
    <x v="2"/>
    <x v="1"/>
    <x v="1"/>
    <x v="0"/>
    <x v="1"/>
    <x v="0"/>
    <x v="1"/>
    <x v="2"/>
    <n v="0"/>
    <n v="0"/>
    <n v="0.43"/>
    <n v="0.43"/>
    <n v="0.43"/>
    <n v="0.43"/>
    <n v="5"/>
    <s v="CATIVO"/>
    <n v="0"/>
    <n v="0"/>
    <n v="75"/>
    <n v="53"/>
    <n v="0"/>
    <n v="424.73"/>
    <n v="196.3"/>
    <m/>
    <n v="643.74466388362384"/>
    <n v="124.37986999682667"/>
    <n v="0"/>
    <n v="36.416699999999999"/>
    <n v="0"/>
    <n v="24.860804806238278"/>
    <x v="1"/>
  </r>
  <r>
    <s v="Regular"/>
    <x v="2"/>
    <x v="1"/>
    <x v="1"/>
    <x v="0"/>
    <x v="1"/>
    <x v="0"/>
    <x v="1"/>
    <x v="3"/>
    <n v="0"/>
    <n v="0"/>
    <n v="46.731999999999999"/>
    <n v="46.731999999999999"/>
    <n v="46.731999999999999"/>
    <n v="46.731999999999999"/>
    <n v="175"/>
    <s v="CATIVO"/>
    <n v="0"/>
    <n v="0"/>
    <n v="75"/>
    <n v="53"/>
    <n v="0"/>
    <n v="424.73"/>
    <n v="196.3"/>
    <m/>
    <n v="643.74466388362384"/>
    <n v="124.37986999682667"/>
    <n v="0"/>
    <n v="3957.73308"/>
    <n v="0"/>
    <n v="2701.8491400119237"/>
    <x v="1"/>
  </r>
  <r>
    <s v="Sistema de Compensação"/>
    <x v="2"/>
    <x v="1"/>
    <x v="1"/>
    <x v="0"/>
    <x v="1"/>
    <x v="0"/>
    <x v="1"/>
    <x v="3"/>
    <n v="0"/>
    <n v="0"/>
    <n v="0.43"/>
    <n v="0.43"/>
    <n v="0.43"/>
    <n v="0.43"/>
    <n v="5"/>
    <s v="CATIVO"/>
    <n v="0"/>
    <n v="0"/>
    <n v="75"/>
    <n v="53"/>
    <n v="0"/>
    <n v="424.73"/>
    <n v="196.3"/>
    <m/>
    <n v="643.74466388362384"/>
    <n v="124.37986999682667"/>
    <n v="0"/>
    <n v="36.416699999999999"/>
    <n v="0"/>
    <n v="24.860804806238278"/>
    <x v="1"/>
  </r>
  <r>
    <s v="Regular"/>
    <x v="2"/>
    <x v="1"/>
    <x v="1"/>
    <x v="0"/>
    <x v="1"/>
    <x v="0"/>
    <x v="1"/>
    <x v="4"/>
    <n v="0"/>
    <n v="0"/>
    <n v="50.945999999999998"/>
    <n v="50.945999999999998"/>
    <n v="50.945999999999998"/>
    <n v="50.945999999999998"/>
    <n v="174"/>
    <s v="CATIVO"/>
    <n v="0"/>
    <n v="0"/>
    <n v="75"/>
    <n v="53"/>
    <n v="0"/>
    <n v="424.73"/>
    <n v="196.3"/>
    <m/>
    <n v="643.74466388362384"/>
    <n v="124.37986999682667"/>
    <n v="0"/>
    <n v="4314.6167399999995"/>
    <n v="0"/>
    <n v="2945.4850271130585"/>
    <x v="1"/>
  </r>
  <r>
    <s v="Sistema de Compensação"/>
    <x v="2"/>
    <x v="1"/>
    <x v="1"/>
    <x v="0"/>
    <x v="1"/>
    <x v="0"/>
    <x v="1"/>
    <x v="4"/>
    <n v="0"/>
    <n v="0"/>
    <n v="0.43"/>
    <n v="0.43"/>
    <n v="0.43"/>
    <n v="0.43"/>
    <n v="5"/>
    <s v="CATIVO"/>
    <n v="0"/>
    <n v="0"/>
    <n v="75"/>
    <n v="53"/>
    <n v="0"/>
    <n v="424.73"/>
    <n v="196.3"/>
    <m/>
    <n v="643.74466388362384"/>
    <n v="124.37986999682667"/>
    <n v="0"/>
    <n v="36.416699999999999"/>
    <n v="0"/>
    <n v="24.860804806238278"/>
    <x v="1"/>
  </r>
  <r>
    <s v="Regular"/>
    <x v="2"/>
    <x v="1"/>
    <x v="1"/>
    <x v="0"/>
    <x v="1"/>
    <x v="0"/>
    <x v="1"/>
    <x v="5"/>
    <n v="0"/>
    <n v="0"/>
    <n v="61.805999999999997"/>
    <n v="61.805999999999997"/>
    <n v="61.805999999999997"/>
    <n v="61.805999999999997"/>
    <n v="174"/>
    <s v="CATIVO"/>
    <n v="0"/>
    <n v="0"/>
    <n v="75"/>
    <n v="53"/>
    <n v="0"/>
    <n v="424.73"/>
    <n v="196.3"/>
    <m/>
    <n v="643.74466388362384"/>
    <n v="124.37986999682667"/>
    <n v="0"/>
    <n v="5234.3501399999996"/>
    <n v="0"/>
    <n v="3573.3648880334022"/>
    <x v="1"/>
  </r>
  <r>
    <s v="Regular"/>
    <x v="2"/>
    <x v="1"/>
    <x v="1"/>
    <x v="0"/>
    <x v="1"/>
    <x v="0"/>
    <x v="1"/>
    <x v="6"/>
    <n v="0"/>
    <n v="0"/>
    <n v="47.210999999999999"/>
    <n v="47.210999999999999"/>
    <n v="47.210999999999999"/>
    <n v="47.210999999999999"/>
    <n v="174"/>
    <s v="CATIVO"/>
    <n v="0"/>
    <n v="0"/>
    <n v="75"/>
    <n v="53"/>
    <n v="0"/>
    <n v="424.73"/>
    <n v="196.3"/>
    <m/>
    <n v="643.74466388362384"/>
    <n v="124.37986999682667"/>
    <n v="0"/>
    <n v="3998.2995899999996"/>
    <n v="0"/>
    <n v="2729.5429202495702"/>
    <x v="1"/>
  </r>
  <r>
    <s v="Sistema de Compensação"/>
    <x v="2"/>
    <x v="1"/>
    <x v="1"/>
    <x v="0"/>
    <x v="1"/>
    <x v="0"/>
    <x v="1"/>
    <x v="6"/>
    <n v="0"/>
    <n v="0"/>
    <n v="0.58199999999999996"/>
    <n v="0.58199999999999996"/>
    <n v="0.58199999999999996"/>
    <n v="0.58199999999999996"/>
    <n v="7"/>
    <s v="CATIVO"/>
    <n v="0"/>
    <n v="0"/>
    <n v="75"/>
    <n v="53"/>
    <n v="0"/>
    <n v="424.73"/>
    <n v="196.3"/>
    <m/>
    <n v="643.74466388362384"/>
    <n v="124.37986999682667"/>
    <n v="0"/>
    <n v="49.289579999999994"/>
    <n v="0"/>
    <n v="33.648810226117853"/>
    <x v="1"/>
  </r>
  <r>
    <s v="Regular"/>
    <x v="2"/>
    <x v="1"/>
    <x v="1"/>
    <x v="0"/>
    <x v="1"/>
    <x v="0"/>
    <x v="1"/>
    <x v="7"/>
    <n v="0"/>
    <n v="0"/>
    <n v="39.631999999999998"/>
    <n v="39.631999999999998"/>
    <n v="39.631999999999998"/>
    <n v="39.631999999999998"/>
    <n v="173"/>
    <s v="CATIVO"/>
    <n v="0"/>
    <n v="0"/>
    <n v="75"/>
    <n v="53"/>
    <n v="0"/>
    <n v="424.73"/>
    <n v="196.3"/>
    <m/>
    <n v="643.74466388362384"/>
    <n v="124.37986999682667"/>
    <n v="0"/>
    <n v="3356.4340799999995"/>
    <n v="0"/>
    <n v="2291.356781583338"/>
    <x v="1"/>
  </r>
  <r>
    <s v="Sistema de Compensação"/>
    <x v="2"/>
    <x v="1"/>
    <x v="1"/>
    <x v="0"/>
    <x v="1"/>
    <x v="0"/>
    <x v="1"/>
    <x v="7"/>
    <n v="0"/>
    <n v="0"/>
    <n v="0.92800000000000005"/>
    <n v="0.92800000000000005"/>
    <n v="0.92800000000000005"/>
    <n v="0.92800000000000005"/>
    <n v="8"/>
    <s v="CATIVO"/>
    <n v="0"/>
    <n v="0"/>
    <n v="75"/>
    <n v="53"/>
    <n v="0"/>
    <n v="424.73"/>
    <n v="196.3"/>
    <m/>
    <n v="643.74466388362384"/>
    <n v="124.37986999682667"/>
    <n v="0"/>
    <n v="78.592320000000001"/>
    <n v="0"/>
    <n v="53.653085721370054"/>
    <x v="1"/>
  </r>
  <r>
    <s v="Regular"/>
    <x v="2"/>
    <x v="1"/>
    <x v="1"/>
    <x v="0"/>
    <x v="1"/>
    <x v="0"/>
    <x v="1"/>
    <x v="8"/>
    <n v="0"/>
    <n v="0"/>
    <n v="35.756"/>
    <n v="35.756"/>
    <n v="35.756"/>
    <n v="35.756"/>
    <n v="170"/>
    <s v="CATIVO"/>
    <n v="0"/>
    <n v="0"/>
    <n v="75"/>
    <n v="53"/>
    <n v="0"/>
    <n v="424.73"/>
    <n v="196.3"/>
    <m/>
    <n v="643.74466388362384"/>
    <n v="124.37986999682667"/>
    <n v="0"/>
    <n v="3028.1756399999999"/>
    <n v="0"/>
    <n v="2067.262643376409"/>
    <x v="1"/>
  </r>
  <r>
    <s v="Sistema de Compensação"/>
    <x v="2"/>
    <x v="1"/>
    <x v="1"/>
    <x v="0"/>
    <x v="1"/>
    <x v="0"/>
    <x v="1"/>
    <x v="8"/>
    <n v="0"/>
    <n v="0"/>
    <n v="0.876"/>
    <n v="0.876"/>
    <n v="0.876"/>
    <n v="0.876"/>
    <n v="8"/>
    <s v="CATIVO"/>
    <n v="0"/>
    <n v="0"/>
    <n v="75"/>
    <n v="53"/>
    <n v="0"/>
    <n v="424.73"/>
    <n v="196.3"/>
    <m/>
    <n v="643.74466388362384"/>
    <n v="124.37986999682667"/>
    <n v="0"/>
    <n v="74.18844"/>
    <n v="0"/>
    <n v="50.64666281456914"/>
    <x v="1"/>
  </r>
  <r>
    <s v="Regular"/>
    <x v="2"/>
    <x v="1"/>
    <x v="1"/>
    <x v="0"/>
    <x v="1"/>
    <x v="0"/>
    <x v="1"/>
    <x v="9"/>
    <n v="0"/>
    <n v="0"/>
    <n v="36.369999999999997"/>
    <n v="36.369999999999997"/>
    <n v="36.369999999999997"/>
    <n v="36.369999999999997"/>
    <n v="170"/>
    <s v="CATIVO"/>
    <n v="0"/>
    <n v="0"/>
    <n v="75"/>
    <n v="53"/>
    <n v="0"/>
    <n v="424.73"/>
    <n v="196.3"/>
    <m/>
    <n v="643.74466388362384"/>
    <n v="124.37986999682667"/>
    <n v="0"/>
    <n v="3080.1752999999999"/>
    <n v="0"/>
    <n v="2102.761560006712"/>
    <x v="1"/>
  </r>
  <r>
    <s v="Sistema de Compensação"/>
    <x v="2"/>
    <x v="1"/>
    <x v="1"/>
    <x v="0"/>
    <x v="1"/>
    <x v="0"/>
    <x v="1"/>
    <x v="9"/>
    <n v="0"/>
    <n v="0"/>
    <n v="3.0179999999999998"/>
    <n v="3.0179999999999998"/>
    <n v="3.0179999999999998"/>
    <n v="3.0179999999999998"/>
    <n v="8"/>
    <s v="CATIVO"/>
    <n v="0"/>
    <n v="0"/>
    <n v="75"/>
    <n v="53"/>
    <n v="0"/>
    <n v="424.73"/>
    <n v="196.3"/>
    <m/>
    <n v="643.74466388362384"/>
    <n v="124.37986999682667"/>
    <n v="0"/>
    <n v="255.59441999999999"/>
    <n v="0"/>
    <n v="174.48816024471424"/>
    <x v="1"/>
  </r>
  <r>
    <s v="Regular"/>
    <x v="2"/>
    <x v="1"/>
    <x v="1"/>
    <x v="0"/>
    <x v="1"/>
    <x v="0"/>
    <x v="1"/>
    <x v="10"/>
    <n v="0"/>
    <n v="0"/>
    <n v="30.863"/>
    <n v="30.863"/>
    <n v="30.863"/>
    <n v="30.863"/>
    <n v="167"/>
    <s v="CATIVO"/>
    <n v="0"/>
    <n v="0"/>
    <n v="75"/>
    <n v="53"/>
    <n v="0"/>
    <n v="424.73"/>
    <n v="196.3"/>
    <m/>
    <n v="643.74466388362384"/>
    <n v="124.37986999682667"/>
    <n v="0"/>
    <n v="2613.7874699999998"/>
    <n v="0"/>
    <n v="1784.3698110114697"/>
    <x v="1"/>
  </r>
  <r>
    <s v="Sistema de Compensação"/>
    <x v="2"/>
    <x v="1"/>
    <x v="1"/>
    <x v="0"/>
    <x v="1"/>
    <x v="0"/>
    <x v="1"/>
    <x v="10"/>
    <n v="0"/>
    <n v="0"/>
    <n v="0.85699999999999998"/>
    <n v="0.85699999999999998"/>
    <n v="0.85699999999999998"/>
    <n v="0.85699999999999998"/>
    <n v="8"/>
    <s v="CATIVO"/>
    <n v="0"/>
    <n v="0"/>
    <n v="75"/>
    <n v="53"/>
    <n v="0"/>
    <n v="424.73"/>
    <n v="196.3"/>
    <m/>
    <n v="643.74466388362384"/>
    <n v="124.37986999682667"/>
    <n v="0"/>
    <n v="72.579329999999999"/>
    <n v="0"/>
    <n v="49.548162137084191"/>
    <x v="1"/>
  </r>
  <r>
    <s v="Regular"/>
    <x v="2"/>
    <x v="1"/>
    <x v="1"/>
    <x v="0"/>
    <x v="1"/>
    <x v="0"/>
    <x v="1"/>
    <x v="11"/>
    <n v="0"/>
    <n v="0"/>
    <n v="35.078000000000003"/>
    <n v="35.078000000000003"/>
    <n v="35.078000000000003"/>
    <n v="35.078000000000003"/>
    <n v="169"/>
    <s v="CATIVO"/>
    <n v="0"/>
    <n v="0"/>
    <n v="75"/>
    <n v="53"/>
    <n v="0"/>
    <n v="424.73"/>
    <n v="196.3"/>
    <m/>
    <n v="643.74466388362384"/>
    <n v="124.37986999682667"/>
    <n v="0"/>
    <n v="2970.7558200000003"/>
    <n v="0"/>
    <n v="2028.0635139377357"/>
    <x v="1"/>
  </r>
  <r>
    <s v="Sistema de Compensação"/>
    <x v="2"/>
    <x v="1"/>
    <x v="1"/>
    <x v="0"/>
    <x v="1"/>
    <x v="0"/>
    <x v="1"/>
    <x v="11"/>
    <n v="0"/>
    <n v="0"/>
    <n v="0.57299999999999995"/>
    <n v="0.57299999999999995"/>
    <n v="0.57299999999999995"/>
    <n v="0.57299999999999995"/>
    <n v="8"/>
    <s v="CATIVO"/>
    <n v="0"/>
    <n v="0"/>
    <n v="75"/>
    <n v="53"/>
    <n v="0"/>
    <n v="424.73"/>
    <n v="196.3"/>
    <m/>
    <n v="643.74466388362384"/>
    <n v="124.37986999682667"/>
    <n v="0"/>
    <n v="48.527369999999998"/>
    <n v="0"/>
    <n v="33.128467799940772"/>
    <x v="1"/>
  </r>
  <r>
    <s v="Regular"/>
    <x v="3"/>
    <x v="1"/>
    <x v="2"/>
    <x v="1"/>
    <x v="1"/>
    <x v="0"/>
    <x v="1"/>
    <x v="0"/>
    <n v="0"/>
    <n v="0"/>
    <n v="23.096"/>
    <n v="21.710239999999999"/>
    <n v="23.096"/>
    <n v="21.710239999999999"/>
    <n v="8"/>
    <s v="CATIVO"/>
    <n v="0"/>
    <n v="0"/>
    <n v="36"/>
    <n v="81"/>
    <n v="0"/>
    <n v="482.65"/>
    <n v="223.07"/>
    <m/>
    <n v="692.19856331572464"/>
    <n v="133.74179569551256"/>
    <n v="0"/>
    <n v="977.95854720000079"/>
    <n v="0"/>
    <n v="1144.555111903413"/>
    <x v="2"/>
  </r>
  <r>
    <s v="Regular"/>
    <x v="3"/>
    <x v="1"/>
    <x v="2"/>
    <x v="1"/>
    <x v="1"/>
    <x v="0"/>
    <x v="1"/>
    <x v="1"/>
    <n v="0"/>
    <n v="0"/>
    <n v="20.457999999999998"/>
    <n v="19.230519999999999"/>
    <n v="20.457999999999998"/>
    <n v="19.230519999999999"/>
    <n v="8"/>
    <s v="CATIVO"/>
    <n v="0"/>
    <n v="0"/>
    <n v="36"/>
    <n v="81"/>
    <n v="0"/>
    <n v="482.65"/>
    <n v="223.07"/>
    <m/>
    <n v="692.19856331572464"/>
    <n v="133.74179569551256"/>
    <n v="0"/>
    <n v="866.25718559999984"/>
    <n v="0"/>
    <n v="1013.8252718791134"/>
    <x v="2"/>
  </r>
  <r>
    <s v="Regular"/>
    <x v="3"/>
    <x v="1"/>
    <x v="2"/>
    <x v="1"/>
    <x v="1"/>
    <x v="0"/>
    <x v="1"/>
    <x v="2"/>
    <n v="0"/>
    <n v="0"/>
    <n v="22.648"/>
    <n v="21.28912"/>
    <n v="22.648"/>
    <n v="21.28912"/>
    <n v="8"/>
    <s v="CATIVO"/>
    <n v="0"/>
    <n v="0"/>
    <n v="36"/>
    <n v="81"/>
    <n v="0"/>
    <n v="482.65"/>
    <n v="223.07"/>
    <m/>
    <n v="692.19856331572464"/>
    <n v="133.74179569551256"/>
    <n v="0"/>
    <n v="958.98879359999933"/>
    <n v="0"/>
    <n v="1122.3538350531894"/>
    <x v="2"/>
  </r>
  <r>
    <s v="Regular"/>
    <x v="3"/>
    <x v="1"/>
    <x v="2"/>
    <x v="1"/>
    <x v="1"/>
    <x v="0"/>
    <x v="1"/>
    <x v="3"/>
    <n v="0"/>
    <n v="0"/>
    <n v="21.591000000000001"/>
    <n v="20.295539999999999"/>
    <n v="21.591000000000001"/>
    <n v="20.295539999999999"/>
    <n v="8"/>
    <s v="CATIVO"/>
    <n v="0"/>
    <n v="0"/>
    <n v="36"/>
    <n v="81"/>
    <n v="0"/>
    <n v="482.65"/>
    <n v="223.07"/>
    <m/>
    <n v="692.19856331572464"/>
    <n v="133.74179569551256"/>
    <n v="0"/>
    <n v="914.23203120000142"/>
    <n v="0"/>
    <n v="1069.972697484699"/>
    <x v="2"/>
  </r>
  <r>
    <s v="Regular"/>
    <x v="3"/>
    <x v="1"/>
    <x v="2"/>
    <x v="1"/>
    <x v="1"/>
    <x v="0"/>
    <x v="1"/>
    <x v="4"/>
    <n v="0"/>
    <n v="0"/>
    <n v="29.577000000000002"/>
    <n v="27.802379999999999"/>
    <n v="29.577000000000002"/>
    <n v="27.802379999999999"/>
    <n v="8"/>
    <s v="CATIVO"/>
    <n v="0"/>
    <n v="0"/>
    <n v="36"/>
    <n v="81"/>
    <n v="0"/>
    <n v="482.65"/>
    <n v="223.07"/>
    <m/>
    <n v="692.19856331572464"/>
    <n v="133.74179569551256"/>
    <n v="0"/>
    <n v="1252.3848264000017"/>
    <n v="0"/>
    <n v="1465.7302799085237"/>
    <x v="2"/>
  </r>
  <r>
    <s v="Regular"/>
    <x v="3"/>
    <x v="1"/>
    <x v="2"/>
    <x v="1"/>
    <x v="1"/>
    <x v="0"/>
    <x v="1"/>
    <x v="5"/>
    <n v="0"/>
    <n v="0"/>
    <n v="32.270000000000003"/>
    <n v="30.3338"/>
    <n v="32.270000000000003"/>
    <n v="30.3338"/>
    <n v="8"/>
    <s v="CATIVO"/>
    <n v="0"/>
    <n v="0"/>
    <n v="36"/>
    <n v="81"/>
    <n v="0"/>
    <n v="482.65"/>
    <n v="223.07"/>
    <m/>
    <n v="692.19856331572464"/>
    <n v="133.74179569551256"/>
    <n v="0"/>
    <n v="1366.4150640000021"/>
    <n v="0"/>
    <n v="1599.18572311756"/>
    <x v="2"/>
  </r>
  <r>
    <s v="Regular"/>
    <x v="3"/>
    <x v="1"/>
    <x v="2"/>
    <x v="1"/>
    <x v="1"/>
    <x v="0"/>
    <x v="1"/>
    <x v="6"/>
    <n v="0"/>
    <n v="0"/>
    <n v="30.125"/>
    <n v="28.317499999999999"/>
    <n v="30.125"/>
    <n v="28.317499999999999"/>
    <n v="8"/>
    <s v="CATIVO"/>
    <n v="0"/>
    <n v="0"/>
    <n v="36"/>
    <n v="81"/>
    <n v="0"/>
    <n v="482.65"/>
    <n v="223.07"/>
    <m/>
    <n v="692.19856331572464"/>
    <n v="133.74179569551256"/>
    <n v="0"/>
    <n v="1275.5889000000006"/>
    <n v="0"/>
    <n v="1492.8871989128122"/>
    <x v="2"/>
  </r>
  <r>
    <s v="Regular"/>
    <x v="3"/>
    <x v="1"/>
    <x v="2"/>
    <x v="1"/>
    <x v="1"/>
    <x v="0"/>
    <x v="1"/>
    <x v="7"/>
    <n v="0"/>
    <n v="0"/>
    <n v="24.422999999999998"/>
    <n v="22.957619999999999"/>
    <n v="24.422999999999998"/>
    <n v="22.957619999999999"/>
    <n v="8"/>
    <s v="CATIVO"/>
    <n v="0"/>
    <n v="0"/>
    <n v="36"/>
    <n v="81"/>
    <n v="0"/>
    <n v="482.65"/>
    <n v="223.07"/>
    <m/>
    <n v="692.19856331572464"/>
    <n v="133.74179569551256"/>
    <n v="0"/>
    <n v="1034.1479735999997"/>
    <n v="0"/>
    <n v="1210.3164832878865"/>
    <x v="2"/>
  </r>
  <r>
    <s v="Regular"/>
    <x v="3"/>
    <x v="1"/>
    <x v="2"/>
    <x v="1"/>
    <x v="1"/>
    <x v="0"/>
    <x v="1"/>
    <x v="8"/>
    <n v="0"/>
    <n v="0"/>
    <n v="25.241"/>
    <n v="23.72654"/>
    <n v="25.241"/>
    <n v="23.72654"/>
    <n v="8"/>
    <s v="CATIVO"/>
    <n v="0"/>
    <n v="0"/>
    <n v="36"/>
    <n v="81"/>
    <n v="0"/>
    <n v="482.65"/>
    <n v="223.07"/>
    <m/>
    <n v="692.19856331572464"/>
    <n v="133.74179569551256"/>
    <n v="0"/>
    <n v="1068.7847111999997"/>
    <n v="0"/>
    <n v="1250.8536361081581"/>
    <x v="2"/>
  </r>
  <r>
    <s v="Regular"/>
    <x v="3"/>
    <x v="1"/>
    <x v="2"/>
    <x v="1"/>
    <x v="1"/>
    <x v="0"/>
    <x v="1"/>
    <x v="9"/>
    <n v="0"/>
    <n v="0"/>
    <n v="22.896999999999998"/>
    <n v="21.52318"/>
    <n v="22.896999999999998"/>
    <n v="21.52318"/>
    <n v="8"/>
    <s v="CATIVO"/>
    <n v="0"/>
    <n v="0"/>
    <n v="36"/>
    <n v="81"/>
    <n v="0"/>
    <n v="482.65"/>
    <n v="223.07"/>
    <m/>
    <n v="692.19856331572464"/>
    <n v="133.74179569551256"/>
    <n v="0"/>
    <n v="969.53225039999893"/>
    <n v="0"/>
    <n v="1134.6933840168167"/>
    <x v="2"/>
  </r>
  <r>
    <s v="Regular"/>
    <x v="3"/>
    <x v="1"/>
    <x v="2"/>
    <x v="1"/>
    <x v="1"/>
    <x v="0"/>
    <x v="1"/>
    <x v="10"/>
    <n v="0"/>
    <n v="0"/>
    <n v="19.231999999999999"/>
    <n v="18.07808"/>
    <n v="19.231999999999999"/>
    <n v="18.07808"/>
    <n v="8"/>
    <s v="CATIVO"/>
    <n v="0"/>
    <n v="0"/>
    <n v="36"/>
    <n v="81"/>
    <n v="0"/>
    <n v="482.65"/>
    <n v="223.07"/>
    <m/>
    <n v="692.19856331572464"/>
    <n v="133.74179569551256"/>
    <n v="0"/>
    <n v="814.34442239999953"/>
    <n v="0"/>
    <n v="953.06909907024635"/>
    <x v="2"/>
  </r>
  <r>
    <s v="Regular"/>
    <x v="3"/>
    <x v="1"/>
    <x v="2"/>
    <x v="1"/>
    <x v="1"/>
    <x v="0"/>
    <x v="1"/>
    <x v="11"/>
    <n v="0"/>
    <n v="0"/>
    <n v="24.995999999999999"/>
    <n v="23.49624"/>
    <n v="24.995999999999999"/>
    <n v="23.49624"/>
    <n v="8"/>
    <s v="CATIVO"/>
    <n v="0"/>
    <n v="0"/>
    <n v="36"/>
    <n v="81"/>
    <n v="0"/>
    <n v="482.65"/>
    <n v="223.07"/>
    <m/>
    <n v="692.19856331572464"/>
    <n v="133.74179569551256"/>
    <n v="0"/>
    <n v="1058.4106271999988"/>
    <n v="0"/>
    <n v="1238.712312830691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9C82D-6094-4A71-A897-F9B1F5780865}" name="Efeito Resumo" cacheId="11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561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9">
        <item x="0"/>
        <item x="5"/>
        <item x="7"/>
        <item x="1"/>
        <item x="6"/>
        <item x="4"/>
        <item x="2"/>
        <item x="3"/>
        <item t="default"/>
      </items>
    </pivotField>
    <pivotField axis="axisRow" showAll="0">
      <items count="9">
        <item x="1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60">
    <i>
      <x/>
    </i>
    <i r="1">
      <x/>
    </i>
    <i r="2">
      <x v="2"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5"/>
    </i>
    <i r="4">
      <x v="3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3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70">
    <format dxfId="575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7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7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72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71">
      <pivotArea type="all" dataOnly="0" outline="0" fieldPosition="0"/>
    </format>
    <format dxfId="570">
      <pivotArea outline="0" collapsedLevelsAreSubtotals="1" fieldPosition="0"/>
    </format>
    <format dxfId="569">
      <pivotArea field="16" type="button" dataOnly="0" labelOnly="1" outline="0" axis="axisRow" fieldPosition="0"/>
    </format>
    <format dxfId="568">
      <pivotArea dataOnly="0" labelOnly="1" fieldPosition="0">
        <references count="1">
          <reference field="16" count="0"/>
        </references>
      </pivotArea>
    </format>
    <format dxfId="567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66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6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55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6"/>
            <x v="7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55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55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4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4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54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4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54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4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4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4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53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1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1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1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0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9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9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97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9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9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9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4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7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6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6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6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6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6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5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5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5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4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4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3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4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44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43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38">
      <pivotArea type="all" dataOnly="0" outline="0" fieldPosition="0"/>
    </format>
    <format dxfId="437">
      <pivotArea outline="0" collapsedLevelsAreSubtotals="1" fieldPosition="0"/>
    </format>
    <format dxfId="436">
      <pivotArea field="16" type="button" dataOnly="0" labelOnly="1" outline="0" axis="axisRow" fieldPosition="0"/>
    </format>
    <format dxfId="435">
      <pivotArea dataOnly="0" labelOnly="1" fieldPosition="0">
        <references count="1">
          <reference field="16" count="0"/>
        </references>
      </pivotArea>
    </format>
    <format dxfId="434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33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3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2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6"/>
            <x v="7"/>
          </reference>
          <reference field="16" count="1" selected="0">
            <x v="0"/>
          </reference>
        </references>
      </pivotArea>
    </format>
    <format dxfId="42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1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40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38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36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6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6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5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5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5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4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4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3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3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3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3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3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3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2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2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2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2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1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1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1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1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1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1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1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1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1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10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0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0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30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3C3DD-90B1-4961-A89D-B43FD1FC8265}" name="Subsidio Resumo" cacheId="11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54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8">
        <item x="1"/>
        <item x="0"/>
        <item x="2"/>
        <item x="3"/>
        <item x="4"/>
        <item x="5"/>
        <item x="6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2"/>
        <item x="4"/>
        <item x="0"/>
        <item x="1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53">
    <i>
      <x/>
    </i>
    <i r="1">
      <x/>
    </i>
    <i r="2">
      <x v="1"/>
    </i>
    <i r="3">
      <x v="3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3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1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/>
    </i>
    <i r="4">
      <x v="1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2"/>
    </i>
    <i r="4">
      <x v="1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2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 v="1"/>
    </i>
    <i r="4">
      <x v="2"/>
    </i>
    <i r="5">
      <x v="1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56">
    <format dxfId="305">
      <pivotArea outline="0" collapsedLevelsAreSubtotals="1" fieldPosition="0"/>
    </format>
    <format dxfId="30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03">
      <pivotArea type="all" dataOnly="0" outline="0" fieldPosition="0"/>
    </format>
    <format dxfId="302">
      <pivotArea outline="0" collapsedLevelsAreSubtotals="1" fieldPosition="0"/>
    </format>
    <format dxfId="301">
      <pivotArea field="31" type="button" dataOnly="0" labelOnly="1" outline="0" axis="axisRow" fieldPosition="0"/>
    </format>
    <format dxfId="300">
      <pivotArea dataOnly="0" labelOnly="1" fieldPosition="0">
        <references count="1">
          <reference field="31" count="0"/>
        </references>
      </pivotArea>
    </format>
    <format dxfId="299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9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97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96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95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9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93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9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91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9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89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88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8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8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8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84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83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8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8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28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7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7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7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7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27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27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27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7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7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7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6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6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6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6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6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6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6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6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6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6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5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5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5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5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5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5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5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5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5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4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4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4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4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4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4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3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3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3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3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3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2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26">
      <pivotArea type="all" dataOnly="0" outline="0" fieldPosition="0"/>
    </format>
    <format dxfId="225">
      <pivotArea outline="0" collapsedLevelsAreSubtotals="1" fieldPosition="0"/>
    </format>
    <format dxfId="224">
      <pivotArea field="31" type="button" dataOnly="0" labelOnly="1" outline="0" axis="axisRow" fieldPosition="0"/>
    </format>
    <format dxfId="223">
      <pivotArea dataOnly="0" labelOnly="1" fieldPosition="0">
        <references count="1">
          <reference field="31" count="0"/>
        </references>
      </pivotArea>
    </format>
    <format dxfId="222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21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20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1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18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17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1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1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1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1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1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1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1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0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0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0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06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0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0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20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0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0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19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19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19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19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9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9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89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8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8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8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8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8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8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8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7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7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7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7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7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6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E79430B-8251-43FB-A107-4006F2358971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7EA1E89-A29E-48FE-A425-3C001E75C3ED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A5E5E5F-2504-4BA0-A104-3AD1DA1A2A9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5A0EE-8689-43AA-B158-9534D09B69AA}" name="Efeito" displayName="Efeito" ref="A1:AG587" totalsRowShown="0" headerRowDxfId="644" dataDxfId="643">
  <autoFilter ref="A1:AG587" xr:uid="{1435A0EE-8689-43AA-B158-9534D09B69AA}"/>
  <tableColumns count="33">
    <tableColumn id="1" xr3:uid="{03DE5547-7010-4368-BA52-2E0637F389B4}" name="TipoMercado" dataDxfId="642"/>
    <tableColumn id="2" xr3:uid="{B9E3401C-9720-48EF-B265-44E16E7BB15F}" name="Subgrupo" dataDxfId="641"/>
    <tableColumn id="3" xr3:uid="{84756C5B-69FE-47DC-A9BB-734E875907AE}" name="Modalidade" dataDxfId="640"/>
    <tableColumn id="4" xr3:uid="{302D4FE7-122E-44D5-892E-100A9D419E96}" name="Classe" dataDxfId="639"/>
    <tableColumn id="5" xr3:uid="{6D4B1F85-8C06-4C46-8E71-12BC9A1F85EF}" name="Subclasse" dataDxfId="638"/>
    <tableColumn id="6" xr3:uid="{C4D5ACD2-05B8-47C6-A6AA-DEC9F5EA867B}" name="Detalhe" dataDxfId="637"/>
    <tableColumn id="7" xr3:uid="{1039FF06-18E2-4D45-9D8F-6BFDAEEBA669}" name="Agente" dataDxfId="636"/>
    <tableColumn id="8" xr3:uid="{860558EC-90A1-4A5E-91C7-B6E8E10AB9BF}" name="Posto" dataDxfId="635"/>
    <tableColumn id="9" xr3:uid="{E0BFF985-DA82-4D53-AF30-1F244EFA5D67}" name="AnoMes" dataDxfId="634"/>
    <tableColumn id="10" xr3:uid="{891A5D1B-6BBE-48DB-9983-2B66B8A78BBD}" name="D" dataDxfId="633"/>
    <tableColumn id="11" xr3:uid="{B48B0356-20EE-46DA-905E-35EB943A13A1}" name="Daj" dataDxfId="632"/>
    <tableColumn id="12" xr3:uid="{50E277A7-D1AD-40C2-A64F-3EDF0519398D}" name="TUSD_E" dataDxfId="631"/>
    <tableColumn id="13" xr3:uid="{AE2513F1-B650-4748-840B-7F68515AFAD6}" name="TUSD_Eaj" dataDxfId="630"/>
    <tableColumn id="14" xr3:uid="{9903EEC8-A331-4574-82EB-1DB204F1EF06}" name="TE_E" dataDxfId="629"/>
    <tableColumn id="15" xr3:uid="{B400DFB6-79FE-4A5F-A050-BDCD53A04319}" name="TE_Eaj" dataDxfId="628"/>
    <tableColumn id="16" xr3:uid="{4CF186EF-375F-490D-BA43-10296B774635}" name="UC" dataDxfId="627"/>
    <tableColumn id="17" xr3:uid="{940D724A-8BFB-426D-8C19-A6E4AD863354}" name="OPÇÃO" dataDxfId="626"/>
    <tableColumn id="18" xr3:uid="{853D4842-C87C-46A5-A517-7DC1AEC2B643}" name="CóD. AUX." dataDxfId="625"/>
    <tableColumn id="19" xr3:uid="{6F5CCDBE-419C-420C-9F3A-3EE86D6E252D}" name="CóD. AUX. TUSD R$/kW" dataDxfId="624"/>
    <tableColumn id="20" xr3:uid="{22672792-1CFD-4E88-853E-ECFD95BB7A1C}" name="CóD. AUX. TUSD R$/MWh" dataDxfId="623"/>
    <tableColumn id="21" xr3:uid="{F4044B07-DEA9-45AF-A39E-99145D4A5F45}" name="CóD. AUX. TE R$/MWh" dataDxfId="622"/>
    <tableColumn id="22" xr3:uid="{C50959F4-C038-4964-8641-0539FBB94A8A}" name="TUSD (R$/kW)" dataDxfId="621"/>
    <tableColumn id="23" xr3:uid="{6B7886D0-0E59-429A-AC5D-9B2E649DEBC3}" name="TUSD (R$/MWh)" dataDxfId="620"/>
    <tableColumn id="24" xr3:uid="{22A663E8-2CB0-463C-845C-D46434C849E7}" name="TE (R$/MWh)" dataDxfId="619"/>
    <tableColumn id="25" xr3:uid="{18FA1477-0E83-46EE-A2B8-E14509B59B71}" name="TUSD (R$/kW) NOVA" dataDxfId="618"/>
    <tableColumn id="26" xr3:uid="{D1456E40-D434-41C5-A2DF-10A7605E40FC}" name="TUSD (R$/MWh) NOVA" dataDxfId="617">
      <calculatedColumnFormula>('TUSD BE'!$AM$51+'TUSD BF'!$AM$51+'TUSD CVA'!$AM$51)*1</calculatedColumnFormula>
    </tableColumn>
    <tableColumn id="27" xr3:uid="{432307FF-0285-423C-8202-62F1216237F5}" name="TE (R$/MWh) NOVA" dataDxfId="616">
      <calculatedColumnFormula>('TE BE'!$AB$41+'TE BF'!$AB$41+'TE CVA'!$AB$41)*1</calculatedColumnFormula>
    </tableColumn>
    <tableColumn id="28" xr3:uid="{8CFD730E-4E70-4C75-A6C2-754DBA995E21}" name="RA0 ou RV - TUSD (kW)" dataDxfId="615"/>
    <tableColumn id="29" xr3:uid="{6DC4FC67-E9B1-45FB-BD72-A6BA00E572F5}" name="RA0 ou RV - TUSD (MWh)" dataDxfId="614"/>
    <tableColumn id="30" xr3:uid="{363FAEF2-9B08-404A-8C7E-B617BD7D9C54}" name="RA0 ou RV - TE (MWh)" dataDxfId="613"/>
    <tableColumn id="31" xr3:uid="{28868384-50B1-4990-96C4-3681CCDE1B23}" name="RA1 ou RRD - TUSD (kW)" dataDxfId="612"/>
    <tableColumn id="32" xr3:uid="{438D3254-63D6-457C-8361-3AB9633F2DB0}" name="RA1 ou RRD - TUSD (MWh)" dataDxfId="611"/>
    <tableColumn id="33" xr3:uid="{1AE2E592-C34B-4FE6-88DD-03EE43948F7B}" name="RA1 ou RRD - TE (MWh)" dataDxfId="6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AD79-0960-4FC8-BC34-FA2AFF79F39A}" name="Subsidio" displayName="Subsidio" ref="A1:AF230" totalsRowShown="0" headerRowDxfId="609" dataDxfId="608">
  <autoFilter ref="A1:AF230" xr:uid="{DD55AD79-0960-4FC8-BC34-FA2AFF79F39A}"/>
  <tableColumns count="32">
    <tableColumn id="1" xr3:uid="{758A9DAA-4DF0-453C-B8FA-411A44E4E9BB}" name="TipoMercado" dataDxfId="607"/>
    <tableColumn id="2" xr3:uid="{0E1A9C9E-584F-4B57-B233-F8C8E788E4A7}" name="Subgrupo" dataDxfId="606"/>
    <tableColumn id="3" xr3:uid="{DA7FA0CF-0294-4C06-9F00-DCC9774AA0EF}" name="Modalidade" dataDxfId="605"/>
    <tableColumn id="4" xr3:uid="{9CB5FB3E-18E0-44CA-908A-DBD1C068067C}" name="Classe" dataDxfId="604"/>
    <tableColumn id="5" xr3:uid="{B54FC2FF-E655-4EAC-B99F-7FD4A24C0103}" name="Subclasse" dataDxfId="603"/>
    <tableColumn id="6" xr3:uid="{497F6265-B1A7-487E-8849-20043EFE4E59}" name="Detalhe" dataDxfId="602"/>
    <tableColumn id="7" xr3:uid="{33E0AAB7-59CA-409F-83D8-2BF072266383}" name="Agente" dataDxfId="601"/>
    <tableColumn id="8" xr3:uid="{F2FD260E-791D-4F90-8121-13798FA87035}" name="Posto" dataDxfId="600"/>
    <tableColumn id="9" xr3:uid="{0DA157FE-E157-4366-B255-CD7459AAB018}" name="AnoMes" dataDxfId="599"/>
    <tableColumn id="10" xr3:uid="{D2255FEB-7435-44B0-872B-5CC5EFA051E1}" name="D" dataDxfId="598"/>
    <tableColumn id="11" xr3:uid="{E005C609-0F02-400D-B491-BF2041A6F454}" name="Daj" dataDxfId="597"/>
    <tableColumn id="12" xr3:uid="{7FE33045-3C72-465E-A575-93223DAFF3FC}" name="TUSD_E" dataDxfId="596"/>
    <tableColumn id="13" xr3:uid="{0FB63EBE-196D-4A74-AE70-8EFE3EE31547}" name="TUSD_Eaj" dataDxfId="595"/>
    <tableColumn id="14" xr3:uid="{488B0519-B414-4EBD-BBFE-0E7B0419EB9D}" name="TE_E" dataDxfId="594"/>
    <tableColumn id="15" xr3:uid="{89AACBFB-BA83-47BC-A715-3A40674021B4}" name="TE_Eaj" dataDxfId="593"/>
    <tableColumn id="16" xr3:uid="{44BD2A90-EA7F-4462-B6ED-DDEF75260F35}" name="UC" dataDxfId="592"/>
    <tableColumn id="17" xr3:uid="{F027E2CB-FF9F-457E-810D-B29DE6280249}" name="OPÇÃO" dataDxfId="591"/>
    <tableColumn id="18" xr3:uid="{9EEEA12A-6432-4FEC-AF38-689DFDF54CAC}" name="CóD. AUX." dataDxfId="590"/>
    <tableColumn id="19" xr3:uid="{8FE5024D-7905-4206-9735-AC4AD473D175}" name="CóD. AUX. TUSD R$/kW" dataDxfId="589"/>
    <tableColumn id="20" xr3:uid="{50098931-51BA-431D-BA66-EF34291F51E8}" name="CóD. AUX. TUSD R$/MWh" dataDxfId="588"/>
    <tableColumn id="21" xr3:uid="{E07A1A7E-7807-4AAC-B8D7-CC5726884D5A}" name="CóD. AUX. TE R$/MWh" dataDxfId="587"/>
    <tableColumn id="22" xr3:uid="{C9969C0F-8630-4900-AB28-2B452E10D8B5}" name="TUSD (R$/kW)" dataDxfId="586"/>
    <tableColumn id="23" xr3:uid="{353F7CE9-1BA2-4694-ACD8-8BC65B0AFA3C}" name="TUSD (R$/MWh)" dataDxfId="585"/>
    <tableColumn id="24" xr3:uid="{AAC7AF15-37B2-47FB-9322-5211CD12AE8E}" name="TE (R$/MWh)" dataDxfId="584"/>
    <tableColumn id="25" xr3:uid="{F16D87A6-1987-45AA-AA65-133E135D5F2E}" name="TUSD (R$/kW) NOVA" dataDxfId="583"/>
    <tableColumn id="26" xr3:uid="{27ED5E7A-8C50-4102-9733-1FE226C70D67}" name="TUSD (R$/MWh) NOVA" dataDxfId="582">
      <calculatedColumnFormula>('TUSD BE'!$AM$48+'TUSD BF'!$AM$48+'TUSD CVA'!$AM$48)*1</calculatedColumnFormula>
    </tableColumn>
    <tableColumn id="27" xr3:uid="{AB96CCAA-4491-4C9B-824A-6AA3D3868D69}" name="TE (R$/MWh) NOVA" dataDxfId="581">
      <calculatedColumnFormula>('TE BE'!$AB$38+'TE BF'!$AB$38+'TE CVA'!$AB$38)*1</calculatedColumnFormula>
    </tableColumn>
    <tableColumn id="28" xr3:uid="{E618CED4-23CA-4883-8AC7-C213068C5EF5}" name="SUBSIDIO kW - TV" dataDxfId="580">
      <calculatedColumnFormula>(J2-K2)*V2</calculatedColumnFormula>
    </tableColumn>
    <tableColumn id="29" xr3:uid="{3BB88288-2A9F-43DA-8B03-273967E54B39}" name="SUBSIDIO MWh - TV" dataDxfId="579">
      <calculatedColumnFormula>(L2-M2)*W2+(N2-O2)*X2</calculatedColumnFormula>
    </tableColumn>
    <tableColumn id="30" xr3:uid="{8E2C4B1F-5B93-4BDC-95F8-0371EFB43ADE}" name="SUBSIDIO kW - TN" dataDxfId="578">
      <calculatedColumnFormula>(J2-K2)*Y2</calculatedColumnFormula>
    </tableColumn>
    <tableColumn id="31" xr3:uid="{DC5337AA-991C-45A6-A483-7B58D4C87AE7}" name="SUBSIDIO MWh - TN" dataDxfId="577">
      <calculatedColumnFormula>(L2-M2)*Z2+(N2-O2)*AA2</calculatedColumnFormula>
    </tableColumn>
    <tableColumn id="32" xr3:uid="{94C45FA5-6242-40A2-9E89-67227B241D8F}" name="TIPO" dataDxfId="5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46E7E-10F6-4675-9682-582697002F31}" name="TabelaFin" displayName="TabelaFin" ref="B3:AT49" tableType="queryTable" totalsRowShown="0" headerRowDxfId="101" dataDxfId="100" headerRowBorderDxfId="148" tableBorderDxfId="149" totalsRowBorderDxfId="147">
  <autoFilter ref="B3:AT49" xr:uid="{7D546E7E-10F6-4675-9682-582697002F31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12F0E0CA-7328-424D-A220-CC5C7203430C}" uniqueName="46" name="SUBGRUPO" queryTableFieldId="1" dataDxfId="146"/>
    <tableColumn id="47" xr3:uid="{292E9442-7903-46BC-BADE-9AD763A69667}" uniqueName="47" name="MODALIDADE" queryTableFieldId="2" dataDxfId="145"/>
    <tableColumn id="48" xr3:uid="{70C0047F-B053-481A-ADC0-9CD884298A40}" uniqueName="48" name="CLASSE" queryTableFieldId="3" dataDxfId="144"/>
    <tableColumn id="49" xr3:uid="{7F57AD31-7630-45FC-80E7-1A49CFFCFE31}" uniqueName="49" name="SUBCLASSE" queryTableFieldId="4" dataDxfId="143"/>
    <tableColumn id="50" xr3:uid="{92730D6B-E430-4014-B6DA-088634BD48E5}" uniqueName="50" name="DETALHE" queryTableFieldId="5" dataDxfId="142"/>
    <tableColumn id="51" xr3:uid="{7308E3CF-297F-46C3-8B36-194CC9E73A49}" uniqueName="51" name="POSTO" queryTableFieldId="6" dataDxfId="141"/>
    <tableColumn id="52" xr3:uid="{6EA14554-E900-4536-9C85-EFF7EC987355}" uniqueName="52" name="UNIDADE" queryTableFieldId="7" dataDxfId="140"/>
    <tableColumn id="53" xr3:uid="{0654ECF0-F6AB-416A-B130-2CC8E92417D1}" uniqueName="53" name="ACESSANTE" queryTableFieldId="8" dataDxfId="139"/>
    <tableColumn id="54" xr3:uid="{65D6DEA5-8B84-47B4-BA4D-018B9197A39B}" uniqueName="54" name="Total TUSD" queryTableFieldId="9" dataDxfId="138"/>
    <tableColumn id="55" xr3:uid="{26EAB33F-12EF-4A79-9265-9C2FFE766252}" uniqueName="55" name="Total TE" queryTableFieldId="10" dataDxfId="137"/>
    <tableColumn id="56" xr3:uid="{544DC4B4-B8F0-4D36-9477-946D2F68842F}" uniqueName="56" name="TUSD_CDE_COVID" queryTableFieldId="11" dataDxfId="136"/>
    <tableColumn id="57" xr3:uid="{B20AE98F-534D-472E-BA73-39F70B758C98}" uniqueName="57" name="TUSD_TFSEE" queryTableFieldId="12" dataDxfId="135"/>
    <tableColumn id="58" xr3:uid="{E3C3D7DA-F5F1-4738-BF33-1872AEE59001}" uniqueName="58" name="TUSD_PeD" queryTableFieldId="13" dataDxfId="134"/>
    <tableColumn id="59" xr3:uid="{87D27732-B177-4851-B341-59DDA10FF93F}" uniqueName="59" name="TUSD_ONS" queryTableFieldId="14" dataDxfId="133"/>
    <tableColumn id="60" xr3:uid="{22F6AAE9-68A6-4518-B5BC-749C0886E35C}" uniqueName="60" name="TUSD_CCC" queryTableFieldId="15" dataDxfId="132"/>
    <tableColumn id="61" xr3:uid="{1D198CDB-A5DC-445C-A53D-02D3102FE832}" uniqueName="61" name="TUSD_CDE" queryTableFieldId="16" dataDxfId="131"/>
    <tableColumn id="62" xr3:uid="{E6313CBC-5FB2-49B6-A014-8E67451D4E11}" uniqueName="62" name="TUSD_PROINFA" queryTableFieldId="17" dataDxfId="130"/>
    <tableColumn id="63" xr3:uid="{CD4F57CA-40CD-4EDA-B47B-DFD5FE70798F}" uniqueName="63" name="Liminar1" queryTableFieldId="18" dataDxfId="129"/>
    <tableColumn id="64" xr3:uid="{920B3BF5-F37A-47DD-BA72-B208DF568A9B}" uniqueName="64" name="TUSD_RB" queryTableFieldId="19" dataDxfId="128"/>
    <tableColumn id="65" xr3:uid="{0275C121-4D2D-4407-A55A-31BB7870C02B}" uniqueName="65" name="TUSD_FR" queryTableFieldId="20" dataDxfId="127"/>
    <tableColumn id="66" xr3:uid="{95F31D81-F8DC-4712-97C2-94C4E1606986}" uniqueName="66" name="TUSD_CCT" queryTableFieldId="21" dataDxfId="126"/>
    <tableColumn id="67" xr3:uid="{17F445E0-AB39-419D-8FC8-976F0E81D376}" uniqueName="67" name="TUSD_CCD" queryTableFieldId="22" dataDxfId="125"/>
    <tableColumn id="68" xr3:uid="{51D337A7-E87D-4697-87D1-EA55ED19B7DA}" uniqueName="68" name="TUSD_CUSD" queryTableFieldId="23" dataDxfId="124"/>
    <tableColumn id="69" xr3:uid="{AD8790EC-F8DD-435C-9BA9-B40C1AD26D03}" uniqueName="69" name="TUSDG_T" queryTableFieldId="24" dataDxfId="123"/>
    <tableColumn id="70" xr3:uid="{E8891083-C058-4185-843C-25F5A90B530C}" uniqueName="70" name="TUSDG_ONS" queryTableFieldId="25" dataDxfId="122"/>
    <tableColumn id="71" xr3:uid="{C0B4089B-1CAE-4617-AECC-25D2F19C3E5E}" uniqueName="71" name="TUSD_FioB" queryTableFieldId="26" dataDxfId="121"/>
    <tableColumn id="72" xr3:uid="{3DAB01FF-0F41-4437-825C-42F827A7AD10}" uniqueName="72" name="TUSD Subsidio" queryTableFieldId="27" dataDxfId="120"/>
    <tableColumn id="73" xr3:uid="{7062B17F-2C1F-4FDD-B3CE-674D01E0877C}" uniqueName="73" name="TUSD BENEFICIO_L14299" queryTableFieldId="28" dataDxfId="119"/>
    <tableColumn id="74" xr3:uid="{44C0F710-25CF-4B42-93A6-211597FC2E04}" uniqueName="74" name="TUSD Outros" queryTableFieldId="29" dataDxfId="118"/>
    <tableColumn id="75" xr3:uid="{C57202FC-7B3D-4CB4-811A-37FE3C88F10E}" uniqueName="75" name="TUSD_PT" queryTableFieldId="30" dataDxfId="117"/>
    <tableColumn id="76" xr3:uid="{AB9D9F5A-DCE9-4260-B9BD-A6FC6BF8EE6A}" uniqueName="76" name="TUSD_Per_RB_D" queryTableFieldId="31" dataDxfId="116"/>
    <tableColumn id="77" xr3:uid="{9A6112F1-492A-4F83-B864-2476788409BA}" uniqueName="77" name="TUSD_PNT" queryTableFieldId="32" dataDxfId="115"/>
    <tableColumn id="78" xr3:uid="{596F3D55-0E7F-44A6-AFFB-A677B7FFFE88}" uniqueName="78" name="TUSD_RI" queryTableFieldId="33" dataDxfId="114"/>
    <tableColumn id="79" xr3:uid="{2CA07ED3-AD82-4605-AAA8-C64D11FA0F40}" uniqueName="79" name="TE_CDE_COVID" queryTableFieldId="34" dataDxfId="113"/>
    <tableColumn id="80" xr3:uid="{FDBBE389-3550-4A40-BE20-E74F3F41CDA3}" uniqueName="80" name="TE_CDE_ELET" queryTableFieldId="35" dataDxfId="112"/>
    <tableColumn id="81" xr3:uid="{6351DA1D-3388-46D2-8BCE-98D57E12343C}" uniqueName="81" name="TE_PeD" queryTableFieldId="36" dataDxfId="111"/>
    <tableColumn id="82" xr3:uid="{38D245CE-2A1D-42DB-B666-ABA207470941}" uniqueName="82" name="TE_ESSERR" queryTableFieldId="37" dataDxfId="110"/>
    <tableColumn id="83" xr3:uid="{D2FF36F8-D390-444B-BDDD-CCC45817A61E}" uniqueName="83" name="TE_CFURH" queryTableFieldId="38" dataDxfId="109"/>
    <tableColumn id="84" xr3:uid="{C65ADE73-C755-476F-97D9-10A2B7968038}" uniqueName="84" name="TE_ENERGIA" queryTableFieldId="39" dataDxfId="108"/>
    <tableColumn id="85" xr3:uid="{D096C930-401F-4A84-8822-21326493EFDA}" uniqueName="85" name="TE_TRANSPORTE_ITAIPU" queryTableFieldId="40" dataDxfId="107"/>
    <tableColumn id="86" xr3:uid="{989FF83B-0B40-40EC-BE00-5E613487CF01}" uniqueName="86" name="TE_TUST_ITAIPU" queryTableFieldId="41" dataDxfId="106"/>
    <tableColumn id="87" xr3:uid="{9C0FA0AA-6D7E-44BC-9618-A9E4F3A6E0FB}" uniqueName="87" name="TE_TUST_CI" queryTableFieldId="42" dataDxfId="105"/>
    <tableColumn id="88" xr3:uid="{B5A47221-3087-4D4E-A7C4-A627F7F4BD67}" uniqueName="88" name="TE Subsidio" queryTableFieldId="43" dataDxfId="104"/>
    <tableColumn id="89" xr3:uid="{BA96D05A-42E7-4C4C-89B6-2B545708FE4D}" uniqueName="89" name="TE BENEFICIO_L14299" queryTableFieldId="44" dataDxfId="103"/>
    <tableColumn id="90" xr3:uid="{C1DEF5B8-A860-415E-95F5-DFBD68653653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E67FA-DDCC-4903-8EFB-61FA14DBE088}" name="TabelaEc" displayName="TabelaEc" ref="B3:AT49" tableType="queryTable" totalsRowShown="0" headerRowDxfId="51" dataDxfId="50" headerRowBorderDxfId="98" tableBorderDxfId="99" totalsRowBorderDxfId="97">
  <autoFilter ref="B3:AT49" xr:uid="{FC4E67FA-DDCC-4903-8EFB-61FA14DBE088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A2202952-527D-43D1-87E7-7020053F5EF1}" uniqueName="46" name="SUBGRUPO" queryTableFieldId="1" dataDxfId="96"/>
    <tableColumn id="47" xr3:uid="{811020FE-9ABA-4E57-8085-F5C596E5A2E5}" uniqueName="47" name="MODALIDADE" queryTableFieldId="2" dataDxfId="95"/>
    <tableColumn id="48" xr3:uid="{6170C5C3-47F7-490E-B1C8-14DC830709B5}" uniqueName="48" name="CLASSE" queryTableFieldId="3" dataDxfId="94"/>
    <tableColumn id="49" xr3:uid="{96AB2819-90F7-4F65-86A4-ACD33EDE0064}" uniqueName="49" name="SUBCLASSE" queryTableFieldId="4" dataDxfId="93"/>
    <tableColumn id="50" xr3:uid="{E20BC96C-BF1F-49F1-848E-4505275F11B9}" uniqueName="50" name="DETALHE" queryTableFieldId="5" dataDxfId="92"/>
    <tableColumn id="51" xr3:uid="{43A9EA1E-9C04-4D18-BEF2-C1CDE6CF6B78}" uniqueName="51" name="POSTO" queryTableFieldId="6" dataDxfId="91"/>
    <tableColumn id="52" xr3:uid="{B1C0DC08-5B1B-4EA1-9720-A52A41B9505A}" uniqueName="52" name="UNIDADE" queryTableFieldId="7" dataDxfId="90"/>
    <tableColumn id="53" xr3:uid="{3E1BBF25-0A07-49A5-BADB-E4011CE61803}" uniqueName="53" name="ACESSANTE" queryTableFieldId="8" dataDxfId="89"/>
    <tableColumn id="54" xr3:uid="{520129B9-C77F-44ED-B38F-4801EF46B6E0}" uniqueName="54" name="Total TUSD" queryTableFieldId="9" dataDxfId="88"/>
    <tableColumn id="55" xr3:uid="{D11ACF5A-378A-456C-BB15-31FA4812F5EE}" uniqueName="55" name="Total TE" queryTableFieldId="10" dataDxfId="87"/>
    <tableColumn id="56" xr3:uid="{4454D1B7-5038-4AD1-B788-AB28FE4EB7E5}" uniqueName="56" name="TUSD_CDE_COVID" queryTableFieldId="11" dataDxfId="86"/>
    <tableColumn id="57" xr3:uid="{5001D9CB-4169-47F6-8CFD-2DDFA770CE80}" uniqueName="57" name="TUSD_TFSEE" queryTableFieldId="12" dataDxfId="85"/>
    <tableColumn id="58" xr3:uid="{0E2658DD-F2AE-4A7B-AF1D-ADA7DA72F3A7}" uniqueName="58" name="TUSD_PeD" queryTableFieldId="13" dataDxfId="84"/>
    <tableColumn id="59" xr3:uid="{B6442B27-7899-4CCD-B6A9-0CDBC241F749}" uniqueName="59" name="TUSD_ONS" queryTableFieldId="14" dataDxfId="83"/>
    <tableColumn id="60" xr3:uid="{F3762126-2B08-4DBB-B169-422A0F1D662E}" uniqueName="60" name="TUSD_CCC" queryTableFieldId="15" dataDxfId="82"/>
    <tableColumn id="61" xr3:uid="{D1876ACC-F6DC-41C6-9A2A-FC858A4E9642}" uniqueName="61" name="TUSD_CDE" queryTableFieldId="16" dataDxfId="81"/>
    <tableColumn id="62" xr3:uid="{50852ABB-1900-40ED-88B0-B1601B53C52E}" uniqueName="62" name="TUSD_PROINFA" queryTableFieldId="17" dataDxfId="80"/>
    <tableColumn id="63" xr3:uid="{4B85C252-6277-4753-8D48-177E4BE9BAF1}" uniqueName="63" name="Liminar1" queryTableFieldId="18" dataDxfId="79"/>
    <tableColumn id="64" xr3:uid="{4EE113FA-2B0A-42D9-BE5F-0FE0BC0D46FC}" uniqueName="64" name="TUSD_RB" queryTableFieldId="19" dataDxfId="78"/>
    <tableColumn id="65" xr3:uid="{52AA2452-4F3E-46E2-A989-CD7B657116BE}" uniqueName="65" name="TUSD_FR" queryTableFieldId="20" dataDxfId="77"/>
    <tableColumn id="66" xr3:uid="{75AE32EF-A02B-4954-9061-1D42ABDDF14B}" uniqueName="66" name="TUSD_CCT" queryTableFieldId="21" dataDxfId="76"/>
    <tableColumn id="67" xr3:uid="{FA2B65E2-5684-4921-B88E-23642F37DBD0}" uniqueName="67" name="TUSD_CCD" queryTableFieldId="22" dataDxfId="75"/>
    <tableColumn id="68" xr3:uid="{113EF4D4-B6B2-46D6-A15F-612D0F2C606C}" uniqueName="68" name="TUSD_CUSD" queryTableFieldId="23" dataDxfId="74"/>
    <tableColumn id="69" xr3:uid="{21292893-12E4-4DBE-A372-B3D8F653B292}" uniqueName="69" name="TUSDG_T" queryTableFieldId="24" dataDxfId="73"/>
    <tableColumn id="70" xr3:uid="{8C7AA1EF-A3DA-4731-AA63-F60E97C2B159}" uniqueName="70" name="TUSDG_ONS" queryTableFieldId="25" dataDxfId="72"/>
    <tableColumn id="71" xr3:uid="{B4EF1DDC-731E-4A78-8629-C0348E5F4108}" uniqueName="71" name="TUSD_FioB" queryTableFieldId="26" dataDxfId="71"/>
    <tableColumn id="72" xr3:uid="{C7C9BB77-794F-4148-B360-03BA81E10B4C}" uniqueName="72" name="TUSD Subsidio" queryTableFieldId="27" dataDxfId="70"/>
    <tableColumn id="73" xr3:uid="{CE6894C9-165E-4CCE-9665-DB9FE9EA3F53}" uniqueName="73" name="TUSD BENEFICIO_L14299" queryTableFieldId="28" dataDxfId="69"/>
    <tableColumn id="74" xr3:uid="{E6AC78D2-31B4-4FC9-8054-74C663882A55}" uniqueName="74" name="TUSD Outros" queryTableFieldId="29" dataDxfId="68"/>
    <tableColumn id="75" xr3:uid="{C095D823-CA81-499A-B7B1-442AD60B0CC9}" uniqueName="75" name="TUSD_PT" queryTableFieldId="30" dataDxfId="67"/>
    <tableColumn id="76" xr3:uid="{745A3313-CB07-4800-9199-AD1132817480}" uniqueName="76" name="TUSD_Per_RB_D" queryTableFieldId="31" dataDxfId="66"/>
    <tableColumn id="77" xr3:uid="{41B3700F-BCB0-4E41-8EA2-CA4F8D2D8A72}" uniqueName="77" name="TUSD_PNT" queryTableFieldId="32" dataDxfId="65"/>
    <tableColumn id="78" xr3:uid="{2C5F1E82-0536-4711-A27A-2CF5A207E5A6}" uniqueName="78" name="TUSD_RI" queryTableFieldId="33" dataDxfId="64"/>
    <tableColumn id="79" xr3:uid="{11963178-3CCB-4194-B4EE-420E9CB9CF40}" uniqueName="79" name="TE_CDE_COVID" queryTableFieldId="34" dataDxfId="63"/>
    <tableColumn id="80" xr3:uid="{CADA9957-E5B5-4C2D-AC77-365139C36593}" uniqueName="80" name="TE_CDE_ELET" queryTableFieldId="35" dataDxfId="62"/>
    <tableColumn id="81" xr3:uid="{52E8A8F9-03B9-451C-A800-0EDEFD7B8B9B}" uniqueName="81" name="TE_PeD" queryTableFieldId="36" dataDxfId="61"/>
    <tableColumn id="82" xr3:uid="{0BF3F478-0DAC-469C-8837-B8FBB1C8DF62}" uniqueName="82" name="TE_ESSERR" queryTableFieldId="37" dataDxfId="60"/>
    <tableColumn id="83" xr3:uid="{072535A1-2509-436A-BF5E-658C4224F692}" uniqueName="83" name="TE_CFURH" queryTableFieldId="38" dataDxfId="59"/>
    <tableColumn id="84" xr3:uid="{2F7CC675-8EF5-427E-A2C1-6192C357EA55}" uniqueName="84" name="TE_ENERGIA" queryTableFieldId="39" dataDxfId="58"/>
    <tableColumn id="85" xr3:uid="{8526B868-2D9B-4177-BA99-1821BBD78D9B}" uniqueName="85" name="TE_TRANSPORTE_ITAIPU" queryTableFieldId="40" dataDxfId="57"/>
    <tableColumn id="86" xr3:uid="{75BC7599-890F-44E7-ADEA-12AE040236B0}" uniqueName="86" name="TE_TUST_ITAIPU" queryTableFieldId="41" dataDxfId="56"/>
    <tableColumn id="87" xr3:uid="{8DBA3F06-4A5C-4E42-9291-9875D64066C2}" uniqueName="87" name="TE_TUST_CI" queryTableFieldId="42" dataDxfId="55"/>
    <tableColumn id="88" xr3:uid="{C82DCCCA-0492-4656-9C62-B70784E8CD0B}" uniqueName="88" name="TE Subsidio" queryTableFieldId="43" dataDxfId="54"/>
    <tableColumn id="89" xr3:uid="{7737A70D-A777-4ADF-AF0B-EA404DE41F0E}" uniqueName="89" name="TE BENEFICIO_L14299" queryTableFieldId="44" dataDxfId="53"/>
    <tableColumn id="90" xr3:uid="{DE5F99C3-A1A1-46FD-8CCF-24B3EA76D5A2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FCCB69-8698-43F7-98B4-0C3D4798183C}" name="TabelaCVA" displayName="TabelaCVA" ref="B3:AT49" tableType="queryTable" totalsRowShown="0" headerRowDxfId="1" dataDxfId="0" headerRowBorderDxfId="48" tableBorderDxfId="49" totalsRowBorderDxfId="47">
  <autoFilter ref="B3:AT49" xr:uid="{04FCCB69-8698-43F7-98B4-0C3D4798183C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D1A477BA-C0AA-4397-B042-E117583B96D0}" uniqueName="46" name="SUBGRUPO" queryTableFieldId="1" dataDxfId="46"/>
    <tableColumn id="47" xr3:uid="{DDB39A5E-9795-4FE4-8C77-4E192180F63D}" uniqueName="47" name="MODALIDADE" queryTableFieldId="2" dataDxfId="45"/>
    <tableColumn id="48" xr3:uid="{D80CAACF-D036-4729-8E5F-3C68A5793CCC}" uniqueName="48" name="CLASSE" queryTableFieldId="3" dataDxfId="44"/>
    <tableColumn id="49" xr3:uid="{C4AA9B5C-C23D-481B-9BA8-8041441C0122}" uniqueName="49" name="SUBCLASSE" queryTableFieldId="4" dataDxfId="43"/>
    <tableColumn id="50" xr3:uid="{7B27C7A1-FEE2-4158-94BA-A4C613C5F4BD}" uniqueName="50" name="DETALHE" queryTableFieldId="5" dataDxfId="42"/>
    <tableColumn id="51" xr3:uid="{6EC71074-107E-439E-A05C-CE9C4FCC2C97}" uniqueName="51" name="POSTO" queryTableFieldId="6" dataDxfId="41"/>
    <tableColumn id="52" xr3:uid="{1C65ECAF-5643-417C-8177-5F51D1E1B033}" uniqueName="52" name="UNIDADE" queryTableFieldId="7" dataDxfId="40"/>
    <tableColumn id="53" xr3:uid="{E6A54B9B-87CB-43E3-AAE4-745EAC45D503}" uniqueName="53" name="ACESSANTE" queryTableFieldId="8" dataDxfId="39"/>
    <tableColumn id="54" xr3:uid="{2EF935AD-3D18-4E5B-9A8C-5FF26160EF1C}" uniqueName="54" name="Total TUSD" queryTableFieldId="9" dataDxfId="38"/>
    <tableColumn id="55" xr3:uid="{C81FA33A-5640-452F-928D-BEE76D970E02}" uniqueName="55" name="Total TE" queryTableFieldId="10" dataDxfId="37"/>
    <tableColumn id="56" xr3:uid="{072BF430-F3A9-46E2-B144-7ACEEEDB8808}" uniqueName="56" name="TUSD_CDE_COVID" queryTableFieldId="11" dataDxfId="36"/>
    <tableColumn id="57" xr3:uid="{4FA8E2BF-3841-4B9D-B478-551ECD39BE3C}" uniqueName="57" name="TUSD_TFSEE" queryTableFieldId="12" dataDxfId="35"/>
    <tableColumn id="58" xr3:uid="{12E603FA-4582-4E50-A5AD-2834615CF6D4}" uniqueName="58" name="TUSD_PeD" queryTableFieldId="13" dataDxfId="34"/>
    <tableColumn id="59" xr3:uid="{17F995F9-7D7A-4FAD-AF29-AE52C4409324}" uniqueName="59" name="TUSD_ONS" queryTableFieldId="14" dataDxfId="33"/>
    <tableColumn id="60" xr3:uid="{CA0ADC78-28F7-4383-83CB-8C7222991BD9}" uniqueName="60" name="TUSD_CCC" queryTableFieldId="15" dataDxfId="32"/>
    <tableColumn id="61" xr3:uid="{B5A243A8-BCB2-4A19-BD94-D94F243B39A0}" uniqueName="61" name="TUSD_CDE" queryTableFieldId="16" dataDxfId="31"/>
    <tableColumn id="62" xr3:uid="{A2F9426A-B54B-4CD6-8FCB-1939BE76B640}" uniqueName="62" name="TUSD_PROINFA" queryTableFieldId="17" dataDxfId="30"/>
    <tableColumn id="63" xr3:uid="{CDB018F4-28BF-4866-B8EA-69BABB8A3406}" uniqueName="63" name="Liminar1" queryTableFieldId="18" dataDxfId="29"/>
    <tableColumn id="64" xr3:uid="{E2D80719-2350-4E4A-9905-1CEDDE89BE7E}" uniqueName="64" name="TUSD_RB" queryTableFieldId="19" dataDxfId="28"/>
    <tableColumn id="65" xr3:uid="{B2795111-0C6F-4C94-AC00-1EC05BE33F86}" uniqueName="65" name="TUSD_FR" queryTableFieldId="20" dataDxfId="27"/>
    <tableColumn id="66" xr3:uid="{B8C48034-0F66-429D-A49C-FBA63BABEB7C}" uniqueName="66" name="TUSD_CCT" queryTableFieldId="21" dataDxfId="26"/>
    <tableColumn id="67" xr3:uid="{1ED30646-5075-4BCD-87C8-2A2390721401}" uniqueName="67" name="TUSD_CCD" queryTableFieldId="22" dataDxfId="25"/>
    <tableColumn id="68" xr3:uid="{8BAA8CA3-664E-4487-A594-9A5A548DA521}" uniqueName="68" name="TUSD_CUSD" queryTableFieldId="23" dataDxfId="24"/>
    <tableColumn id="69" xr3:uid="{EB58D666-0A05-4F42-84BD-D2A12985EC8D}" uniqueName="69" name="TUSDG_T" queryTableFieldId="24" dataDxfId="23"/>
    <tableColumn id="70" xr3:uid="{8410B132-3CBC-42D5-897C-3A21A4FA5D8C}" uniqueName="70" name="TUSDG_ONS" queryTableFieldId="25" dataDxfId="22"/>
    <tableColumn id="71" xr3:uid="{DF035742-20C8-4C0D-8A1D-EE54049F17D7}" uniqueName="71" name="TUSD_FioB" queryTableFieldId="26" dataDxfId="21"/>
    <tableColumn id="72" xr3:uid="{4AC24BE8-0677-43AA-A866-C5FE7B2B5AD0}" uniqueName="72" name="TUSD Subsidio" queryTableFieldId="27" dataDxfId="20"/>
    <tableColumn id="73" xr3:uid="{6E3BBB66-3E44-4E1F-ABDC-50E93028C22E}" uniqueName="73" name="TUSD BENEFICIO_L14299" queryTableFieldId="28" dataDxfId="19"/>
    <tableColumn id="74" xr3:uid="{1AF000E9-0905-4D3D-8C57-982D072E35D4}" uniqueName="74" name="TUSD Outros" queryTableFieldId="29" dataDxfId="18"/>
    <tableColumn id="75" xr3:uid="{EA7A544E-B794-4C8E-A9E7-A8647897C351}" uniqueName="75" name="TUSD_PT" queryTableFieldId="30" dataDxfId="17"/>
    <tableColumn id="76" xr3:uid="{5ADDF386-65FA-4632-85A9-6E5DD5A7E0A7}" uniqueName="76" name="TUSD_Per_RB_D" queryTableFieldId="31" dataDxfId="16"/>
    <tableColumn id="77" xr3:uid="{4D01DB7C-EDE8-474D-A87B-D7C051F0B4CB}" uniqueName="77" name="TUSD_PNT" queryTableFieldId="32" dataDxfId="15"/>
    <tableColumn id="78" xr3:uid="{49587DD1-6005-4E1C-B7D5-EF56625E3518}" uniqueName="78" name="TUSD_RI" queryTableFieldId="33" dataDxfId="14"/>
    <tableColumn id="79" xr3:uid="{52903F4E-F5CB-45F0-9A24-EA3F99C15FE8}" uniqueName="79" name="TE_CDE_COVID" queryTableFieldId="34" dataDxfId="13"/>
    <tableColumn id="80" xr3:uid="{E72F6DC7-48AA-49FE-BB85-048FD4A185A4}" uniqueName="80" name="TE_CDE_ELET" queryTableFieldId="35" dataDxfId="12"/>
    <tableColumn id="81" xr3:uid="{A83D09B2-8E93-4C15-9649-0A73614C3D7A}" uniqueName="81" name="TE_PeD" queryTableFieldId="36" dataDxfId="11"/>
    <tableColumn id="82" xr3:uid="{9D08EFF1-1692-47E3-BCC5-6B1D5E3F1560}" uniqueName="82" name="TE_ESSERR" queryTableFieldId="37" dataDxfId="10"/>
    <tableColumn id="83" xr3:uid="{F16D57D1-6607-4636-B8F4-A2B235CE3116}" uniqueName="83" name="TE_CFURH" queryTableFieldId="38" dataDxfId="9"/>
    <tableColumn id="84" xr3:uid="{1E99A240-54FF-4187-901F-8D5E93CCA85C}" uniqueName="84" name="TE_ENERGIA" queryTableFieldId="39" dataDxfId="8"/>
    <tableColumn id="85" xr3:uid="{5F53F910-9100-4ABE-8594-C85656C299C2}" uniqueName="85" name="TE_TRANSPORTE_ITAIPU" queryTableFieldId="40" dataDxfId="7"/>
    <tableColumn id="86" xr3:uid="{D749B00D-6D70-4C20-98CB-067D3DF5614C}" uniqueName="86" name="TE_TUST_ITAIPU" queryTableFieldId="41" dataDxfId="6"/>
    <tableColumn id="87" xr3:uid="{158CDA2F-FABC-4B42-B5CF-9BCCD9A1C9AF}" uniqueName="87" name="TE_TUST_CI" queryTableFieldId="42" dataDxfId="5"/>
    <tableColumn id="88" xr3:uid="{D8C887CE-619E-4C90-8881-2D7CC4526B16}" uniqueName="88" name="TE Subsidio" queryTableFieldId="43" dataDxfId="4"/>
    <tableColumn id="89" xr3:uid="{C05FC519-CB72-4356-8A5E-97EA9335C032}" uniqueName="89" name="TE BENEFICIO_L14299" queryTableFieldId="44" dataDxfId="3"/>
    <tableColumn id="90" xr3:uid="{AFAC1968-A940-49B1-A83F-3DBE42B50950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B6B9-E85D-4302-8B2C-16EC1021FF5E}">
  <dimension ref="A1:W587"/>
  <sheetViews>
    <sheetView showGridLines="0" topLeftCell="O571" workbookViewId="0">
      <selection activeCell="T588" sqref="T588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6" width="12" style="4" bestFit="1" customWidth="1"/>
    <col min="7" max="8" width="9.5546875" style="4" bestFit="1" customWidth="1"/>
    <col min="9" max="9" width="7.88671875" style="5" bestFit="1" customWidth="1"/>
    <col min="10" max="12" width="6.33203125" style="6" bestFit="1" customWidth="1"/>
    <col min="13" max="13" width="7.6640625" style="6" bestFit="1" customWidth="1"/>
    <col min="14" max="15" width="6.33203125" style="6" bestFit="1" customWidth="1"/>
    <col min="16" max="16" width="7.109375" style="6" bestFit="1" customWidth="1"/>
    <col min="17" max="17" width="6" style="4" bestFit="1" customWidth="1"/>
    <col min="18" max="18" width="8" style="4" bestFit="1" customWidth="1"/>
    <col min="19" max="19" width="72.33203125" style="4" bestFit="1" customWidth="1"/>
    <col min="20" max="20" width="77.5546875" style="4" bestFit="1" customWidth="1"/>
    <col min="21" max="21" width="17.44140625" style="4" bestFit="1" customWidth="1"/>
    <col min="22" max="22" width="18.77734375" style="4" bestFit="1" customWidth="1"/>
    <col min="23" max="23" width="16.5546875" style="4" bestFit="1" customWidth="1"/>
    <col min="24" max="16384" width="8.886718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59</v>
      </c>
      <c r="T1" s="1" t="s">
        <v>264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39</v>
      </c>
      <c r="C2" s="4" t="s">
        <v>40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35</v>
      </c>
      <c r="I2" s="5">
        <v>44440</v>
      </c>
      <c r="J2" s="6">
        <v>0</v>
      </c>
      <c r="K2" s="6">
        <v>0</v>
      </c>
      <c r="L2" s="6">
        <v>300.98500000000001</v>
      </c>
      <c r="M2" s="6">
        <v>300.98500000000001</v>
      </c>
      <c r="N2" s="6">
        <v>300.98500000000001</v>
      </c>
      <c r="O2" s="6">
        <v>300.98500000000001</v>
      </c>
      <c r="P2" s="6">
        <v>0</v>
      </c>
      <c r="Q2" s="4" t="s">
        <v>26</v>
      </c>
      <c r="R2" s="4">
        <v>0</v>
      </c>
      <c r="S2" s="4" t="s">
        <v>60</v>
      </c>
      <c r="T2" s="4" t="s">
        <v>265</v>
      </c>
      <c r="U2" s="4">
        <v>0</v>
      </c>
      <c r="V2" s="4">
        <v>6</v>
      </c>
      <c r="W2" s="4">
        <v>50</v>
      </c>
    </row>
    <row r="3" spans="1:23" ht="11.25" customHeight="1" x14ac:dyDescent="0.3">
      <c r="A3" s="4" t="s">
        <v>21</v>
      </c>
      <c r="B3" s="4" t="s">
        <v>39</v>
      </c>
      <c r="C3" s="4" t="s">
        <v>40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35</v>
      </c>
      <c r="I3" s="5">
        <v>44470</v>
      </c>
      <c r="J3" s="6">
        <v>0</v>
      </c>
      <c r="K3" s="6">
        <v>0</v>
      </c>
      <c r="L3" s="6">
        <v>308.64600000000002</v>
      </c>
      <c r="M3" s="6">
        <v>308.64600000000002</v>
      </c>
      <c r="N3" s="6">
        <v>308.64600000000002</v>
      </c>
      <c r="O3" s="6">
        <v>308.64600000000002</v>
      </c>
      <c r="P3" s="6">
        <v>0</v>
      </c>
      <c r="Q3" s="4" t="s">
        <v>26</v>
      </c>
      <c r="R3" s="4">
        <v>0</v>
      </c>
      <c r="S3" s="4" t="s">
        <v>61</v>
      </c>
      <c r="T3" s="4" t="s">
        <v>266</v>
      </c>
      <c r="U3" s="4">
        <v>0</v>
      </c>
      <c r="V3" s="4">
        <v>6</v>
      </c>
      <c r="W3" s="4">
        <v>50</v>
      </c>
    </row>
    <row r="4" spans="1:23" ht="11.25" customHeight="1" x14ac:dyDescent="0.3">
      <c r="A4" s="4" t="s">
        <v>21</v>
      </c>
      <c r="B4" s="4" t="s">
        <v>39</v>
      </c>
      <c r="C4" s="4" t="s">
        <v>40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35</v>
      </c>
      <c r="I4" s="5">
        <v>44501</v>
      </c>
      <c r="J4" s="6">
        <v>0</v>
      </c>
      <c r="K4" s="6">
        <v>0</v>
      </c>
      <c r="L4" s="6">
        <v>313.72199999999998</v>
      </c>
      <c r="M4" s="6">
        <v>313.72199999999998</v>
      </c>
      <c r="N4" s="6">
        <v>313.72199999999998</v>
      </c>
      <c r="O4" s="6">
        <v>313.72199999999998</v>
      </c>
      <c r="P4" s="6">
        <v>0</v>
      </c>
      <c r="Q4" s="4" t="s">
        <v>26</v>
      </c>
      <c r="R4" s="4">
        <v>0</v>
      </c>
      <c r="S4" s="4" t="s">
        <v>62</v>
      </c>
      <c r="T4" s="4" t="s">
        <v>267</v>
      </c>
      <c r="U4" s="4">
        <v>0</v>
      </c>
      <c r="V4" s="4">
        <v>6</v>
      </c>
      <c r="W4" s="4">
        <v>50</v>
      </c>
    </row>
    <row r="5" spans="1:23" ht="11.25" customHeight="1" x14ac:dyDescent="0.3">
      <c r="A5" s="4" t="s">
        <v>21</v>
      </c>
      <c r="B5" s="4" t="s">
        <v>39</v>
      </c>
      <c r="C5" s="4" t="s">
        <v>40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35</v>
      </c>
      <c r="I5" s="5">
        <v>44531</v>
      </c>
      <c r="J5" s="6">
        <v>0</v>
      </c>
      <c r="K5" s="6">
        <v>0</v>
      </c>
      <c r="L5" s="6">
        <v>351.51</v>
      </c>
      <c r="M5" s="6">
        <v>351.51</v>
      </c>
      <c r="N5" s="6">
        <v>351.51</v>
      </c>
      <c r="O5" s="6">
        <v>351.51</v>
      </c>
      <c r="P5" s="6">
        <v>0</v>
      </c>
      <c r="Q5" s="4" t="s">
        <v>26</v>
      </c>
      <c r="R5" s="4">
        <v>0</v>
      </c>
      <c r="S5" s="4" t="s">
        <v>63</v>
      </c>
      <c r="T5" s="4" t="s">
        <v>268</v>
      </c>
      <c r="U5" s="4">
        <v>0</v>
      </c>
      <c r="V5" s="4">
        <v>6</v>
      </c>
      <c r="W5" s="4">
        <v>50</v>
      </c>
    </row>
    <row r="6" spans="1:23" ht="11.25" customHeight="1" x14ac:dyDescent="0.3">
      <c r="A6" s="4" t="s">
        <v>21</v>
      </c>
      <c r="B6" s="4" t="s">
        <v>39</v>
      </c>
      <c r="C6" s="4" t="s">
        <v>40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35</v>
      </c>
      <c r="I6" s="5">
        <v>44562</v>
      </c>
      <c r="J6" s="6">
        <v>0</v>
      </c>
      <c r="K6" s="6">
        <v>0</v>
      </c>
      <c r="L6" s="6">
        <v>395.76299999999998</v>
      </c>
      <c r="M6" s="6">
        <v>395.76299999999998</v>
      </c>
      <c r="N6" s="6">
        <v>395.76299999999998</v>
      </c>
      <c r="O6" s="6">
        <v>395.76299999999998</v>
      </c>
      <c r="P6" s="6">
        <v>0</v>
      </c>
      <c r="Q6" s="4" t="s">
        <v>26</v>
      </c>
      <c r="R6" s="4">
        <v>0</v>
      </c>
      <c r="S6" s="4" t="s">
        <v>64</v>
      </c>
      <c r="T6" s="4" t="s">
        <v>269</v>
      </c>
      <c r="U6" s="4">
        <v>0</v>
      </c>
      <c r="V6" s="4">
        <v>6</v>
      </c>
      <c r="W6" s="4">
        <v>50</v>
      </c>
    </row>
    <row r="7" spans="1:23" ht="11.25" customHeight="1" x14ac:dyDescent="0.3">
      <c r="A7" s="4" t="s">
        <v>21</v>
      </c>
      <c r="B7" s="4" t="s">
        <v>39</v>
      </c>
      <c r="C7" s="4" t="s">
        <v>40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35</v>
      </c>
      <c r="I7" s="5">
        <v>44593</v>
      </c>
      <c r="J7" s="6">
        <v>0</v>
      </c>
      <c r="K7" s="6">
        <v>0</v>
      </c>
      <c r="L7" s="6">
        <v>350.68099999999998</v>
      </c>
      <c r="M7" s="6">
        <v>350.68099999999998</v>
      </c>
      <c r="N7" s="6">
        <v>350.68099999999998</v>
      </c>
      <c r="O7" s="6">
        <v>350.68099999999998</v>
      </c>
      <c r="P7" s="6">
        <v>0</v>
      </c>
      <c r="Q7" s="4" t="s">
        <v>26</v>
      </c>
      <c r="R7" s="4">
        <v>0</v>
      </c>
      <c r="S7" s="4" t="s">
        <v>65</v>
      </c>
      <c r="T7" s="4" t="s">
        <v>270</v>
      </c>
      <c r="U7" s="4">
        <v>0</v>
      </c>
      <c r="V7" s="4">
        <v>6</v>
      </c>
      <c r="W7" s="4">
        <v>50</v>
      </c>
    </row>
    <row r="8" spans="1:23" ht="11.25" customHeight="1" x14ac:dyDescent="0.3">
      <c r="A8" s="4" t="s">
        <v>21</v>
      </c>
      <c r="B8" s="4" t="s">
        <v>39</v>
      </c>
      <c r="C8" s="4" t="s">
        <v>40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35</v>
      </c>
      <c r="I8" s="5">
        <v>44621</v>
      </c>
      <c r="J8" s="6">
        <v>0</v>
      </c>
      <c r="K8" s="6">
        <v>0</v>
      </c>
      <c r="L8" s="6">
        <v>334.87700000000001</v>
      </c>
      <c r="M8" s="6">
        <v>334.87700000000001</v>
      </c>
      <c r="N8" s="6">
        <v>334.87700000000001</v>
      </c>
      <c r="O8" s="6">
        <v>334.87700000000001</v>
      </c>
      <c r="P8" s="6">
        <v>0</v>
      </c>
      <c r="Q8" s="4" t="s">
        <v>26</v>
      </c>
      <c r="R8" s="4">
        <v>0</v>
      </c>
      <c r="S8" s="4" t="s">
        <v>66</v>
      </c>
      <c r="T8" s="4" t="s">
        <v>271</v>
      </c>
      <c r="U8" s="4">
        <v>0</v>
      </c>
      <c r="V8" s="4">
        <v>6</v>
      </c>
      <c r="W8" s="4">
        <v>50</v>
      </c>
    </row>
    <row r="9" spans="1:23" ht="11.25" customHeight="1" x14ac:dyDescent="0.3">
      <c r="A9" s="4" t="s">
        <v>28</v>
      </c>
      <c r="B9" s="4" t="s">
        <v>39</v>
      </c>
      <c r="C9" s="4" t="s">
        <v>40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35</v>
      </c>
      <c r="I9" s="5">
        <v>44621</v>
      </c>
      <c r="J9" s="6">
        <v>0</v>
      </c>
      <c r="K9" s="6">
        <v>0</v>
      </c>
      <c r="L9" s="6">
        <v>13.708</v>
      </c>
      <c r="M9" s="6">
        <v>13.708</v>
      </c>
      <c r="N9" s="6">
        <v>13.708</v>
      </c>
      <c r="O9" s="6">
        <v>13.708</v>
      </c>
      <c r="P9" s="6">
        <v>0</v>
      </c>
      <c r="Q9" s="4" t="s">
        <v>26</v>
      </c>
      <c r="R9" s="4">
        <v>0</v>
      </c>
      <c r="S9" s="4" t="s">
        <v>66</v>
      </c>
      <c r="T9" s="4" t="s">
        <v>271</v>
      </c>
      <c r="U9" s="4">
        <v>0</v>
      </c>
      <c r="V9" s="4">
        <v>6</v>
      </c>
      <c r="W9" s="4">
        <v>50</v>
      </c>
    </row>
    <row r="10" spans="1:23" ht="11.25" customHeight="1" x14ac:dyDescent="0.3">
      <c r="A10" s="4" t="s">
        <v>21</v>
      </c>
      <c r="B10" s="4" t="s">
        <v>39</v>
      </c>
      <c r="C10" s="4" t="s">
        <v>40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35</v>
      </c>
      <c r="I10" s="5">
        <v>44652</v>
      </c>
      <c r="J10" s="6">
        <v>0</v>
      </c>
      <c r="K10" s="6">
        <v>0</v>
      </c>
      <c r="L10" s="6">
        <v>302.95</v>
      </c>
      <c r="M10" s="6">
        <v>302.95</v>
      </c>
      <c r="N10" s="6">
        <v>302.95</v>
      </c>
      <c r="O10" s="6">
        <v>302.95</v>
      </c>
      <c r="P10" s="6">
        <v>0</v>
      </c>
      <c r="Q10" s="4" t="s">
        <v>26</v>
      </c>
      <c r="R10" s="4">
        <v>0</v>
      </c>
      <c r="S10" s="4" t="s">
        <v>67</v>
      </c>
      <c r="T10" s="4" t="s">
        <v>272</v>
      </c>
      <c r="U10" s="4">
        <v>0</v>
      </c>
      <c r="V10" s="4">
        <v>6</v>
      </c>
      <c r="W10" s="4">
        <v>50</v>
      </c>
    </row>
    <row r="11" spans="1:23" ht="11.25" customHeight="1" x14ac:dyDescent="0.3">
      <c r="A11" s="4" t="s">
        <v>28</v>
      </c>
      <c r="B11" s="4" t="s">
        <v>39</v>
      </c>
      <c r="C11" s="4" t="s">
        <v>40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35</v>
      </c>
      <c r="I11" s="5">
        <v>44652</v>
      </c>
      <c r="J11" s="6">
        <v>0</v>
      </c>
      <c r="K11" s="6">
        <v>0</v>
      </c>
      <c r="L11" s="6">
        <v>9.8810000000000002</v>
      </c>
      <c r="M11" s="6">
        <v>9.8810000000000002</v>
      </c>
      <c r="N11" s="6">
        <v>9.8810000000000002</v>
      </c>
      <c r="O11" s="6">
        <v>9.8810000000000002</v>
      </c>
      <c r="P11" s="6">
        <v>0</v>
      </c>
      <c r="Q11" s="4" t="s">
        <v>26</v>
      </c>
      <c r="R11" s="4">
        <v>0</v>
      </c>
      <c r="S11" s="4" t="s">
        <v>67</v>
      </c>
      <c r="T11" s="4" t="s">
        <v>272</v>
      </c>
      <c r="U11" s="4">
        <v>0</v>
      </c>
      <c r="V11" s="4">
        <v>6</v>
      </c>
      <c r="W11" s="4">
        <v>50</v>
      </c>
    </row>
    <row r="12" spans="1:23" ht="11.25" customHeight="1" x14ac:dyDescent="0.3">
      <c r="A12" s="4" t="s">
        <v>21</v>
      </c>
      <c r="B12" s="4" t="s">
        <v>39</v>
      </c>
      <c r="C12" s="4" t="s">
        <v>40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35</v>
      </c>
      <c r="I12" s="5">
        <v>44682</v>
      </c>
      <c r="J12" s="6">
        <v>0</v>
      </c>
      <c r="K12" s="6">
        <v>0</v>
      </c>
      <c r="L12" s="6">
        <v>307.20800000000003</v>
      </c>
      <c r="M12" s="6">
        <v>307.20800000000003</v>
      </c>
      <c r="N12" s="6">
        <v>307.20800000000003</v>
      </c>
      <c r="O12" s="6">
        <v>307.20800000000003</v>
      </c>
      <c r="P12" s="6">
        <v>0</v>
      </c>
      <c r="Q12" s="4" t="s">
        <v>26</v>
      </c>
      <c r="R12" s="4">
        <v>0</v>
      </c>
      <c r="S12" s="4" t="s">
        <v>68</v>
      </c>
      <c r="T12" s="4" t="s">
        <v>273</v>
      </c>
      <c r="U12" s="4">
        <v>0</v>
      </c>
      <c r="V12" s="4">
        <v>6</v>
      </c>
      <c r="W12" s="4">
        <v>50</v>
      </c>
    </row>
    <row r="13" spans="1:23" ht="11.25" customHeight="1" x14ac:dyDescent="0.3">
      <c r="A13" s="4" t="s">
        <v>28</v>
      </c>
      <c r="B13" s="4" t="s">
        <v>39</v>
      </c>
      <c r="C13" s="4" t="s">
        <v>40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35</v>
      </c>
      <c r="I13" s="5">
        <v>44682</v>
      </c>
      <c r="J13" s="6">
        <v>0</v>
      </c>
      <c r="K13" s="6">
        <v>0</v>
      </c>
      <c r="L13" s="6">
        <v>11.500999999999999</v>
      </c>
      <c r="M13" s="6">
        <v>11.500999999999999</v>
      </c>
      <c r="N13" s="6">
        <v>11.500999999999999</v>
      </c>
      <c r="O13" s="6">
        <v>11.500999999999999</v>
      </c>
      <c r="P13" s="6">
        <v>0</v>
      </c>
      <c r="Q13" s="4" t="s">
        <v>26</v>
      </c>
      <c r="R13" s="4">
        <v>0</v>
      </c>
      <c r="S13" s="4" t="s">
        <v>68</v>
      </c>
      <c r="T13" s="4" t="s">
        <v>273</v>
      </c>
      <c r="U13" s="4">
        <v>0</v>
      </c>
      <c r="V13" s="4">
        <v>6</v>
      </c>
      <c r="W13" s="4">
        <v>50</v>
      </c>
    </row>
    <row r="14" spans="1:23" ht="11.25" customHeight="1" x14ac:dyDescent="0.3">
      <c r="A14" s="4" t="s">
        <v>21</v>
      </c>
      <c r="B14" s="4" t="s">
        <v>39</v>
      </c>
      <c r="C14" s="4" t="s">
        <v>40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35</v>
      </c>
      <c r="I14" s="5">
        <v>44713</v>
      </c>
      <c r="J14" s="6">
        <v>0</v>
      </c>
      <c r="K14" s="6">
        <v>0</v>
      </c>
      <c r="L14" s="6">
        <v>290.33999999999997</v>
      </c>
      <c r="M14" s="6">
        <v>290.33999999999997</v>
      </c>
      <c r="N14" s="6">
        <v>290.33999999999997</v>
      </c>
      <c r="O14" s="6">
        <v>290.33999999999997</v>
      </c>
      <c r="P14" s="6">
        <v>0</v>
      </c>
      <c r="Q14" s="4" t="s">
        <v>26</v>
      </c>
      <c r="R14" s="4">
        <v>0</v>
      </c>
      <c r="S14" s="4" t="s">
        <v>69</v>
      </c>
      <c r="T14" s="4" t="s">
        <v>274</v>
      </c>
      <c r="U14" s="4">
        <v>0</v>
      </c>
      <c r="V14" s="4">
        <v>6</v>
      </c>
      <c r="W14" s="4">
        <v>50</v>
      </c>
    </row>
    <row r="15" spans="1:23" ht="11.25" customHeight="1" x14ac:dyDescent="0.3">
      <c r="A15" s="4" t="s">
        <v>28</v>
      </c>
      <c r="B15" s="4" t="s">
        <v>39</v>
      </c>
      <c r="C15" s="4" t="s">
        <v>40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35</v>
      </c>
      <c r="I15" s="5">
        <v>44713</v>
      </c>
      <c r="J15" s="6">
        <v>0</v>
      </c>
      <c r="K15" s="6">
        <v>0</v>
      </c>
      <c r="L15" s="6">
        <v>15.744999999999999</v>
      </c>
      <c r="M15" s="6">
        <v>15.744999999999999</v>
      </c>
      <c r="N15" s="6">
        <v>15.744999999999999</v>
      </c>
      <c r="O15" s="6">
        <v>15.744999999999999</v>
      </c>
      <c r="P15" s="6">
        <v>0</v>
      </c>
      <c r="Q15" s="4" t="s">
        <v>26</v>
      </c>
      <c r="R15" s="4">
        <v>0</v>
      </c>
      <c r="S15" s="4" t="s">
        <v>69</v>
      </c>
      <c r="T15" s="4" t="s">
        <v>274</v>
      </c>
      <c r="U15" s="4">
        <v>0</v>
      </c>
      <c r="V15" s="4">
        <v>6</v>
      </c>
      <c r="W15" s="4">
        <v>50</v>
      </c>
    </row>
    <row r="16" spans="1:23" ht="11.25" customHeight="1" x14ac:dyDescent="0.3">
      <c r="A16" s="4" t="s">
        <v>21</v>
      </c>
      <c r="B16" s="4" t="s">
        <v>39</v>
      </c>
      <c r="C16" s="4" t="s">
        <v>40</v>
      </c>
      <c r="D16" s="4" t="s">
        <v>41</v>
      </c>
      <c r="E16" s="4" t="s">
        <v>25</v>
      </c>
      <c r="F16" s="4" t="s">
        <v>25</v>
      </c>
      <c r="G16" s="4" t="s">
        <v>25</v>
      </c>
      <c r="H16" s="4" t="s">
        <v>35</v>
      </c>
      <c r="I16" s="5">
        <v>44743</v>
      </c>
      <c r="J16" s="6">
        <v>0</v>
      </c>
      <c r="K16" s="6">
        <v>0</v>
      </c>
      <c r="L16" s="6">
        <v>311.78899999999999</v>
      </c>
      <c r="M16" s="6">
        <v>311.78899999999999</v>
      </c>
      <c r="N16" s="6">
        <v>311.78899999999999</v>
      </c>
      <c r="O16" s="6">
        <v>311.78899999999999</v>
      </c>
      <c r="P16" s="6">
        <v>0</v>
      </c>
      <c r="Q16" s="4" t="s">
        <v>26</v>
      </c>
      <c r="R16" s="4">
        <v>0</v>
      </c>
      <c r="S16" s="4" t="s">
        <v>70</v>
      </c>
      <c r="T16" s="4" t="s">
        <v>275</v>
      </c>
      <c r="U16" s="4">
        <v>0</v>
      </c>
      <c r="V16" s="4">
        <v>6</v>
      </c>
      <c r="W16" s="4">
        <v>50</v>
      </c>
    </row>
    <row r="17" spans="1:23" ht="11.25" customHeight="1" x14ac:dyDescent="0.3">
      <c r="A17" s="4" t="s">
        <v>28</v>
      </c>
      <c r="B17" s="4" t="s">
        <v>39</v>
      </c>
      <c r="C17" s="4" t="s">
        <v>40</v>
      </c>
      <c r="D17" s="4" t="s">
        <v>41</v>
      </c>
      <c r="E17" s="4" t="s">
        <v>25</v>
      </c>
      <c r="F17" s="4" t="s">
        <v>25</v>
      </c>
      <c r="G17" s="4" t="s">
        <v>25</v>
      </c>
      <c r="H17" s="4" t="s">
        <v>35</v>
      </c>
      <c r="I17" s="5">
        <v>44743</v>
      </c>
      <c r="J17" s="6">
        <v>0</v>
      </c>
      <c r="K17" s="6">
        <v>0</v>
      </c>
      <c r="L17" s="6">
        <v>15.247</v>
      </c>
      <c r="M17" s="6">
        <v>15.247</v>
      </c>
      <c r="N17" s="6">
        <v>15.247</v>
      </c>
      <c r="O17" s="6">
        <v>15.247</v>
      </c>
      <c r="P17" s="6">
        <v>0</v>
      </c>
      <c r="Q17" s="4" t="s">
        <v>26</v>
      </c>
      <c r="R17" s="4">
        <v>0</v>
      </c>
      <c r="S17" s="4" t="s">
        <v>70</v>
      </c>
      <c r="T17" s="4" t="s">
        <v>275</v>
      </c>
      <c r="U17" s="4">
        <v>0</v>
      </c>
      <c r="V17" s="4">
        <v>6</v>
      </c>
      <c r="W17" s="4">
        <v>50</v>
      </c>
    </row>
    <row r="18" spans="1:23" ht="11.25" customHeight="1" x14ac:dyDescent="0.3">
      <c r="A18" s="4" t="s">
        <v>21</v>
      </c>
      <c r="B18" s="4" t="s">
        <v>39</v>
      </c>
      <c r="C18" s="4" t="s">
        <v>40</v>
      </c>
      <c r="D18" s="4" t="s">
        <v>41</v>
      </c>
      <c r="E18" s="4" t="s">
        <v>25</v>
      </c>
      <c r="F18" s="4" t="s">
        <v>25</v>
      </c>
      <c r="G18" s="4" t="s">
        <v>25</v>
      </c>
      <c r="H18" s="4" t="s">
        <v>35</v>
      </c>
      <c r="I18" s="5">
        <v>44774</v>
      </c>
      <c r="J18" s="6">
        <v>0</v>
      </c>
      <c r="K18" s="6">
        <v>0</v>
      </c>
      <c r="L18" s="6">
        <v>313.17599999999999</v>
      </c>
      <c r="M18" s="6">
        <v>313.17599999999999</v>
      </c>
      <c r="N18" s="6">
        <v>313.17599999999999</v>
      </c>
      <c r="O18" s="6">
        <v>313.17599999999999</v>
      </c>
      <c r="P18" s="6">
        <v>0</v>
      </c>
      <c r="Q18" s="4" t="s">
        <v>26</v>
      </c>
      <c r="R18" s="4">
        <v>0</v>
      </c>
      <c r="S18" s="4" t="s">
        <v>71</v>
      </c>
      <c r="T18" s="4" t="s">
        <v>276</v>
      </c>
      <c r="U18" s="4">
        <v>0</v>
      </c>
      <c r="V18" s="4">
        <v>6</v>
      </c>
      <c r="W18" s="4">
        <v>50</v>
      </c>
    </row>
    <row r="19" spans="1:23" ht="11.25" customHeight="1" x14ac:dyDescent="0.3">
      <c r="A19" s="4" t="s">
        <v>28</v>
      </c>
      <c r="B19" s="4" t="s">
        <v>39</v>
      </c>
      <c r="C19" s="4" t="s">
        <v>40</v>
      </c>
      <c r="D19" s="4" t="s">
        <v>41</v>
      </c>
      <c r="E19" s="4" t="s">
        <v>25</v>
      </c>
      <c r="F19" s="4" t="s">
        <v>25</v>
      </c>
      <c r="G19" s="4" t="s">
        <v>25</v>
      </c>
      <c r="H19" s="4" t="s">
        <v>35</v>
      </c>
      <c r="I19" s="5">
        <v>44774</v>
      </c>
      <c r="J19" s="6">
        <v>0</v>
      </c>
      <c r="K19" s="6">
        <v>0</v>
      </c>
      <c r="L19" s="6">
        <v>12.393000000000001</v>
      </c>
      <c r="M19" s="6">
        <v>12.393000000000001</v>
      </c>
      <c r="N19" s="6">
        <v>12.393000000000001</v>
      </c>
      <c r="O19" s="6">
        <v>12.393000000000001</v>
      </c>
      <c r="P19" s="6">
        <v>0</v>
      </c>
      <c r="Q19" s="4" t="s">
        <v>26</v>
      </c>
      <c r="R19" s="4">
        <v>0</v>
      </c>
      <c r="S19" s="4" t="s">
        <v>71</v>
      </c>
      <c r="T19" s="4" t="s">
        <v>276</v>
      </c>
      <c r="U19" s="4">
        <v>0</v>
      </c>
      <c r="V19" s="4">
        <v>6</v>
      </c>
      <c r="W19" s="4">
        <v>50</v>
      </c>
    </row>
    <row r="20" spans="1:23" ht="11.25" customHeight="1" x14ac:dyDescent="0.3">
      <c r="A20" s="4" t="s">
        <v>21</v>
      </c>
      <c r="B20" s="4" t="s">
        <v>39</v>
      </c>
      <c r="C20" s="4" t="s">
        <v>40</v>
      </c>
      <c r="D20" s="4" t="s">
        <v>41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44440</v>
      </c>
      <c r="J20" s="6">
        <v>1251</v>
      </c>
      <c r="K20" s="6">
        <v>1251</v>
      </c>
      <c r="L20" s="6">
        <v>0</v>
      </c>
      <c r="M20" s="6">
        <v>0</v>
      </c>
      <c r="N20" s="6">
        <v>0</v>
      </c>
      <c r="O20" s="6">
        <v>0</v>
      </c>
      <c r="P20" s="6">
        <v>12</v>
      </c>
      <c r="Q20" s="4" t="s">
        <v>26</v>
      </c>
      <c r="R20" s="4">
        <v>0</v>
      </c>
      <c r="S20" s="4" t="s">
        <v>72</v>
      </c>
      <c r="U20" s="4">
        <v>10</v>
      </c>
      <c r="V20" s="4">
        <v>0</v>
      </c>
      <c r="W20" s="4">
        <v>0</v>
      </c>
    </row>
    <row r="21" spans="1:23" ht="11.25" customHeight="1" x14ac:dyDescent="0.3">
      <c r="A21" s="4" t="s">
        <v>21</v>
      </c>
      <c r="B21" s="4" t="s">
        <v>39</v>
      </c>
      <c r="C21" s="4" t="s">
        <v>40</v>
      </c>
      <c r="D21" s="4" t="s">
        <v>41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44470</v>
      </c>
      <c r="J21" s="6">
        <v>1245</v>
      </c>
      <c r="K21" s="6">
        <v>1245</v>
      </c>
      <c r="L21" s="6">
        <v>0</v>
      </c>
      <c r="M21" s="6">
        <v>0</v>
      </c>
      <c r="N21" s="6">
        <v>0</v>
      </c>
      <c r="O21" s="6">
        <v>0</v>
      </c>
      <c r="P21" s="6">
        <v>12</v>
      </c>
      <c r="Q21" s="4" t="s">
        <v>26</v>
      </c>
      <c r="R21" s="4">
        <v>0</v>
      </c>
      <c r="S21" s="4" t="s">
        <v>73</v>
      </c>
      <c r="U21" s="4">
        <v>10</v>
      </c>
      <c r="V21" s="4">
        <v>0</v>
      </c>
      <c r="W21" s="4">
        <v>0</v>
      </c>
    </row>
    <row r="22" spans="1:23" ht="11.25" customHeight="1" x14ac:dyDescent="0.3">
      <c r="A22" s="4" t="s">
        <v>21</v>
      </c>
      <c r="B22" s="4" t="s">
        <v>39</v>
      </c>
      <c r="C22" s="4" t="s">
        <v>40</v>
      </c>
      <c r="D22" s="4" t="s">
        <v>41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44501</v>
      </c>
      <c r="J22" s="6">
        <v>1322</v>
      </c>
      <c r="K22" s="6">
        <v>1322</v>
      </c>
      <c r="L22" s="6">
        <v>0</v>
      </c>
      <c r="M22" s="6">
        <v>0</v>
      </c>
      <c r="N22" s="6">
        <v>0</v>
      </c>
      <c r="O22" s="6">
        <v>0</v>
      </c>
      <c r="P22" s="6">
        <v>12</v>
      </c>
      <c r="Q22" s="4" t="s">
        <v>26</v>
      </c>
      <c r="R22" s="4">
        <v>0</v>
      </c>
      <c r="S22" s="4" t="s">
        <v>74</v>
      </c>
      <c r="U22" s="4">
        <v>10</v>
      </c>
      <c r="V22" s="4">
        <v>0</v>
      </c>
      <c r="W22" s="4">
        <v>0</v>
      </c>
    </row>
    <row r="23" spans="1:23" ht="11.25" customHeight="1" x14ac:dyDescent="0.3">
      <c r="A23" s="4" t="s">
        <v>21</v>
      </c>
      <c r="B23" s="4" t="s">
        <v>39</v>
      </c>
      <c r="C23" s="4" t="s">
        <v>40</v>
      </c>
      <c r="D23" s="4" t="s">
        <v>41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44531</v>
      </c>
      <c r="J23" s="6">
        <v>1396</v>
      </c>
      <c r="K23" s="6">
        <v>1396</v>
      </c>
      <c r="L23" s="6">
        <v>0</v>
      </c>
      <c r="M23" s="6">
        <v>0</v>
      </c>
      <c r="N23" s="6">
        <v>0</v>
      </c>
      <c r="O23" s="6">
        <v>0</v>
      </c>
      <c r="P23" s="6">
        <v>12</v>
      </c>
      <c r="Q23" s="4" t="s">
        <v>26</v>
      </c>
      <c r="R23" s="4">
        <v>0</v>
      </c>
      <c r="S23" s="4" t="s">
        <v>75</v>
      </c>
      <c r="U23" s="4">
        <v>10</v>
      </c>
      <c r="V23" s="4">
        <v>0</v>
      </c>
      <c r="W23" s="4">
        <v>0</v>
      </c>
    </row>
    <row r="24" spans="1:23" ht="11.25" customHeight="1" x14ac:dyDescent="0.3">
      <c r="A24" s="4" t="s">
        <v>21</v>
      </c>
      <c r="B24" s="4" t="s">
        <v>39</v>
      </c>
      <c r="C24" s="4" t="s">
        <v>40</v>
      </c>
      <c r="D24" s="4" t="s">
        <v>41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44562</v>
      </c>
      <c r="J24" s="6">
        <v>1416</v>
      </c>
      <c r="K24" s="6">
        <v>1416</v>
      </c>
      <c r="L24" s="6">
        <v>0</v>
      </c>
      <c r="M24" s="6">
        <v>0</v>
      </c>
      <c r="N24" s="6">
        <v>0</v>
      </c>
      <c r="O24" s="6">
        <v>0</v>
      </c>
      <c r="P24" s="6">
        <v>12</v>
      </c>
      <c r="Q24" s="4" t="s">
        <v>26</v>
      </c>
      <c r="R24" s="4">
        <v>0</v>
      </c>
      <c r="S24" s="4" t="s">
        <v>76</v>
      </c>
      <c r="U24" s="4">
        <v>10</v>
      </c>
      <c r="V24" s="4">
        <v>0</v>
      </c>
      <c r="W24" s="4">
        <v>0</v>
      </c>
    </row>
    <row r="25" spans="1:23" ht="11.25" customHeight="1" x14ac:dyDescent="0.3">
      <c r="A25" s="4" t="s">
        <v>21</v>
      </c>
      <c r="B25" s="4" t="s">
        <v>39</v>
      </c>
      <c r="C25" s="4" t="s">
        <v>40</v>
      </c>
      <c r="D25" s="4" t="s">
        <v>41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44593</v>
      </c>
      <c r="J25" s="6">
        <v>1401</v>
      </c>
      <c r="K25" s="6">
        <v>1401</v>
      </c>
      <c r="L25" s="6">
        <v>0</v>
      </c>
      <c r="M25" s="6">
        <v>0</v>
      </c>
      <c r="N25" s="6">
        <v>0</v>
      </c>
      <c r="O25" s="6">
        <v>0</v>
      </c>
      <c r="P25" s="6">
        <v>13</v>
      </c>
      <c r="Q25" s="4" t="s">
        <v>26</v>
      </c>
      <c r="R25" s="4">
        <v>0</v>
      </c>
      <c r="S25" s="4" t="s">
        <v>77</v>
      </c>
      <c r="U25" s="4">
        <v>10</v>
      </c>
      <c r="V25" s="4">
        <v>0</v>
      </c>
      <c r="W25" s="4">
        <v>0</v>
      </c>
    </row>
    <row r="26" spans="1:23" ht="11.25" customHeight="1" x14ac:dyDescent="0.3">
      <c r="A26" s="4" t="s">
        <v>21</v>
      </c>
      <c r="B26" s="4" t="s">
        <v>39</v>
      </c>
      <c r="C26" s="4" t="s">
        <v>40</v>
      </c>
      <c r="D26" s="4" t="s">
        <v>41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44621</v>
      </c>
      <c r="J26" s="6">
        <v>1349</v>
      </c>
      <c r="K26" s="6">
        <v>1349</v>
      </c>
      <c r="L26" s="6">
        <v>0</v>
      </c>
      <c r="M26" s="6">
        <v>0</v>
      </c>
      <c r="N26" s="6">
        <v>0</v>
      </c>
      <c r="O26" s="6">
        <v>0</v>
      </c>
      <c r="P26" s="6">
        <v>12</v>
      </c>
      <c r="Q26" s="4" t="s">
        <v>26</v>
      </c>
      <c r="R26" s="4">
        <v>0</v>
      </c>
      <c r="S26" s="4" t="s">
        <v>78</v>
      </c>
      <c r="U26" s="4">
        <v>10</v>
      </c>
      <c r="V26" s="4">
        <v>0</v>
      </c>
      <c r="W26" s="4">
        <v>0</v>
      </c>
    </row>
    <row r="27" spans="1:23" ht="11.25" customHeight="1" x14ac:dyDescent="0.3">
      <c r="A27" s="4" t="s">
        <v>28</v>
      </c>
      <c r="B27" s="4" t="s">
        <v>39</v>
      </c>
      <c r="C27" s="4" t="s">
        <v>40</v>
      </c>
      <c r="D27" s="4" t="s">
        <v>41</v>
      </c>
      <c r="E27" s="4" t="s">
        <v>25</v>
      </c>
      <c r="F27" s="4" t="s">
        <v>25</v>
      </c>
      <c r="G27" s="4" t="s">
        <v>25</v>
      </c>
      <c r="H27" s="4" t="s">
        <v>25</v>
      </c>
      <c r="I27" s="5">
        <v>44621</v>
      </c>
      <c r="J27" s="6">
        <v>72</v>
      </c>
      <c r="K27" s="6">
        <v>72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4" t="s">
        <v>26</v>
      </c>
      <c r="R27" s="4">
        <v>0</v>
      </c>
      <c r="S27" s="4" t="s">
        <v>78</v>
      </c>
      <c r="U27" s="4">
        <v>10</v>
      </c>
      <c r="V27" s="4">
        <v>0</v>
      </c>
      <c r="W27" s="4">
        <v>0</v>
      </c>
    </row>
    <row r="28" spans="1:23" ht="11.25" customHeight="1" x14ac:dyDescent="0.3">
      <c r="A28" s="4" t="s">
        <v>21</v>
      </c>
      <c r="B28" s="4" t="s">
        <v>39</v>
      </c>
      <c r="C28" s="4" t="s">
        <v>40</v>
      </c>
      <c r="D28" s="4" t="s">
        <v>41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44652</v>
      </c>
      <c r="J28" s="6">
        <v>1236</v>
      </c>
      <c r="K28" s="6">
        <v>1236</v>
      </c>
      <c r="L28" s="6">
        <v>0</v>
      </c>
      <c r="M28" s="6">
        <v>0</v>
      </c>
      <c r="N28" s="6">
        <v>0</v>
      </c>
      <c r="O28" s="6">
        <v>0</v>
      </c>
      <c r="P28" s="6">
        <v>12</v>
      </c>
      <c r="Q28" s="4" t="s">
        <v>26</v>
      </c>
      <c r="R28" s="4">
        <v>0</v>
      </c>
      <c r="S28" s="4" t="s">
        <v>79</v>
      </c>
      <c r="U28" s="4">
        <v>10</v>
      </c>
      <c r="V28" s="4">
        <v>0</v>
      </c>
      <c r="W28" s="4">
        <v>0</v>
      </c>
    </row>
    <row r="29" spans="1:23" ht="11.25" customHeight="1" x14ac:dyDescent="0.3">
      <c r="A29" s="4" t="s">
        <v>28</v>
      </c>
      <c r="B29" s="4" t="s">
        <v>39</v>
      </c>
      <c r="C29" s="4" t="s">
        <v>40</v>
      </c>
      <c r="D29" s="4" t="s">
        <v>41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44652</v>
      </c>
      <c r="J29" s="6">
        <v>70</v>
      </c>
      <c r="K29" s="6">
        <v>70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4" t="s">
        <v>26</v>
      </c>
      <c r="R29" s="4">
        <v>0</v>
      </c>
      <c r="S29" s="4" t="s">
        <v>79</v>
      </c>
      <c r="U29" s="4">
        <v>10</v>
      </c>
      <c r="V29" s="4">
        <v>0</v>
      </c>
      <c r="W29" s="4">
        <v>0</v>
      </c>
    </row>
    <row r="30" spans="1:23" ht="11.25" customHeight="1" x14ac:dyDescent="0.3">
      <c r="A30" s="4" t="s">
        <v>21</v>
      </c>
      <c r="B30" s="4" t="s">
        <v>39</v>
      </c>
      <c r="C30" s="4" t="s">
        <v>40</v>
      </c>
      <c r="D30" s="4" t="s">
        <v>41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44682</v>
      </c>
      <c r="J30" s="6">
        <v>1230</v>
      </c>
      <c r="K30" s="6">
        <v>1230</v>
      </c>
      <c r="L30" s="6">
        <v>0</v>
      </c>
      <c r="M30" s="6">
        <v>0</v>
      </c>
      <c r="N30" s="6">
        <v>0</v>
      </c>
      <c r="O30" s="6">
        <v>0</v>
      </c>
      <c r="P30" s="6">
        <v>12</v>
      </c>
      <c r="Q30" s="4" t="s">
        <v>26</v>
      </c>
      <c r="R30" s="4">
        <v>0</v>
      </c>
      <c r="S30" s="4" t="s">
        <v>80</v>
      </c>
      <c r="U30" s="4">
        <v>10</v>
      </c>
      <c r="V30" s="4">
        <v>0</v>
      </c>
      <c r="W30" s="4">
        <v>0</v>
      </c>
    </row>
    <row r="31" spans="1:23" ht="11.25" customHeight="1" x14ac:dyDescent="0.3">
      <c r="A31" s="4" t="s">
        <v>28</v>
      </c>
      <c r="B31" s="4" t="s">
        <v>39</v>
      </c>
      <c r="C31" s="4" t="s">
        <v>40</v>
      </c>
      <c r="D31" s="4" t="s">
        <v>41</v>
      </c>
      <c r="E31" s="4" t="s">
        <v>25</v>
      </c>
      <c r="F31" s="4" t="s">
        <v>25</v>
      </c>
      <c r="G31" s="4" t="s">
        <v>25</v>
      </c>
      <c r="H31" s="4" t="s">
        <v>25</v>
      </c>
      <c r="I31" s="5">
        <v>44682</v>
      </c>
      <c r="J31" s="6">
        <v>78</v>
      </c>
      <c r="K31" s="6">
        <v>78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4" t="s">
        <v>26</v>
      </c>
      <c r="R31" s="4">
        <v>0</v>
      </c>
      <c r="S31" s="4" t="s">
        <v>80</v>
      </c>
      <c r="U31" s="4">
        <v>10</v>
      </c>
      <c r="V31" s="4">
        <v>0</v>
      </c>
      <c r="W31" s="4">
        <v>0</v>
      </c>
    </row>
    <row r="32" spans="1:23" ht="11.25" customHeight="1" x14ac:dyDescent="0.3">
      <c r="A32" s="4" t="s">
        <v>21</v>
      </c>
      <c r="B32" s="4" t="s">
        <v>39</v>
      </c>
      <c r="C32" s="4" t="s">
        <v>40</v>
      </c>
      <c r="D32" s="4" t="s">
        <v>41</v>
      </c>
      <c r="E32" s="4" t="s">
        <v>25</v>
      </c>
      <c r="F32" s="4" t="s">
        <v>25</v>
      </c>
      <c r="G32" s="4" t="s">
        <v>25</v>
      </c>
      <c r="H32" s="4" t="s">
        <v>25</v>
      </c>
      <c r="I32" s="5">
        <v>44713</v>
      </c>
      <c r="J32" s="6">
        <v>1229</v>
      </c>
      <c r="K32" s="6">
        <v>1229</v>
      </c>
      <c r="L32" s="6">
        <v>0</v>
      </c>
      <c r="M32" s="6">
        <v>0</v>
      </c>
      <c r="N32" s="6">
        <v>0</v>
      </c>
      <c r="O32" s="6">
        <v>0</v>
      </c>
      <c r="P32" s="6">
        <v>12</v>
      </c>
      <c r="Q32" s="4" t="s">
        <v>26</v>
      </c>
      <c r="R32" s="4">
        <v>0</v>
      </c>
      <c r="S32" s="4" t="s">
        <v>81</v>
      </c>
      <c r="U32" s="4">
        <v>10</v>
      </c>
      <c r="V32" s="4">
        <v>0</v>
      </c>
      <c r="W32" s="4">
        <v>0</v>
      </c>
    </row>
    <row r="33" spans="1:23" ht="11.25" customHeight="1" x14ac:dyDescent="0.3">
      <c r="A33" s="4" t="s">
        <v>28</v>
      </c>
      <c r="B33" s="4" t="s">
        <v>39</v>
      </c>
      <c r="C33" s="4" t="s">
        <v>40</v>
      </c>
      <c r="D33" s="4" t="s">
        <v>41</v>
      </c>
      <c r="E33" s="4" t="s">
        <v>25</v>
      </c>
      <c r="F33" s="4" t="s">
        <v>25</v>
      </c>
      <c r="G33" s="4" t="s">
        <v>25</v>
      </c>
      <c r="H33" s="4" t="s">
        <v>25</v>
      </c>
      <c r="I33" s="5">
        <v>44713</v>
      </c>
      <c r="J33" s="6">
        <v>74</v>
      </c>
      <c r="K33" s="6">
        <v>74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26</v>
      </c>
      <c r="R33" s="4">
        <v>0</v>
      </c>
      <c r="S33" s="4" t="s">
        <v>81</v>
      </c>
      <c r="U33" s="4">
        <v>10</v>
      </c>
      <c r="V33" s="4">
        <v>0</v>
      </c>
      <c r="W33" s="4">
        <v>0</v>
      </c>
    </row>
    <row r="34" spans="1:23" ht="11.25" customHeight="1" x14ac:dyDescent="0.3">
      <c r="A34" s="4" t="s">
        <v>21</v>
      </c>
      <c r="B34" s="4" t="s">
        <v>39</v>
      </c>
      <c r="C34" s="4" t="s">
        <v>40</v>
      </c>
      <c r="D34" s="4" t="s">
        <v>41</v>
      </c>
      <c r="E34" s="4" t="s">
        <v>25</v>
      </c>
      <c r="F34" s="4" t="s">
        <v>25</v>
      </c>
      <c r="G34" s="4" t="s">
        <v>25</v>
      </c>
      <c r="H34" s="4" t="s">
        <v>25</v>
      </c>
      <c r="I34" s="5">
        <v>44743</v>
      </c>
      <c r="J34" s="6">
        <v>1232</v>
      </c>
      <c r="K34" s="6">
        <v>1232</v>
      </c>
      <c r="L34" s="6">
        <v>0</v>
      </c>
      <c r="M34" s="6">
        <v>0</v>
      </c>
      <c r="N34" s="6">
        <v>0</v>
      </c>
      <c r="O34" s="6">
        <v>0</v>
      </c>
      <c r="P34" s="6">
        <v>12</v>
      </c>
      <c r="Q34" s="4" t="s">
        <v>26</v>
      </c>
      <c r="R34" s="4">
        <v>0</v>
      </c>
      <c r="S34" s="4" t="s">
        <v>82</v>
      </c>
      <c r="U34" s="4">
        <v>10</v>
      </c>
      <c r="V34" s="4">
        <v>0</v>
      </c>
      <c r="W34" s="4">
        <v>0</v>
      </c>
    </row>
    <row r="35" spans="1:23" ht="11.25" customHeight="1" x14ac:dyDescent="0.3">
      <c r="A35" s="4" t="s">
        <v>28</v>
      </c>
      <c r="B35" s="4" t="s">
        <v>39</v>
      </c>
      <c r="C35" s="4" t="s">
        <v>40</v>
      </c>
      <c r="D35" s="4" t="s">
        <v>41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44743</v>
      </c>
      <c r="J35" s="6">
        <v>91</v>
      </c>
      <c r="K35" s="6">
        <v>91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26</v>
      </c>
      <c r="R35" s="4">
        <v>0</v>
      </c>
      <c r="S35" s="4" t="s">
        <v>82</v>
      </c>
      <c r="U35" s="4">
        <v>10</v>
      </c>
      <c r="V35" s="4">
        <v>0</v>
      </c>
      <c r="W35" s="4">
        <v>0</v>
      </c>
    </row>
    <row r="36" spans="1:23" ht="11.25" customHeight="1" x14ac:dyDescent="0.3">
      <c r="A36" s="4" t="s">
        <v>21</v>
      </c>
      <c r="B36" s="4" t="s">
        <v>39</v>
      </c>
      <c r="C36" s="4" t="s">
        <v>40</v>
      </c>
      <c r="D36" s="4" t="s">
        <v>41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44774</v>
      </c>
      <c r="J36" s="6">
        <v>1228</v>
      </c>
      <c r="K36" s="6">
        <v>1228</v>
      </c>
      <c r="L36" s="6">
        <v>0</v>
      </c>
      <c r="M36" s="6">
        <v>0</v>
      </c>
      <c r="N36" s="6">
        <v>0</v>
      </c>
      <c r="O36" s="6">
        <v>0</v>
      </c>
      <c r="P36" s="6">
        <v>12</v>
      </c>
      <c r="Q36" s="4" t="s">
        <v>26</v>
      </c>
      <c r="R36" s="4">
        <v>0</v>
      </c>
      <c r="S36" s="4" t="s">
        <v>83</v>
      </c>
      <c r="U36" s="4">
        <v>10</v>
      </c>
      <c r="V36" s="4">
        <v>0</v>
      </c>
      <c r="W36" s="4">
        <v>0</v>
      </c>
    </row>
    <row r="37" spans="1:23" ht="11.25" customHeight="1" x14ac:dyDescent="0.3">
      <c r="A37" s="4" t="s">
        <v>28</v>
      </c>
      <c r="B37" s="4" t="s">
        <v>39</v>
      </c>
      <c r="C37" s="4" t="s">
        <v>40</v>
      </c>
      <c r="D37" s="4" t="s">
        <v>41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44774</v>
      </c>
      <c r="J37" s="6">
        <v>75</v>
      </c>
      <c r="K37" s="6">
        <v>75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4" t="s">
        <v>26</v>
      </c>
      <c r="R37" s="4">
        <v>0</v>
      </c>
      <c r="S37" s="4" t="s">
        <v>83</v>
      </c>
      <c r="U37" s="4">
        <v>10</v>
      </c>
      <c r="V37" s="4">
        <v>0</v>
      </c>
      <c r="W37" s="4">
        <v>0</v>
      </c>
    </row>
    <row r="38" spans="1:23" ht="11.25" customHeight="1" x14ac:dyDescent="0.3">
      <c r="A38" s="4" t="s">
        <v>21</v>
      </c>
      <c r="B38" s="4" t="s">
        <v>39</v>
      </c>
      <c r="C38" s="4" t="s">
        <v>40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34</v>
      </c>
      <c r="I38" s="5">
        <v>44440</v>
      </c>
      <c r="J38" s="6">
        <v>0</v>
      </c>
      <c r="K38" s="6">
        <v>0</v>
      </c>
      <c r="L38" s="6">
        <v>7.4359999999999999</v>
      </c>
      <c r="M38" s="6">
        <v>7.4359999999999999</v>
      </c>
      <c r="N38" s="6">
        <v>7.4359999999999999</v>
      </c>
      <c r="O38" s="6">
        <v>7.4359999999999999</v>
      </c>
      <c r="P38" s="6">
        <v>0</v>
      </c>
      <c r="Q38" s="4" t="s">
        <v>26</v>
      </c>
      <c r="R38" s="4">
        <v>0</v>
      </c>
      <c r="S38" s="4" t="s">
        <v>84</v>
      </c>
      <c r="T38" s="4" t="s">
        <v>277</v>
      </c>
      <c r="U38" s="4">
        <v>0</v>
      </c>
      <c r="V38" s="4">
        <v>23</v>
      </c>
      <c r="W38" s="4">
        <v>25</v>
      </c>
    </row>
    <row r="39" spans="1:23" ht="11.25" customHeight="1" x14ac:dyDescent="0.3">
      <c r="A39" s="4" t="s">
        <v>21</v>
      </c>
      <c r="B39" s="4" t="s">
        <v>39</v>
      </c>
      <c r="C39" s="4" t="s">
        <v>40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34</v>
      </c>
      <c r="I39" s="5">
        <v>44470</v>
      </c>
      <c r="J39" s="6">
        <v>0</v>
      </c>
      <c r="K39" s="6">
        <v>0</v>
      </c>
      <c r="L39" s="6">
        <v>7.6539999999999999</v>
      </c>
      <c r="M39" s="6">
        <v>7.6539999999999999</v>
      </c>
      <c r="N39" s="6">
        <v>7.6539999999999999</v>
      </c>
      <c r="O39" s="6">
        <v>7.6539999999999999</v>
      </c>
      <c r="P39" s="6">
        <v>0</v>
      </c>
      <c r="Q39" s="4" t="s">
        <v>26</v>
      </c>
      <c r="R39" s="4">
        <v>0</v>
      </c>
      <c r="S39" s="4" t="s">
        <v>85</v>
      </c>
      <c r="T39" s="4" t="s">
        <v>278</v>
      </c>
      <c r="U39" s="4">
        <v>0</v>
      </c>
      <c r="V39" s="4">
        <v>23</v>
      </c>
      <c r="W39" s="4">
        <v>25</v>
      </c>
    </row>
    <row r="40" spans="1:23" ht="11.25" customHeight="1" x14ac:dyDescent="0.3">
      <c r="A40" s="4" t="s">
        <v>21</v>
      </c>
      <c r="B40" s="4" t="s">
        <v>39</v>
      </c>
      <c r="C40" s="4" t="s">
        <v>40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34</v>
      </c>
      <c r="I40" s="5">
        <v>44501</v>
      </c>
      <c r="J40" s="6">
        <v>0</v>
      </c>
      <c r="K40" s="6">
        <v>0</v>
      </c>
      <c r="L40" s="6">
        <v>11.316000000000001</v>
      </c>
      <c r="M40" s="6">
        <v>11.316000000000001</v>
      </c>
      <c r="N40" s="6">
        <v>11.316000000000001</v>
      </c>
      <c r="O40" s="6">
        <v>11.316000000000001</v>
      </c>
      <c r="P40" s="6">
        <v>0</v>
      </c>
      <c r="Q40" s="4" t="s">
        <v>26</v>
      </c>
      <c r="R40" s="4">
        <v>0</v>
      </c>
      <c r="S40" s="4" t="s">
        <v>86</v>
      </c>
      <c r="T40" s="4" t="s">
        <v>279</v>
      </c>
      <c r="U40" s="4">
        <v>0</v>
      </c>
      <c r="V40" s="4">
        <v>23</v>
      </c>
      <c r="W40" s="4">
        <v>25</v>
      </c>
    </row>
    <row r="41" spans="1:23" ht="11.25" customHeight="1" x14ac:dyDescent="0.3">
      <c r="A41" s="4" t="s">
        <v>21</v>
      </c>
      <c r="B41" s="4" t="s">
        <v>39</v>
      </c>
      <c r="C41" s="4" t="s">
        <v>40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34</v>
      </c>
      <c r="I41" s="5">
        <v>44531</v>
      </c>
      <c r="J41" s="6">
        <v>0</v>
      </c>
      <c r="K41" s="6">
        <v>0</v>
      </c>
      <c r="L41" s="6">
        <v>14.263999999999999</v>
      </c>
      <c r="M41" s="6">
        <v>14.263999999999999</v>
      </c>
      <c r="N41" s="6">
        <v>14.263999999999999</v>
      </c>
      <c r="O41" s="6">
        <v>14.263999999999999</v>
      </c>
      <c r="P41" s="6">
        <v>0</v>
      </c>
      <c r="Q41" s="4" t="s">
        <v>26</v>
      </c>
      <c r="R41" s="4">
        <v>0</v>
      </c>
      <c r="S41" s="4" t="s">
        <v>87</v>
      </c>
      <c r="T41" s="4" t="s">
        <v>280</v>
      </c>
      <c r="U41" s="4">
        <v>0</v>
      </c>
      <c r="V41" s="4">
        <v>23</v>
      </c>
      <c r="W41" s="4">
        <v>25</v>
      </c>
    </row>
    <row r="42" spans="1:23" ht="11.25" customHeight="1" x14ac:dyDescent="0.3">
      <c r="A42" s="4" t="s">
        <v>21</v>
      </c>
      <c r="B42" s="4" t="s">
        <v>39</v>
      </c>
      <c r="C42" s="4" t="s">
        <v>40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34</v>
      </c>
      <c r="I42" s="5">
        <v>44562</v>
      </c>
      <c r="J42" s="6">
        <v>0</v>
      </c>
      <c r="K42" s="6">
        <v>0</v>
      </c>
      <c r="L42" s="6">
        <v>11.019</v>
      </c>
      <c r="M42" s="6">
        <v>11.019</v>
      </c>
      <c r="N42" s="6">
        <v>11.019</v>
      </c>
      <c r="O42" s="6">
        <v>11.019</v>
      </c>
      <c r="P42" s="6">
        <v>0</v>
      </c>
      <c r="Q42" s="4" t="s">
        <v>26</v>
      </c>
      <c r="R42" s="4">
        <v>0</v>
      </c>
      <c r="S42" s="4" t="s">
        <v>88</v>
      </c>
      <c r="T42" s="4" t="s">
        <v>281</v>
      </c>
      <c r="U42" s="4">
        <v>0</v>
      </c>
      <c r="V42" s="4">
        <v>23</v>
      </c>
      <c r="W42" s="4">
        <v>25</v>
      </c>
    </row>
    <row r="43" spans="1:23" ht="11.25" customHeight="1" x14ac:dyDescent="0.3">
      <c r="A43" s="4" t="s">
        <v>21</v>
      </c>
      <c r="B43" s="4" t="s">
        <v>39</v>
      </c>
      <c r="C43" s="4" t="s">
        <v>40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34</v>
      </c>
      <c r="I43" s="5">
        <v>44593</v>
      </c>
      <c r="J43" s="6">
        <v>0</v>
      </c>
      <c r="K43" s="6">
        <v>0</v>
      </c>
      <c r="L43" s="6">
        <v>9.9260000000000002</v>
      </c>
      <c r="M43" s="6">
        <v>9.9260000000000002</v>
      </c>
      <c r="N43" s="6">
        <v>9.9260000000000002</v>
      </c>
      <c r="O43" s="6">
        <v>9.9260000000000002</v>
      </c>
      <c r="P43" s="6">
        <v>0</v>
      </c>
      <c r="Q43" s="4" t="s">
        <v>26</v>
      </c>
      <c r="R43" s="4">
        <v>0</v>
      </c>
      <c r="S43" s="4" t="s">
        <v>89</v>
      </c>
      <c r="T43" s="4" t="s">
        <v>282</v>
      </c>
      <c r="U43" s="4">
        <v>0</v>
      </c>
      <c r="V43" s="4">
        <v>23</v>
      </c>
      <c r="W43" s="4">
        <v>25</v>
      </c>
    </row>
    <row r="44" spans="1:23" ht="11.25" customHeight="1" x14ac:dyDescent="0.3">
      <c r="A44" s="4" t="s">
        <v>21</v>
      </c>
      <c r="B44" s="4" t="s">
        <v>39</v>
      </c>
      <c r="C44" s="4" t="s">
        <v>40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34</v>
      </c>
      <c r="I44" s="5">
        <v>44621</v>
      </c>
      <c r="J44" s="6">
        <v>0</v>
      </c>
      <c r="K44" s="6">
        <v>0</v>
      </c>
      <c r="L44" s="6">
        <v>6.8</v>
      </c>
      <c r="M44" s="6">
        <v>6.8</v>
      </c>
      <c r="N44" s="6">
        <v>6.8</v>
      </c>
      <c r="O44" s="6">
        <v>6.8</v>
      </c>
      <c r="P44" s="6">
        <v>0</v>
      </c>
      <c r="Q44" s="4" t="s">
        <v>26</v>
      </c>
      <c r="R44" s="4">
        <v>0</v>
      </c>
      <c r="S44" s="4" t="s">
        <v>90</v>
      </c>
      <c r="T44" s="4" t="s">
        <v>283</v>
      </c>
      <c r="U44" s="4">
        <v>0</v>
      </c>
      <c r="V44" s="4">
        <v>23</v>
      </c>
      <c r="W44" s="4">
        <v>25</v>
      </c>
    </row>
    <row r="45" spans="1:23" ht="11.25" customHeight="1" x14ac:dyDescent="0.3">
      <c r="A45" s="4" t="s">
        <v>28</v>
      </c>
      <c r="B45" s="4" t="s">
        <v>39</v>
      </c>
      <c r="C45" s="4" t="s">
        <v>40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34</v>
      </c>
      <c r="I45" s="5">
        <v>44621</v>
      </c>
      <c r="J45" s="6">
        <v>0</v>
      </c>
      <c r="K45" s="6">
        <v>0</v>
      </c>
      <c r="L45" s="6">
        <v>2.5350000000000001</v>
      </c>
      <c r="M45" s="6">
        <v>2.5350000000000001</v>
      </c>
      <c r="N45" s="6">
        <v>2.5350000000000001</v>
      </c>
      <c r="O45" s="6">
        <v>2.5350000000000001</v>
      </c>
      <c r="P45" s="6">
        <v>0</v>
      </c>
      <c r="Q45" s="4" t="s">
        <v>26</v>
      </c>
      <c r="R45" s="4">
        <v>0</v>
      </c>
      <c r="S45" s="4" t="s">
        <v>90</v>
      </c>
      <c r="T45" s="4" t="s">
        <v>283</v>
      </c>
      <c r="U45" s="4">
        <v>0</v>
      </c>
      <c r="V45" s="4">
        <v>23</v>
      </c>
      <c r="W45" s="4">
        <v>25</v>
      </c>
    </row>
    <row r="46" spans="1:23" ht="11.25" customHeight="1" x14ac:dyDescent="0.3">
      <c r="A46" s="4" t="s">
        <v>21</v>
      </c>
      <c r="B46" s="4" t="s">
        <v>39</v>
      </c>
      <c r="C46" s="4" t="s">
        <v>40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34</v>
      </c>
      <c r="I46" s="5">
        <v>44652</v>
      </c>
      <c r="J46" s="6">
        <v>0</v>
      </c>
      <c r="K46" s="6">
        <v>0</v>
      </c>
      <c r="L46" s="6">
        <v>10.007</v>
      </c>
      <c r="M46" s="6">
        <v>10.007</v>
      </c>
      <c r="N46" s="6">
        <v>10.007</v>
      </c>
      <c r="O46" s="6">
        <v>10.007</v>
      </c>
      <c r="P46" s="6">
        <v>0</v>
      </c>
      <c r="Q46" s="4" t="s">
        <v>26</v>
      </c>
      <c r="R46" s="4">
        <v>0</v>
      </c>
      <c r="S46" s="4" t="s">
        <v>91</v>
      </c>
      <c r="T46" s="4" t="s">
        <v>284</v>
      </c>
      <c r="U46" s="4">
        <v>0</v>
      </c>
      <c r="V46" s="4">
        <v>23</v>
      </c>
      <c r="W46" s="4">
        <v>25</v>
      </c>
    </row>
    <row r="47" spans="1:23" ht="11.25" customHeight="1" x14ac:dyDescent="0.3">
      <c r="A47" s="4" t="s">
        <v>28</v>
      </c>
      <c r="B47" s="4" t="s">
        <v>39</v>
      </c>
      <c r="C47" s="4" t="s">
        <v>40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34</v>
      </c>
      <c r="I47" s="5">
        <v>44652</v>
      </c>
      <c r="J47" s="6">
        <v>0</v>
      </c>
      <c r="K47" s="6">
        <v>0</v>
      </c>
      <c r="L47" s="6">
        <v>2.6059999999999999</v>
      </c>
      <c r="M47" s="6">
        <v>2.6059999999999999</v>
      </c>
      <c r="N47" s="6">
        <v>2.6059999999999999</v>
      </c>
      <c r="O47" s="6">
        <v>2.6059999999999999</v>
      </c>
      <c r="P47" s="6">
        <v>0</v>
      </c>
      <c r="Q47" s="4" t="s">
        <v>26</v>
      </c>
      <c r="R47" s="4">
        <v>0</v>
      </c>
      <c r="S47" s="4" t="s">
        <v>91</v>
      </c>
      <c r="T47" s="4" t="s">
        <v>284</v>
      </c>
      <c r="U47" s="4">
        <v>0</v>
      </c>
      <c r="V47" s="4">
        <v>23</v>
      </c>
      <c r="W47" s="4">
        <v>25</v>
      </c>
    </row>
    <row r="48" spans="1:23" ht="11.25" customHeight="1" x14ac:dyDescent="0.3">
      <c r="A48" s="4" t="s">
        <v>21</v>
      </c>
      <c r="B48" s="4" t="s">
        <v>39</v>
      </c>
      <c r="C48" s="4" t="s">
        <v>40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34</v>
      </c>
      <c r="I48" s="5">
        <v>44682</v>
      </c>
      <c r="J48" s="6">
        <v>0</v>
      </c>
      <c r="K48" s="6">
        <v>0</v>
      </c>
      <c r="L48" s="6">
        <v>11.064</v>
      </c>
      <c r="M48" s="6">
        <v>11.064</v>
      </c>
      <c r="N48" s="6">
        <v>11.064</v>
      </c>
      <c r="O48" s="6">
        <v>11.064</v>
      </c>
      <c r="P48" s="6">
        <v>0</v>
      </c>
      <c r="Q48" s="4" t="s">
        <v>26</v>
      </c>
      <c r="R48" s="4">
        <v>0</v>
      </c>
      <c r="S48" s="4" t="s">
        <v>92</v>
      </c>
      <c r="T48" s="4" t="s">
        <v>285</v>
      </c>
      <c r="U48" s="4">
        <v>0</v>
      </c>
      <c r="V48" s="4">
        <v>23</v>
      </c>
      <c r="W48" s="4">
        <v>25</v>
      </c>
    </row>
    <row r="49" spans="1:23" ht="11.25" customHeight="1" x14ac:dyDescent="0.3">
      <c r="A49" s="4" t="s">
        <v>28</v>
      </c>
      <c r="B49" s="4" t="s">
        <v>39</v>
      </c>
      <c r="C49" s="4" t="s">
        <v>40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34</v>
      </c>
      <c r="I49" s="5">
        <v>44682</v>
      </c>
      <c r="J49" s="6">
        <v>0</v>
      </c>
      <c r="K49" s="6">
        <v>0</v>
      </c>
      <c r="L49" s="6">
        <v>3.242</v>
      </c>
      <c r="M49" s="6">
        <v>3.242</v>
      </c>
      <c r="N49" s="6">
        <v>3.242</v>
      </c>
      <c r="O49" s="6">
        <v>3.242</v>
      </c>
      <c r="P49" s="6">
        <v>0</v>
      </c>
      <c r="Q49" s="4" t="s">
        <v>26</v>
      </c>
      <c r="R49" s="4">
        <v>0</v>
      </c>
      <c r="S49" s="4" t="s">
        <v>92</v>
      </c>
      <c r="T49" s="4" t="s">
        <v>285</v>
      </c>
      <c r="U49" s="4">
        <v>0</v>
      </c>
      <c r="V49" s="4">
        <v>23</v>
      </c>
      <c r="W49" s="4">
        <v>25</v>
      </c>
    </row>
    <row r="50" spans="1:23" ht="11.25" customHeight="1" x14ac:dyDescent="0.3">
      <c r="A50" s="4" t="s">
        <v>21</v>
      </c>
      <c r="B50" s="4" t="s">
        <v>39</v>
      </c>
      <c r="C50" s="4" t="s">
        <v>40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34</v>
      </c>
      <c r="I50" s="5">
        <v>44713</v>
      </c>
      <c r="J50" s="6">
        <v>0</v>
      </c>
      <c r="K50" s="6">
        <v>0</v>
      </c>
      <c r="L50" s="6">
        <v>9.5440000000000005</v>
      </c>
      <c r="M50" s="6">
        <v>9.5440000000000005</v>
      </c>
      <c r="N50" s="6">
        <v>9.5440000000000005</v>
      </c>
      <c r="O50" s="6">
        <v>9.5440000000000005</v>
      </c>
      <c r="P50" s="6">
        <v>0</v>
      </c>
      <c r="Q50" s="4" t="s">
        <v>26</v>
      </c>
      <c r="R50" s="4">
        <v>0</v>
      </c>
      <c r="S50" s="4" t="s">
        <v>93</v>
      </c>
      <c r="T50" s="4" t="s">
        <v>286</v>
      </c>
      <c r="U50" s="4">
        <v>0</v>
      </c>
      <c r="V50" s="4">
        <v>23</v>
      </c>
      <c r="W50" s="4">
        <v>25</v>
      </c>
    </row>
    <row r="51" spans="1:23" ht="11.25" customHeight="1" x14ac:dyDescent="0.3">
      <c r="A51" s="4" t="s">
        <v>28</v>
      </c>
      <c r="B51" s="4" t="s">
        <v>39</v>
      </c>
      <c r="C51" s="4" t="s">
        <v>40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34</v>
      </c>
      <c r="I51" s="5">
        <v>44713</v>
      </c>
      <c r="J51" s="6">
        <v>0</v>
      </c>
      <c r="K51" s="6">
        <v>0</v>
      </c>
      <c r="L51" s="6">
        <v>3.2149999999999999</v>
      </c>
      <c r="M51" s="6">
        <v>3.2149999999999999</v>
      </c>
      <c r="N51" s="6">
        <v>3.2149999999999999</v>
      </c>
      <c r="O51" s="6">
        <v>3.2149999999999999</v>
      </c>
      <c r="P51" s="6">
        <v>0</v>
      </c>
      <c r="Q51" s="4" t="s">
        <v>26</v>
      </c>
      <c r="R51" s="4">
        <v>0</v>
      </c>
      <c r="S51" s="4" t="s">
        <v>93</v>
      </c>
      <c r="T51" s="4" t="s">
        <v>286</v>
      </c>
      <c r="U51" s="4">
        <v>0</v>
      </c>
      <c r="V51" s="4">
        <v>23</v>
      </c>
      <c r="W51" s="4">
        <v>25</v>
      </c>
    </row>
    <row r="52" spans="1:23" ht="11.25" customHeight="1" x14ac:dyDescent="0.3">
      <c r="A52" s="4" t="s">
        <v>21</v>
      </c>
      <c r="B52" s="4" t="s">
        <v>39</v>
      </c>
      <c r="C52" s="4" t="s">
        <v>40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34</v>
      </c>
      <c r="I52" s="5">
        <v>44743</v>
      </c>
      <c r="J52" s="6">
        <v>0</v>
      </c>
      <c r="K52" s="6">
        <v>0</v>
      </c>
      <c r="L52" s="6">
        <v>8.4250000000000007</v>
      </c>
      <c r="M52" s="6">
        <v>8.4250000000000007</v>
      </c>
      <c r="N52" s="6">
        <v>8.4250000000000007</v>
      </c>
      <c r="O52" s="6">
        <v>8.4250000000000007</v>
      </c>
      <c r="P52" s="6">
        <v>0</v>
      </c>
      <c r="Q52" s="4" t="s">
        <v>26</v>
      </c>
      <c r="R52" s="4">
        <v>0</v>
      </c>
      <c r="S52" s="4" t="s">
        <v>94</v>
      </c>
      <c r="T52" s="4" t="s">
        <v>287</v>
      </c>
      <c r="U52" s="4">
        <v>0</v>
      </c>
      <c r="V52" s="4">
        <v>23</v>
      </c>
      <c r="W52" s="4">
        <v>25</v>
      </c>
    </row>
    <row r="53" spans="1:23" ht="11.25" customHeight="1" x14ac:dyDescent="0.3">
      <c r="A53" s="4" t="s">
        <v>28</v>
      </c>
      <c r="B53" s="4" t="s">
        <v>39</v>
      </c>
      <c r="C53" s="4" t="s">
        <v>40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34</v>
      </c>
      <c r="I53" s="5">
        <v>44743</v>
      </c>
      <c r="J53" s="6">
        <v>0</v>
      </c>
      <c r="K53" s="6">
        <v>0</v>
      </c>
      <c r="L53" s="6">
        <v>3.6680000000000001</v>
      </c>
      <c r="M53" s="6">
        <v>3.6680000000000001</v>
      </c>
      <c r="N53" s="6">
        <v>3.6680000000000001</v>
      </c>
      <c r="O53" s="6">
        <v>3.6680000000000001</v>
      </c>
      <c r="P53" s="6">
        <v>0</v>
      </c>
      <c r="Q53" s="4" t="s">
        <v>26</v>
      </c>
      <c r="R53" s="4">
        <v>0</v>
      </c>
      <c r="S53" s="4" t="s">
        <v>94</v>
      </c>
      <c r="T53" s="4" t="s">
        <v>287</v>
      </c>
      <c r="U53" s="4">
        <v>0</v>
      </c>
      <c r="V53" s="4">
        <v>23</v>
      </c>
      <c r="W53" s="4">
        <v>25</v>
      </c>
    </row>
    <row r="54" spans="1:23" ht="11.25" customHeight="1" x14ac:dyDescent="0.3">
      <c r="A54" s="4" t="s">
        <v>21</v>
      </c>
      <c r="B54" s="4" t="s">
        <v>39</v>
      </c>
      <c r="C54" s="4" t="s">
        <v>40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34</v>
      </c>
      <c r="I54" s="5">
        <v>44774</v>
      </c>
      <c r="J54" s="6">
        <v>0</v>
      </c>
      <c r="K54" s="6">
        <v>0</v>
      </c>
      <c r="L54" s="6">
        <v>7.665</v>
      </c>
      <c r="M54" s="6">
        <v>7.665</v>
      </c>
      <c r="N54" s="6">
        <v>7.665</v>
      </c>
      <c r="O54" s="6">
        <v>7.665</v>
      </c>
      <c r="P54" s="6">
        <v>0</v>
      </c>
      <c r="Q54" s="4" t="s">
        <v>26</v>
      </c>
      <c r="R54" s="4">
        <v>0</v>
      </c>
      <c r="S54" s="4" t="s">
        <v>95</v>
      </c>
      <c r="T54" s="4" t="s">
        <v>288</v>
      </c>
      <c r="U54" s="4">
        <v>0</v>
      </c>
      <c r="V54" s="4">
        <v>23</v>
      </c>
      <c r="W54" s="4">
        <v>25</v>
      </c>
    </row>
    <row r="55" spans="1:23" ht="11.25" customHeight="1" x14ac:dyDescent="0.3">
      <c r="A55" s="4" t="s">
        <v>28</v>
      </c>
      <c r="B55" s="4" t="s">
        <v>39</v>
      </c>
      <c r="C55" s="4" t="s">
        <v>40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34</v>
      </c>
      <c r="I55" s="5">
        <v>44774</v>
      </c>
      <c r="J55" s="6">
        <v>0</v>
      </c>
      <c r="K55" s="6">
        <v>0</v>
      </c>
      <c r="L55" s="6">
        <v>3.7949999999999999</v>
      </c>
      <c r="M55" s="6">
        <v>3.7949999999999999</v>
      </c>
      <c r="N55" s="6">
        <v>3.7949999999999999</v>
      </c>
      <c r="O55" s="6">
        <v>3.7949999999999999</v>
      </c>
      <c r="P55" s="6">
        <v>0</v>
      </c>
      <c r="Q55" s="4" t="s">
        <v>26</v>
      </c>
      <c r="R55" s="4">
        <v>0</v>
      </c>
      <c r="S55" s="4" t="s">
        <v>95</v>
      </c>
      <c r="T55" s="4" t="s">
        <v>288</v>
      </c>
      <c r="U55" s="4">
        <v>0</v>
      </c>
      <c r="V55" s="4">
        <v>23</v>
      </c>
      <c r="W55" s="4">
        <v>25</v>
      </c>
    </row>
    <row r="56" spans="1:23" ht="11.25" customHeight="1" x14ac:dyDescent="0.3">
      <c r="A56" s="4" t="s">
        <v>21</v>
      </c>
      <c r="B56" s="4" t="s">
        <v>39</v>
      </c>
      <c r="C56" s="4" t="s">
        <v>40</v>
      </c>
      <c r="D56" s="4" t="s">
        <v>38</v>
      </c>
      <c r="E56" s="4" t="s">
        <v>25</v>
      </c>
      <c r="F56" s="4" t="s">
        <v>51</v>
      </c>
      <c r="G56" s="4" t="s">
        <v>25</v>
      </c>
      <c r="H56" s="4" t="s">
        <v>35</v>
      </c>
      <c r="I56" s="5">
        <v>44440</v>
      </c>
      <c r="J56" s="6">
        <v>0</v>
      </c>
      <c r="K56" s="6">
        <v>0</v>
      </c>
      <c r="L56" s="6">
        <v>112.67</v>
      </c>
      <c r="M56" s="6">
        <v>56.335000000000001</v>
      </c>
      <c r="N56" s="6">
        <v>0</v>
      </c>
      <c r="O56" s="6">
        <v>0</v>
      </c>
      <c r="P56" s="6">
        <v>0</v>
      </c>
      <c r="Q56" s="4" t="s">
        <v>52</v>
      </c>
      <c r="R56" s="4">
        <v>0</v>
      </c>
      <c r="S56" s="4" t="s">
        <v>60</v>
      </c>
      <c r="U56" s="4">
        <v>0</v>
      </c>
      <c r="V56" s="4">
        <v>6</v>
      </c>
      <c r="W56" s="4">
        <v>0</v>
      </c>
    </row>
    <row r="57" spans="1:23" ht="11.25" customHeight="1" x14ac:dyDescent="0.3">
      <c r="A57" s="4" t="s">
        <v>27</v>
      </c>
      <c r="B57" s="4" t="s">
        <v>39</v>
      </c>
      <c r="C57" s="4" t="s">
        <v>40</v>
      </c>
      <c r="D57" s="4" t="s">
        <v>38</v>
      </c>
      <c r="E57" s="4" t="s">
        <v>25</v>
      </c>
      <c r="F57" s="4" t="s">
        <v>51</v>
      </c>
      <c r="G57" s="4" t="s">
        <v>25</v>
      </c>
      <c r="H57" s="4" t="s">
        <v>35</v>
      </c>
      <c r="I57" s="5">
        <v>44440</v>
      </c>
      <c r="J57" s="6">
        <v>0</v>
      </c>
      <c r="K57" s="6">
        <v>0</v>
      </c>
      <c r="L57" s="6">
        <v>112.67</v>
      </c>
      <c r="M57" s="6">
        <v>56.335000000000001</v>
      </c>
      <c r="N57" s="6">
        <v>0</v>
      </c>
      <c r="O57" s="6">
        <v>0</v>
      </c>
      <c r="P57" s="6">
        <v>0</v>
      </c>
      <c r="Q57" s="4" t="s">
        <v>52</v>
      </c>
      <c r="R57" s="4">
        <v>0</v>
      </c>
      <c r="S57" s="4" t="s">
        <v>60</v>
      </c>
      <c r="U57" s="4">
        <v>0</v>
      </c>
      <c r="V57" s="4">
        <v>6</v>
      </c>
      <c r="W57" s="4">
        <v>0</v>
      </c>
    </row>
    <row r="58" spans="1:23" ht="11.25" customHeight="1" x14ac:dyDescent="0.3">
      <c r="A58" s="4" t="s">
        <v>21</v>
      </c>
      <c r="B58" s="4" t="s">
        <v>39</v>
      </c>
      <c r="C58" s="4" t="s">
        <v>40</v>
      </c>
      <c r="D58" s="4" t="s">
        <v>38</v>
      </c>
      <c r="E58" s="4" t="s">
        <v>25</v>
      </c>
      <c r="F58" s="4" t="s">
        <v>51</v>
      </c>
      <c r="G58" s="4" t="s">
        <v>25</v>
      </c>
      <c r="H58" s="4" t="s">
        <v>35</v>
      </c>
      <c r="I58" s="5">
        <v>44470</v>
      </c>
      <c r="J58" s="6">
        <v>0</v>
      </c>
      <c r="K58" s="6">
        <v>0</v>
      </c>
      <c r="L58" s="6">
        <v>136.489</v>
      </c>
      <c r="M58" s="6">
        <v>68.244500000000002</v>
      </c>
      <c r="N58" s="6">
        <v>0</v>
      </c>
      <c r="O58" s="6">
        <v>0</v>
      </c>
      <c r="P58" s="6">
        <v>0</v>
      </c>
      <c r="Q58" s="4" t="s">
        <v>52</v>
      </c>
      <c r="R58" s="4">
        <v>0</v>
      </c>
      <c r="S58" s="4" t="s">
        <v>61</v>
      </c>
      <c r="U58" s="4">
        <v>0</v>
      </c>
      <c r="V58" s="4">
        <v>6</v>
      </c>
      <c r="W58" s="4">
        <v>0</v>
      </c>
    </row>
    <row r="59" spans="1:23" ht="11.25" customHeight="1" x14ac:dyDescent="0.3">
      <c r="A59" s="4" t="s">
        <v>27</v>
      </c>
      <c r="B59" s="4" t="s">
        <v>39</v>
      </c>
      <c r="C59" s="4" t="s">
        <v>40</v>
      </c>
      <c r="D59" s="4" t="s">
        <v>38</v>
      </c>
      <c r="E59" s="4" t="s">
        <v>25</v>
      </c>
      <c r="F59" s="4" t="s">
        <v>51</v>
      </c>
      <c r="G59" s="4" t="s">
        <v>25</v>
      </c>
      <c r="H59" s="4" t="s">
        <v>35</v>
      </c>
      <c r="I59" s="5">
        <v>44470</v>
      </c>
      <c r="J59" s="6">
        <v>0</v>
      </c>
      <c r="K59" s="6">
        <v>0</v>
      </c>
      <c r="L59" s="6">
        <v>136.489</v>
      </c>
      <c r="M59" s="6">
        <v>68.244500000000002</v>
      </c>
      <c r="N59" s="6">
        <v>0</v>
      </c>
      <c r="O59" s="6">
        <v>0</v>
      </c>
      <c r="P59" s="6">
        <v>0</v>
      </c>
      <c r="Q59" s="4" t="s">
        <v>52</v>
      </c>
      <c r="R59" s="4">
        <v>0</v>
      </c>
      <c r="S59" s="4" t="s">
        <v>61</v>
      </c>
      <c r="U59" s="4">
        <v>0</v>
      </c>
      <c r="V59" s="4">
        <v>6</v>
      </c>
      <c r="W59" s="4">
        <v>0</v>
      </c>
    </row>
    <row r="60" spans="1:23" ht="11.25" customHeight="1" x14ac:dyDescent="0.3">
      <c r="A60" s="4" t="s">
        <v>21</v>
      </c>
      <c r="B60" s="4" t="s">
        <v>39</v>
      </c>
      <c r="C60" s="4" t="s">
        <v>40</v>
      </c>
      <c r="D60" s="4" t="s">
        <v>38</v>
      </c>
      <c r="E60" s="4" t="s">
        <v>25</v>
      </c>
      <c r="F60" s="4" t="s">
        <v>51</v>
      </c>
      <c r="G60" s="4" t="s">
        <v>25</v>
      </c>
      <c r="H60" s="4" t="s">
        <v>35</v>
      </c>
      <c r="I60" s="5">
        <v>44501</v>
      </c>
      <c r="J60" s="6">
        <v>0</v>
      </c>
      <c r="K60" s="6">
        <v>0</v>
      </c>
      <c r="L60" s="6">
        <v>129.18799999999999</v>
      </c>
      <c r="M60" s="6">
        <v>64.593999999999994</v>
      </c>
      <c r="N60" s="6">
        <v>0</v>
      </c>
      <c r="O60" s="6">
        <v>0</v>
      </c>
      <c r="P60" s="6">
        <v>0</v>
      </c>
      <c r="Q60" s="4" t="s">
        <v>52</v>
      </c>
      <c r="R60" s="4">
        <v>0</v>
      </c>
      <c r="S60" s="4" t="s">
        <v>62</v>
      </c>
      <c r="U60" s="4">
        <v>0</v>
      </c>
      <c r="V60" s="4">
        <v>6</v>
      </c>
      <c r="W60" s="4">
        <v>0</v>
      </c>
    </row>
    <row r="61" spans="1:23" ht="11.25" customHeight="1" x14ac:dyDescent="0.3">
      <c r="A61" s="4" t="s">
        <v>27</v>
      </c>
      <c r="B61" s="4" t="s">
        <v>39</v>
      </c>
      <c r="C61" s="4" t="s">
        <v>40</v>
      </c>
      <c r="D61" s="4" t="s">
        <v>38</v>
      </c>
      <c r="E61" s="4" t="s">
        <v>25</v>
      </c>
      <c r="F61" s="4" t="s">
        <v>51</v>
      </c>
      <c r="G61" s="4" t="s">
        <v>25</v>
      </c>
      <c r="H61" s="4" t="s">
        <v>35</v>
      </c>
      <c r="I61" s="5">
        <v>44501</v>
      </c>
      <c r="J61" s="6">
        <v>0</v>
      </c>
      <c r="K61" s="6">
        <v>0</v>
      </c>
      <c r="L61" s="6">
        <v>129.18799999999999</v>
      </c>
      <c r="M61" s="6">
        <v>64.593999999999994</v>
      </c>
      <c r="N61" s="6">
        <v>0</v>
      </c>
      <c r="O61" s="6">
        <v>0</v>
      </c>
      <c r="P61" s="6">
        <v>0</v>
      </c>
      <c r="Q61" s="4" t="s">
        <v>52</v>
      </c>
      <c r="R61" s="4">
        <v>0</v>
      </c>
      <c r="S61" s="4" t="s">
        <v>62</v>
      </c>
      <c r="U61" s="4">
        <v>0</v>
      </c>
      <c r="V61" s="4">
        <v>6</v>
      </c>
      <c r="W61" s="4">
        <v>0</v>
      </c>
    </row>
    <row r="62" spans="1:23" ht="11.25" customHeight="1" x14ac:dyDescent="0.3">
      <c r="A62" s="4" t="s">
        <v>21</v>
      </c>
      <c r="B62" s="4" t="s">
        <v>39</v>
      </c>
      <c r="C62" s="4" t="s">
        <v>40</v>
      </c>
      <c r="D62" s="4" t="s">
        <v>38</v>
      </c>
      <c r="E62" s="4" t="s">
        <v>25</v>
      </c>
      <c r="F62" s="4" t="s">
        <v>51</v>
      </c>
      <c r="G62" s="4" t="s">
        <v>25</v>
      </c>
      <c r="H62" s="4" t="s">
        <v>35</v>
      </c>
      <c r="I62" s="5">
        <v>44531</v>
      </c>
      <c r="J62" s="6">
        <v>0</v>
      </c>
      <c r="K62" s="6">
        <v>0</v>
      </c>
      <c r="L62" s="6">
        <v>132.274</v>
      </c>
      <c r="M62" s="6">
        <v>66.137</v>
      </c>
      <c r="N62" s="6">
        <v>0</v>
      </c>
      <c r="O62" s="6">
        <v>0</v>
      </c>
      <c r="P62" s="6">
        <v>0</v>
      </c>
      <c r="Q62" s="4" t="s">
        <v>52</v>
      </c>
      <c r="R62" s="4">
        <v>0</v>
      </c>
      <c r="S62" s="4" t="s">
        <v>63</v>
      </c>
      <c r="U62" s="4">
        <v>0</v>
      </c>
      <c r="V62" s="4">
        <v>6</v>
      </c>
      <c r="W62" s="4">
        <v>0</v>
      </c>
    </row>
    <row r="63" spans="1:23" ht="11.25" customHeight="1" x14ac:dyDescent="0.3">
      <c r="A63" s="4" t="s">
        <v>27</v>
      </c>
      <c r="B63" s="4" t="s">
        <v>39</v>
      </c>
      <c r="C63" s="4" t="s">
        <v>40</v>
      </c>
      <c r="D63" s="4" t="s">
        <v>38</v>
      </c>
      <c r="E63" s="4" t="s">
        <v>25</v>
      </c>
      <c r="F63" s="4" t="s">
        <v>51</v>
      </c>
      <c r="G63" s="4" t="s">
        <v>25</v>
      </c>
      <c r="H63" s="4" t="s">
        <v>35</v>
      </c>
      <c r="I63" s="5">
        <v>44531</v>
      </c>
      <c r="J63" s="6">
        <v>0</v>
      </c>
      <c r="K63" s="6">
        <v>0</v>
      </c>
      <c r="L63" s="6">
        <v>132.274</v>
      </c>
      <c r="M63" s="6">
        <v>66.137</v>
      </c>
      <c r="N63" s="6">
        <v>0</v>
      </c>
      <c r="O63" s="6">
        <v>0</v>
      </c>
      <c r="P63" s="6">
        <v>0</v>
      </c>
      <c r="Q63" s="4" t="s">
        <v>52</v>
      </c>
      <c r="R63" s="4">
        <v>0</v>
      </c>
      <c r="S63" s="4" t="s">
        <v>63</v>
      </c>
      <c r="U63" s="4">
        <v>0</v>
      </c>
      <c r="V63" s="4">
        <v>6</v>
      </c>
      <c r="W63" s="4">
        <v>0</v>
      </c>
    </row>
    <row r="64" spans="1:23" ht="11.25" customHeight="1" x14ac:dyDescent="0.3">
      <c r="A64" s="4" t="s">
        <v>21</v>
      </c>
      <c r="B64" s="4" t="s">
        <v>39</v>
      </c>
      <c r="C64" s="4" t="s">
        <v>40</v>
      </c>
      <c r="D64" s="4" t="s">
        <v>38</v>
      </c>
      <c r="E64" s="4" t="s">
        <v>25</v>
      </c>
      <c r="F64" s="4" t="s">
        <v>51</v>
      </c>
      <c r="G64" s="4" t="s">
        <v>25</v>
      </c>
      <c r="H64" s="4" t="s">
        <v>35</v>
      </c>
      <c r="I64" s="5">
        <v>44562</v>
      </c>
      <c r="J64" s="6">
        <v>0</v>
      </c>
      <c r="K64" s="6">
        <v>0</v>
      </c>
      <c r="L64" s="6">
        <v>150.48500000000001</v>
      </c>
      <c r="M64" s="6">
        <v>75.242500000000007</v>
      </c>
      <c r="N64" s="6">
        <v>0</v>
      </c>
      <c r="O64" s="6">
        <v>0</v>
      </c>
      <c r="P64" s="6">
        <v>0</v>
      </c>
      <c r="Q64" s="4" t="s">
        <v>52</v>
      </c>
      <c r="R64" s="4">
        <v>0</v>
      </c>
      <c r="S64" s="4" t="s">
        <v>64</v>
      </c>
      <c r="U64" s="4">
        <v>0</v>
      </c>
      <c r="V64" s="4">
        <v>6</v>
      </c>
      <c r="W64" s="4">
        <v>0</v>
      </c>
    </row>
    <row r="65" spans="1:23" ht="11.25" customHeight="1" x14ac:dyDescent="0.3">
      <c r="A65" s="4" t="s">
        <v>27</v>
      </c>
      <c r="B65" s="4" t="s">
        <v>39</v>
      </c>
      <c r="C65" s="4" t="s">
        <v>40</v>
      </c>
      <c r="D65" s="4" t="s">
        <v>38</v>
      </c>
      <c r="E65" s="4" t="s">
        <v>25</v>
      </c>
      <c r="F65" s="4" t="s">
        <v>51</v>
      </c>
      <c r="G65" s="4" t="s">
        <v>25</v>
      </c>
      <c r="H65" s="4" t="s">
        <v>35</v>
      </c>
      <c r="I65" s="5">
        <v>44562</v>
      </c>
      <c r="J65" s="6">
        <v>0</v>
      </c>
      <c r="K65" s="6">
        <v>0</v>
      </c>
      <c r="L65" s="6">
        <v>150.48500000000001</v>
      </c>
      <c r="M65" s="6">
        <v>75.242500000000007</v>
      </c>
      <c r="N65" s="6">
        <v>0</v>
      </c>
      <c r="O65" s="6">
        <v>0</v>
      </c>
      <c r="P65" s="6">
        <v>0</v>
      </c>
      <c r="Q65" s="4" t="s">
        <v>52</v>
      </c>
      <c r="R65" s="4">
        <v>0</v>
      </c>
      <c r="S65" s="4" t="s">
        <v>64</v>
      </c>
      <c r="U65" s="4">
        <v>0</v>
      </c>
      <c r="V65" s="4">
        <v>6</v>
      </c>
      <c r="W65" s="4">
        <v>0</v>
      </c>
    </row>
    <row r="66" spans="1:23" ht="11.25" customHeight="1" x14ac:dyDescent="0.3">
      <c r="A66" s="4" t="s">
        <v>21</v>
      </c>
      <c r="B66" s="4" t="s">
        <v>39</v>
      </c>
      <c r="C66" s="4" t="s">
        <v>40</v>
      </c>
      <c r="D66" s="4" t="s">
        <v>38</v>
      </c>
      <c r="E66" s="4" t="s">
        <v>25</v>
      </c>
      <c r="F66" s="4" t="s">
        <v>51</v>
      </c>
      <c r="G66" s="4" t="s">
        <v>25</v>
      </c>
      <c r="H66" s="4" t="s">
        <v>35</v>
      </c>
      <c r="I66" s="5">
        <v>44593</v>
      </c>
      <c r="J66" s="6">
        <v>0</v>
      </c>
      <c r="K66" s="6">
        <v>0</v>
      </c>
      <c r="L66" s="6">
        <v>105.614</v>
      </c>
      <c r="M66" s="6">
        <v>52.807000000000002</v>
      </c>
      <c r="N66" s="6">
        <v>0</v>
      </c>
      <c r="O66" s="6">
        <v>0</v>
      </c>
      <c r="P66" s="6">
        <v>0</v>
      </c>
      <c r="Q66" s="4" t="s">
        <v>52</v>
      </c>
      <c r="R66" s="4">
        <v>0</v>
      </c>
      <c r="S66" s="4" t="s">
        <v>65</v>
      </c>
      <c r="U66" s="4">
        <v>0</v>
      </c>
      <c r="V66" s="4">
        <v>6</v>
      </c>
      <c r="W66" s="4">
        <v>0</v>
      </c>
    </row>
    <row r="67" spans="1:23" ht="11.25" customHeight="1" x14ac:dyDescent="0.3">
      <c r="A67" s="4" t="s">
        <v>27</v>
      </c>
      <c r="B67" s="4" t="s">
        <v>39</v>
      </c>
      <c r="C67" s="4" t="s">
        <v>40</v>
      </c>
      <c r="D67" s="4" t="s">
        <v>38</v>
      </c>
      <c r="E67" s="4" t="s">
        <v>25</v>
      </c>
      <c r="F67" s="4" t="s">
        <v>51</v>
      </c>
      <c r="G67" s="4" t="s">
        <v>25</v>
      </c>
      <c r="H67" s="4" t="s">
        <v>35</v>
      </c>
      <c r="I67" s="5">
        <v>44593</v>
      </c>
      <c r="J67" s="6">
        <v>0</v>
      </c>
      <c r="K67" s="6">
        <v>0</v>
      </c>
      <c r="L67" s="6">
        <v>105.614</v>
      </c>
      <c r="M67" s="6">
        <v>52.807000000000002</v>
      </c>
      <c r="N67" s="6">
        <v>0</v>
      </c>
      <c r="O67" s="6">
        <v>0</v>
      </c>
      <c r="P67" s="6">
        <v>0</v>
      </c>
      <c r="Q67" s="4" t="s">
        <v>52</v>
      </c>
      <c r="R67" s="4">
        <v>0</v>
      </c>
      <c r="S67" s="4" t="s">
        <v>65</v>
      </c>
      <c r="U67" s="4">
        <v>0</v>
      </c>
      <c r="V67" s="4">
        <v>6</v>
      </c>
      <c r="W67" s="4">
        <v>0</v>
      </c>
    </row>
    <row r="68" spans="1:23" ht="11.25" customHeight="1" x14ac:dyDescent="0.3">
      <c r="A68" s="4" t="s">
        <v>21</v>
      </c>
      <c r="B68" s="4" t="s">
        <v>39</v>
      </c>
      <c r="C68" s="4" t="s">
        <v>40</v>
      </c>
      <c r="D68" s="4" t="s">
        <v>38</v>
      </c>
      <c r="E68" s="4" t="s">
        <v>25</v>
      </c>
      <c r="F68" s="4" t="s">
        <v>51</v>
      </c>
      <c r="G68" s="4" t="s">
        <v>25</v>
      </c>
      <c r="H68" s="4" t="s">
        <v>35</v>
      </c>
      <c r="I68" s="5">
        <v>44621</v>
      </c>
      <c r="J68" s="6">
        <v>0</v>
      </c>
      <c r="K68" s="6">
        <v>0</v>
      </c>
      <c r="L68" s="6">
        <v>134.99199999999999</v>
      </c>
      <c r="M68" s="6">
        <v>67.495999999999995</v>
      </c>
      <c r="N68" s="6">
        <v>0</v>
      </c>
      <c r="O68" s="6">
        <v>0</v>
      </c>
      <c r="P68" s="6">
        <v>0</v>
      </c>
      <c r="Q68" s="4" t="s">
        <v>52</v>
      </c>
      <c r="R68" s="4">
        <v>0</v>
      </c>
      <c r="S68" s="4" t="s">
        <v>66</v>
      </c>
      <c r="U68" s="4">
        <v>0</v>
      </c>
      <c r="V68" s="4">
        <v>6</v>
      </c>
      <c r="W68" s="4">
        <v>0</v>
      </c>
    </row>
    <row r="69" spans="1:23" ht="11.25" customHeight="1" x14ac:dyDescent="0.3">
      <c r="A69" s="4" t="s">
        <v>27</v>
      </c>
      <c r="B69" s="4" t="s">
        <v>39</v>
      </c>
      <c r="C69" s="4" t="s">
        <v>40</v>
      </c>
      <c r="D69" s="4" t="s">
        <v>38</v>
      </c>
      <c r="E69" s="4" t="s">
        <v>25</v>
      </c>
      <c r="F69" s="4" t="s">
        <v>51</v>
      </c>
      <c r="G69" s="4" t="s">
        <v>25</v>
      </c>
      <c r="H69" s="4" t="s">
        <v>35</v>
      </c>
      <c r="I69" s="5">
        <v>44621</v>
      </c>
      <c r="J69" s="6">
        <v>0</v>
      </c>
      <c r="K69" s="6">
        <v>0</v>
      </c>
      <c r="L69" s="6">
        <v>134.99199999999999</v>
      </c>
      <c r="M69" s="6">
        <v>67.495999999999995</v>
      </c>
      <c r="N69" s="6">
        <v>0</v>
      </c>
      <c r="O69" s="6">
        <v>0</v>
      </c>
      <c r="P69" s="6">
        <v>0</v>
      </c>
      <c r="Q69" s="4" t="s">
        <v>52</v>
      </c>
      <c r="R69" s="4">
        <v>0</v>
      </c>
      <c r="S69" s="4" t="s">
        <v>66</v>
      </c>
      <c r="U69" s="4">
        <v>0</v>
      </c>
      <c r="V69" s="4">
        <v>6</v>
      </c>
      <c r="W69" s="4">
        <v>0</v>
      </c>
    </row>
    <row r="70" spans="1:23" ht="11.25" customHeight="1" x14ac:dyDescent="0.3">
      <c r="A70" s="4" t="s">
        <v>21</v>
      </c>
      <c r="B70" s="4" t="s">
        <v>39</v>
      </c>
      <c r="C70" s="4" t="s">
        <v>40</v>
      </c>
      <c r="D70" s="4" t="s">
        <v>38</v>
      </c>
      <c r="E70" s="4" t="s">
        <v>25</v>
      </c>
      <c r="F70" s="4" t="s">
        <v>51</v>
      </c>
      <c r="G70" s="4" t="s">
        <v>25</v>
      </c>
      <c r="H70" s="4" t="s">
        <v>35</v>
      </c>
      <c r="I70" s="5">
        <v>44652</v>
      </c>
      <c r="J70" s="6">
        <v>0</v>
      </c>
      <c r="K70" s="6">
        <v>0</v>
      </c>
      <c r="L70" s="6">
        <v>121.937</v>
      </c>
      <c r="M70" s="6">
        <v>60.968499999999999</v>
      </c>
      <c r="N70" s="6">
        <v>0</v>
      </c>
      <c r="O70" s="6">
        <v>0</v>
      </c>
      <c r="P70" s="6">
        <v>0</v>
      </c>
      <c r="Q70" s="4" t="s">
        <v>52</v>
      </c>
      <c r="R70" s="4">
        <v>0</v>
      </c>
      <c r="S70" s="4" t="s">
        <v>67</v>
      </c>
      <c r="U70" s="4">
        <v>0</v>
      </c>
      <c r="V70" s="4">
        <v>6</v>
      </c>
      <c r="W70" s="4">
        <v>0</v>
      </c>
    </row>
    <row r="71" spans="1:23" ht="11.25" customHeight="1" x14ac:dyDescent="0.3">
      <c r="A71" s="4" t="s">
        <v>27</v>
      </c>
      <c r="B71" s="4" t="s">
        <v>39</v>
      </c>
      <c r="C71" s="4" t="s">
        <v>40</v>
      </c>
      <c r="D71" s="4" t="s">
        <v>38</v>
      </c>
      <c r="E71" s="4" t="s">
        <v>25</v>
      </c>
      <c r="F71" s="4" t="s">
        <v>51</v>
      </c>
      <c r="G71" s="4" t="s">
        <v>25</v>
      </c>
      <c r="H71" s="4" t="s">
        <v>35</v>
      </c>
      <c r="I71" s="5">
        <v>44652</v>
      </c>
      <c r="J71" s="6">
        <v>0</v>
      </c>
      <c r="K71" s="6">
        <v>0</v>
      </c>
      <c r="L71" s="6">
        <v>121.937</v>
      </c>
      <c r="M71" s="6">
        <v>60.968499999999999</v>
      </c>
      <c r="N71" s="6">
        <v>0</v>
      </c>
      <c r="O71" s="6">
        <v>0</v>
      </c>
      <c r="P71" s="6">
        <v>0</v>
      </c>
      <c r="Q71" s="4" t="s">
        <v>52</v>
      </c>
      <c r="R71" s="4">
        <v>0</v>
      </c>
      <c r="S71" s="4" t="s">
        <v>67</v>
      </c>
      <c r="U71" s="4">
        <v>0</v>
      </c>
      <c r="V71" s="4">
        <v>6</v>
      </c>
      <c r="W71" s="4">
        <v>0</v>
      </c>
    </row>
    <row r="72" spans="1:23" ht="11.25" customHeight="1" x14ac:dyDescent="0.3">
      <c r="A72" s="4" t="s">
        <v>21</v>
      </c>
      <c r="B72" s="4" t="s">
        <v>39</v>
      </c>
      <c r="C72" s="4" t="s">
        <v>40</v>
      </c>
      <c r="D72" s="4" t="s">
        <v>38</v>
      </c>
      <c r="E72" s="4" t="s">
        <v>25</v>
      </c>
      <c r="F72" s="4" t="s">
        <v>51</v>
      </c>
      <c r="G72" s="4" t="s">
        <v>25</v>
      </c>
      <c r="H72" s="4" t="s">
        <v>35</v>
      </c>
      <c r="I72" s="5">
        <v>44682</v>
      </c>
      <c r="J72" s="6">
        <v>0</v>
      </c>
      <c r="K72" s="6">
        <v>0</v>
      </c>
      <c r="L72" s="6">
        <v>134.49</v>
      </c>
      <c r="M72" s="6">
        <v>67.245000000000005</v>
      </c>
      <c r="N72" s="6">
        <v>0</v>
      </c>
      <c r="O72" s="6">
        <v>0</v>
      </c>
      <c r="P72" s="6">
        <v>0</v>
      </c>
      <c r="Q72" s="4" t="s">
        <v>52</v>
      </c>
      <c r="R72" s="4">
        <v>0</v>
      </c>
      <c r="S72" s="4" t="s">
        <v>68</v>
      </c>
      <c r="U72" s="4">
        <v>0</v>
      </c>
      <c r="V72" s="4">
        <v>6</v>
      </c>
      <c r="W72" s="4">
        <v>0</v>
      </c>
    </row>
    <row r="73" spans="1:23" ht="11.25" customHeight="1" x14ac:dyDescent="0.3">
      <c r="A73" s="4" t="s">
        <v>27</v>
      </c>
      <c r="B73" s="4" t="s">
        <v>39</v>
      </c>
      <c r="C73" s="4" t="s">
        <v>40</v>
      </c>
      <c r="D73" s="4" t="s">
        <v>38</v>
      </c>
      <c r="E73" s="4" t="s">
        <v>25</v>
      </c>
      <c r="F73" s="4" t="s">
        <v>51</v>
      </c>
      <c r="G73" s="4" t="s">
        <v>25</v>
      </c>
      <c r="H73" s="4" t="s">
        <v>35</v>
      </c>
      <c r="I73" s="5">
        <v>44682</v>
      </c>
      <c r="J73" s="6">
        <v>0</v>
      </c>
      <c r="K73" s="6">
        <v>0</v>
      </c>
      <c r="L73" s="6">
        <v>134.49</v>
      </c>
      <c r="M73" s="6">
        <v>67.245000000000005</v>
      </c>
      <c r="N73" s="6">
        <v>0</v>
      </c>
      <c r="O73" s="6">
        <v>0</v>
      </c>
      <c r="P73" s="6">
        <v>0</v>
      </c>
      <c r="Q73" s="4" t="s">
        <v>52</v>
      </c>
      <c r="R73" s="4">
        <v>0</v>
      </c>
      <c r="S73" s="4" t="s">
        <v>68</v>
      </c>
      <c r="U73" s="4">
        <v>0</v>
      </c>
      <c r="V73" s="4">
        <v>6</v>
      </c>
      <c r="W73" s="4">
        <v>0</v>
      </c>
    </row>
    <row r="74" spans="1:23" ht="11.25" customHeight="1" x14ac:dyDescent="0.3">
      <c r="A74" s="4" t="s">
        <v>21</v>
      </c>
      <c r="B74" s="4" t="s">
        <v>39</v>
      </c>
      <c r="C74" s="4" t="s">
        <v>40</v>
      </c>
      <c r="D74" s="4" t="s">
        <v>38</v>
      </c>
      <c r="E74" s="4" t="s">
        <v>25</v>
      </c>
      <c r="F74" s="4" t="s">
        <v>51</v>
      </c>
      <c r="G74" s="4" t="s">
        <v>25</v>
      </c>
      <c r="H74" s="4" t="s">
        <v>35</v>
      </c>
      <c r="I74" s="5">
        <v>44713</v>
      </c>
      <c r="J74" s="6">
        <v>0</v>
      </c>
      <c r="K74" s="6">
        <v>0</v>
      </c>
      <c r="L74" s="6">
        <v>134.74299999999999</v>
      </c>
      <c r="M74" s="6">
        <v>67.371499999999997</v>
      </c>
      <c r="N74" s="6">
        <v>0</v>
      </c>
      <c r="O74" s="6">
        <v>0</v>
      </c>
      <c r="P74" s="6">
        <v>0</v>
      </c>
      <c r="Q74" s="4" t="s">
        <v>52</v>
      </c>
      <c r="R74" s="4">
        <v>0</v>
      </c>
      <c r="S74" s="4" t="s">
        <v>69</v>
      </c>
      <c r="U74" s="4">
        <v>0</v>
      </c>
      <c r="V74" s="4">
        <v>6</v>
      </c>
      <c r="W74" s="4">
        <v>0</v>
      </c>
    </row>
    <row r="75" spans="1:23" ht="11.25" customHeight="1" x14ac:dyDescent="0.3">
      <c r="A75" s="4" t="s">
        <v>27</v>
      </c>
      <c r="B75" s="4" t="s">
        <v>39</v>
      </c>
      <c r="C75" s="4" t="s">
        <v>40</v>
      </c>
      <c r="D75" s="4" t="s">
        <v>38</v>
      </c>
      <c r="E75" s="4" t="s">
        <v>25</v>
      </c>
      <c r="F75" s="4" t="s">
        <v>51</v>
      </c>
      <c r="G75" s="4" t="s">
        <v>25</v>
      </c>
      <c r="H75" s="4" t="s">
        <v>35</v>
      </c>
      <c r="I75" s="5">
        <v>44713</v>
      </c>
      <c r="J75" s="6">
        <v>0</v>
      </c>
      <c r="K75" s="6">
        <v>0</v>
      </c>
      <c r="L75" s="6">
        <v>134.74299999999999</v>
      </c>
      <c r="M75" s="6">
        <v>67.371499999999997</v>
      </c>
      <c r="N75" s="6">
        <v>0</v>
      </c>
      <c r="O75" s="6">
        <v>0</v>
      </c>
      <c r="P75" s="6">
        <v>0</v>
      </c>
      <c r="Q75" s="4" t="s">
        <v>52</v>
      </c>
      <c r="R75" s="4">
        <v>0</v>
      </c>
      <c r="S75" s="4" t="s">
        <v>69</v>
      </c>
      <c r="U75" s="4">
        <v>0</v>
      </c>
      <c r="V75" s="4">
        <v>6</v>
      </c>
      <c r="W75" s="4">
        <v>0</v>
      </c>
    </row>
    <row r="76" spans="1:23" ht="11.25" customHeight="1" x14ac:dyDescent="0.3">
      <c r="A76" s="4" t="s">
        <v>21</v>
      </c>
      <c r="B76" s="4" t="s">
        <v>39</v>
      </c>
      <c r="C76" s="4" t="s">
        <v>40</v>
      </c>
      <c r="D76" s="4" t="s">
        <v>38</v>
      </c>
      <c r="E76" s="4" t="s">
        <v>25</v>
      </c>
      <c r="F76" s="4" t="s">
        <v>51</v>
      </c>
      <c r="G76" s="4" t="s">
        <v>25</v>
      </c>
      <c r="H76" s="4" t="s">
        <v>35</v>
      </c>
      <c r="I76" s="5">
        <v>44743</v>
      </c>
      <c r="J76" s="6">
        <v>0</v>
      </c>
      <c r="K76" s="6">
        <v>0</v>
      </c>
      <c r="L76" s="6">
        <v>163.56399999999999</v>
      </c>
      <c r="M76" s="6">
        <v>81.781999999999996</v>
      </c>
      <c r="N76" s="6">
        <v>0</v>
      </c>
      <c r="O76" s="6">
        <v>0</v>
      </c>
      <c r="P76" s="6">
        <v>0</v>
      </c>
      <c r="Q76" s="4" t="s">
        <v>52</v>
      </c>
      <c r="R76" s="4">
        <v>0</v>
      </c>
      <c r="S76" s="4" t="s">
        <v>70</v>
      </c>
      <c r="U76" s="4">
        <v>0</v>
      </c>
      <c r="V76" s="4">
        <v>6</v>
      </c>
      <c r="W76" s="4">
        <v>0</v>
      </c>
    </row>
    <row r="77" spans="1:23" ht="11.25" customHeight="1" x14ac:dyDescent="0.3">
      <c r="A77" s="4" t="s">
        <v>27</v>
      </c>
      <c r="B77" s="4" t="s">
        <v>39</v>
      </c>
      <c r="C77" s="4" t="s">
        <v>40</v>
      </c>
      <c r="D77" s="4" t="s">
        <v>38</v>
      </c>
      <c r="E77" s="4" t="s">
        <v>25</v>
      </c>
      <c r="F77" s="4" t="s">
        <v>51</v>
      </c>
      <c r="G77" s="4" t="s">
        <v>25</v>
      </c>
      <c r="H77" s="4" t="s">
        <v>35</v>
      </c>
      <c r="I77" s="5">
        <v>44743</v>
      </c>
      <c r="J77" s="6">
        <v>0</v>
      </c>
      <c r="K77" s="6">
        <v>0</v>
      </c>
      <c r="L77" s="6">
        <v>163.56399999999999</v>
      </c>
      <c r="M77" s="6">
        <v>81.781999999999996</v>
      </c>
      <c r="N77" s="6">
        <v>0</v>
      </c>
      <c r="O77" s="6">
        <v>0</v>
      </c>
      <c r="P77" s="6">
        <v>0</v>
      </c>
      <c r="Q77" s="4" t="s">
        <v>52</v>
      </c>
      <c r="R77" s="4">
        <v>0</v>
      </c>
      <c r="S77" s="4" t="s">
        <v>70</v>
      </c>
      <c r="U77" s="4">
        <v>0</v>
      </c>
      <c r="V77" s="4">
        <v>6</v>
      </c>
      <c r="W77" s="4">
        <v>0</v>
      </c>
    </row>
    <row r="78" spans="1:23" ht="11.25" customHeight="1" x14ac:dyDescent="0.3">
      <c r="A78" s="4" t="s">
        <v>21</v>
      </c>
      <c r="B78" s="4" t="s">
        <v>39</v>
      </c>
      <c r="C78" s="4" t="s">
        <v>40</v>
      </c>
      <c r="D78" s="4" t="s">
        <v>38</v>
      </c>
      <c r="E78" s="4" t="s">
        <v>25</v>
      </c>
      <c r="F78" s="4" t="s">
        <v>51</v>
      </c>
      <c r="G78" s="4" t="s">
        <v>25</v>
      </c>
      <c r="H78" s="4" t="s">
        <v>35</v>
      </c>
      <c r="I78" s="5">
        <v>44774</v>
      </c>
      <c r="J78" s="6">
        <v>0</v>
      </c>
      <c r="K78" s="6">
        <v>0</v>
      </c>
      <c r="L78" s="6">
        <v>155.51400000000001</v>
      </c>
      <c r="M78" s="6">
        <v>80.074158600000004</v>
      </c>
      <c r="N78" s="6">
        <v>0</v>
      </c>
      <c r="O78" s="6">
        <v>0</v>
      </c>
      <c r="P78" s="6">
        <v>0</v>
      </c>
      <c r="Q78" s="4" t="s">
        <v>52</v>
      </c>
      <c r="R78" s="4">
        <v>0</v>
      </c>
      <c r="S78" s="4" t="s">
        <v>71</v>
      </c>
      <c r="U78" s="4">
        <v>0</v>
      </c>
      <c r="V78" s="4">
        <v>6</v>
      </c>
      <c r="W78" s="4">
        <v>0</v>
      </c>
    </row>
    <row r="79" spans="1:23" ht="11.25" customHeight="1" x14ac:dyDescent="0.3">
      <c r="A79" s="4" t="s">
        <v>27</v>
      </c>
      <c r="B79" s="4" t="s">
        <v>39</v>
      </c>
      <c r="C79" s="4" t="s">
        <v>40</v>
      </c>
      <c r="D79" s="4" t="s">
        <v>38</v>
      </c>
      <c r="E79" s="4" t="s">
        <v>25</v>
      </c>
      <c r="F79" s="4" t="s">
        <v>51</v>
      </c>
      <c r="G79" s="4" t="s">
        <v>25</v>
      </c>
      <c r="H79" s="4" t="s">
        <v>35</v>
      </c>
      <c r="I79" s="5">
        <v>44774</v>
      </c>
      <c r="J79" s="6">
        <v>0</v>
      </c>
      <c r="K79" s="6">
        <v>0</v>
      </c>
      <c r="L79" s="6">
        <v>155.51400000000001</v>
      </c>
      <c r="M79" s="6">
        <v>80.074158600000004</v>
      </c>
      <c r="N79" s="6">
        <v>0</v>
      </c>
      <c r="O79" s="6">
        <v>0</v>
      </c>
      <c r="P79" s="6">
        <v>0</v>
      </c>
      <c r="Q79" s="4" t="s">
        <v>52</v>
      </c>
      <c r="R79" s="4">
        <v>0</v>
      </c>
      <c r="S79" s="4" t="s">
        <v>71</v>
      </c>
      <c r="U79" s="4">
        <v>0</v>
      </c>
      <c r="V79" s="4">
        <v>6</v>
      </c>
      <c r="W79" s="4">
        <v>0</v>
      </c>
    </row>
    <row r="80" spans="1:23" ht="11.25" customHeight="1" x14ac:dyDescent="0.3">
      <c r="A80" s="4" t="s">
        <v>21</v>
      </c>
      <c r="B80" s="4" t="s">
        <v>39</v>
      </c>
      <c r="C80" s="4" t="s">
        <v>40</v>
      </c>
      <c r="D80" s="4" t="s">
        <v>38</v>
      </c>
      <c r="E80" s="4" t="s">
        <v>25</v>
      </c>
      <c r="F80" s="4" t="s">
        <v>51</v>
      </c>
      <c r="G80" s="4" t="s">
        <v>25</v>
      </c>
      <c r="H80" s="4" t="s">
        <v>25</v>
      </c>
      <c r="I80" s="5">
        <v>44440</v>
      </c>
      <c r="J80" s="6">
        <v>1050</v>
      </c>
      <c r="K80" s="6">
        <v>525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4" t="s">
        <v>52</v>
      </c>
      <c r="R80" s="4">
        <v>0</v>
      </c>
      <c r="S80" s="4" t="s">
        <v>72</v>
      </c>
      <c r="U80" s="4">
        <v>10</v>
      </c>
      <c r="V80" s="4">
        <v>0</v>
      </c>
      <c r="W80" s="4">
        <v>0</v>
      </c>
    </row>
    <row r="81" spans="1:23" ht="11.25" customHeight="1" x14ac:dyDescent="0.3">
      <c r="A81" s="4" t="s">
        <v>27</v>
      </c>
      <c r="B81" s="4" t="s">
        <v>39</v>
      </c>
      <c r="C81" s="4" t="s">
        <v>40</v>
      </c>
      <c r="D81" s="4" t="s">
        <v>38</v>
      </c>
      <c r="E81" s="4" t="s">
        <v>25</v>
      </c>
      <c r="F81" s="4" t="s">
        <v>51</v>
      </c>
      <c r="G81" s="4" t="s">
        <v>25</v>
      </c>
      <c r="H81" s="4" t="s">
        <v>25</v>
      </c>
      <c r="I81" s="5">
        <v>44440</v>
      </c>
      <c r="J81" s="6">
        <v>1050</v>
      </c>
      <c r="K81" s="6">
        <v>525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4" t="s">
        <v>52</v>
      </c>
      <c r="R81" s="4">
        <v>0</v>
      </c>
      <c r="S81" s="4" t="s">
        <v>72</v>
      </c>
      <c r="U81" s="4">
        <v>10</v>
      </c>
      <c r="V81" s="4">
        <v>0</v>
      </c>
      <c r="W81" s="4">
        <v>0</v>
      </c>
    </row>
    <row r="82" spans="1:23" ht="11.25" customHeight="1" x14ac:dyDescent="0.3">
      <c r="A82" s="4" t="s">
        <v>21</v>
      </c>
      <c r="B82" s="4" t="s">
        <v>39</v>
      </c>
      <c r="C82" s="4" t="s">
        <v>40</v>
      </c>
      <c r="D82" s="4" t="s">
        <v>38</v>
      </c>
      <c r="E82" s="4" t="s">
        <v>25</v>
      </c>
      <c r="F82" s="4" t="s">
        <v>51</v>
      </c>
      <c r="G82" s="4" t="s">
        <v>25</v>
      </c>
      <c r="H82" s="4" t="s">
        <v>25</v>
      </c>
      <c r="I82" s="5">
        <v>44470</v>
      </c>
      <c r="J82" s="6">
        <v>1050</v>
      </c>
      <c r="K82" s="6">
        <v>525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4" t="s">
        <v>52</v>
      </c>
      <c r="R82" s="4">
        <v>0</v>
      </c>
      <c r="S82" s="4" t="s">
        <v>73</v>
      </c>
      <c r="U82" s="4">
        <v>10</v>
      </c>
      <c r="V82" s="4">
        <v>0</v>
      </c>
      <c r="W82" s="4">
        <v>0</v>
      </c>
    </row>
    <row r="83" spans="1:23" ht="11.25" customHeight="1" x14ac:dyDescent="0.3">
      <c r="A83" s="4" t="s">
        <v>27</v>
      </c>
      <c r="B83" s="4" t="s">
        <v>39</v>
      </c>
      <c r="C83" s="4" t="s">
        <v>40</v>
      </c>
      <c r="D83" s="4" t="s">
        <v>38</v>
      </c>
      <c r="E83" s="4" t="s">
        <v>25</v>
      </c>
      <c r="F83" s="4" t="s">
        <v>51</v>
      </c>
      <c r="G83" s="4" t="s">
        <v>25</v>
      </c>
      <c r="H83" s="4" t="s">
        <v>25</v>
      </c>
      <c r="I83" s="5">
        <v>44470</v>
      </c>
      <c r="J83" s="6">
        <v>1050</v>
      </c>
      <c r="K83" s="6">
        <v>525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4" t="s">
        <v>52</v>
      </c>
      <c r="R83" s="4">
        <v>0</v>
      </c>
      <c r="S83" s="4" t="s">
        <v>73</v>
      </c>
      <c r="U83" s="4">
        <v>10</v>
      </c>
      <c r="V83" s="4">
        <v>0</v>
      </c>
      <c r="W83" s="4">
        <v>0</v>
      </c>
    </row>
    <row r="84" spans="1:23" ht="11.25" customHeight="1" x14ac:dyDescent="0.3">
      <c r="A84" s="4" t="s">
        <v>21</v>
      </c>
      <c r="B84" s="4" t="s">
        <v>39</v>
      </c>
      <c r="C84" s="4" t="s">
        <v>40</v>
      </c>
      <c r="D84" s="4" t="s">
        <v>38</v>
      </c>
      <c r="E84" s="4" t="s">
        <v>25</v>
      </c>
      <c r="F84" s="4" t="s">
        <v>51</v>
      </c>
      <c r="G84" s="4" t="s">
        <v>25</v>
      </c>
      <c r="H84" s="4" t="s">
        <v>25</v>
      </c>
      <c r="I84" s="5">
        <v>44501</v>
      </c>
      <c r="J84" s="6">
        <v>1050</v>
      </c>
      <c r="K84" s="6">
        <v>525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4" t="s">
        <v>52</v>
      </c>
      <c r="R84" s="4">
        <v>0</v>
      </c>
      <c r="S84" s="4" t="s">
        <v>74</v>
      </c>
      <c r="U84" s="4">
        <v>10</v>
      </c>
      <c r="V84" s="4">
        <v>0</v>
      </c>
      <c r="W84" s="4">
        <v>0</v>
      </c>
    </row>
    <row r="85" spans="1:23" ht="11.25" customHeight="1" x14ac:dyDescent="0.3">
      <c r="A85" s="4" t="s">
        <v>27</v>
      </c>
      <c r="B85" s="4" t="s">
        <v>39</v>
      </c>
      <c r="C85" s="4" t="s">
        <v>40</v>
      </c>
      <c r="D85" s="4" t="s">
        <v>38</v>
      </c>
      <c r="E85" s="4" t="s">
        <v>25</v>
      </c>
      <c r="F85" s="4" t="s">
        <v>51</v>
      </c>
      <c r="G85" s="4" t="s">
        <v>25</v>
      </c>
      <c r="H85" s="4" t="s">
        <v>25</v>
      </c>
      <c r="I85" s="5">
        <v>44501</v>
      </c>
      <c r="J85" s="6">
        <v>1050</v>
      </c>
      <c r="K85" s="6">
        <v>525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4" t="s">
        <v>52</v>
      </c>
      <c r="R85" s="4">
        <v>0</v>
      </c>
      <c r="S85" s="4" t="s">
        <v>74</v>
      </c>
      <c r="U85" s="4">
        <v>10</v>
      </c>
      <c r="V85" s="4">
        <v>0</v>
      </c>
      <c r="W85" s="4">
        <v>0</v>
      </c>
    </row>
    <row r="86" spans="1:23" ht="11.25" customHeight="1" x14ac:dyDescent="0.3">
      <c r="A86" s="4" t="s">
        <v>21</v>
      </c>
      <c r="B86" s="4" t="s">
        <v>39</v>
      </c>
      <c r="C86" s="4" t="s">
        <v>40</v>
      </c>
      <c r="D86" s="4" t="s">
        <v>38</v>
      </c>
      <c r="E86" s="4" t="s">
        <v>25</v>
      </c>
      <c r="F86" s="4" t="s">
        <v>51</v>
      </c>
      <c r="G86" s="4" t="s">
        <v>25</v>
      </c>
      <c r="H86" s="4" t="s">
        <v>25</v>
      </c>
      <c r="I86" s="5">
        <v>44531</v>
      </c>
      <c r="J86" s="6">
        <v>1050</v>
      </c>
      <c r="K86" s="6">
        <v>525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4" t="s">
        <v>52</v>
      </c>
      <c r="R86" s="4">
        <v>0</v>
      </c>
      <c r="S86" s="4" t="s">
        <v>75</v>
      </c>
      <c r="U86" s="4">
        <v>10</v>
      </c>
      <c r="V86" s="4">
        <v>0</v>
      </c>
      <c r="W86" s="4">
        <v>0</v>
      </c>
    </row>
    <row r="87" spans="1:23" ht="11.25" customHeight="1" x14ac:dyDescent="0.3">
      <c r="A87" s="4" t="s">
        <v>27</v>
      </c>
      <c r="B87" s="4" t="s">
        <v>39</v>
      </c>
      <c r="C87" s="4" t="s">
        <v>40</v>
      </c>
      <c r="D87" s="4" t="s">
        <v>38</v>
      </c>
      <c r="E87" s="4" t="s">
        <v>25</v>
      </c>
      <c r="F87" s="4" t="s">
        <v>51</v>
      </c>
      <c r="G87" s="4" t="s">
        <v>25</v>
      </c>
      <c r="H87" s="4" t="s">
        <v>25</v>
      </c>
      <c r="I87" s="5">
        <v>44531</v>
      </c>
      <c r="J87" s="6">
        <v>1050</v>
      </c>
      <c r="K87" s="6">
        <v>525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4" t="s">
        <v>52</v>
      </c>
      <c r="R87" s="4">
        <v>0</v>
      </c>
      <c r="S87" s="4" t="s">
        <v>75</v>
      </c>
      <c r="U87" s="4">
        <v>10</v>
      </c>
      <c r="V87" s="4">
        <v>0</v>
      </c>
      <c r="W87" s="4">
        <v>0</v>
      </c>
    </row>
    <row r="88" spans="1:23" ht="11.25" customHeight="1" x14ac:dyDescent="0.3">
      <c r="A88" s="4" t="s">
        <v>21</v>
      </c>
      <c r="B88" s="4" t="s">
        <v>39</v>
      </c>
      <c r="C88" s="4" t="s">
        <v>40</v>
      </c>
      <c r="D88" s="4" t="s">
        <v>38</v>
      </c>
      <c r="E88" s="4" t="s">
        <v>25</v>
      </c>
      <c r="F88" s="4" t="s">
        <v>51</v>
      </c>
      <c r="G88" s="4" t="s">
        <v>25</v>
      </c>
      <c r="H88" s="4" t="s">
        <v>25</v>
      </c>
      <c r="I88" s="5">
        <v>44562</v>
      </c>
      <c r="J88" s="6">
        <v>1050</v>
      </c>
      <c r="K88" s="6">
        <v>525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4" t="s">
        <v>52</v>
      </c>
      <c r="R88" s="4">
        <v>0</v>
      </c>
      <c r="S88" s="4" t="s">
        <v>76</v>
      </c>
      <c r="U88" s="4">
        <v>10</v>
      </c>
      <c r="V88" s="4">
        <v>0</v>
      </c>
      <c r="W88" s="4">
        <v>0</v>
      </c>
    </row>
    <row r="89" spans="1:23" ht="11.25" customHeight="1" x14ac:dyDescent="0.3">
      <c r="A89" s="4" t="s">
        <v>27</v>
      </c>
      <c r="B89" s="4" t="s">
        <v>39</v>
      </c>
      <c r="C89" s="4" t="s">
        <v>40</v>
      </c>
      <c r="D89" s="4" t="s">
        <v>38</v>
      </c>
      <c r="E89" s="4" t="s">
        <v>25</v>
      </c>
      <c r="F89" s="4" t="s">
        <v>51</v>
      </c>
      <c r="G89" s="4" t="s">
        <v>25</v>
      </c>
      <c r="H89" s="4" t="s">
        <v>25</v>
      </c>
      <c r="I89" s="5">
        <v>44562</v>
      </c>
      <c r="J89" s="6">
        <v>1050</v>
      </c>
      <c r="K89" s="6">
        <v>525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4" t="s">
        <v>52</v>
      </c>
      <c r="R89" s="4">
        <v>0</v>
      </c>
      <c r="S89" s="4" t="s">
        <v>76</v>
      </c>
      <c r="U89" s="4">
        <v>10</v>
      </c>
      <c r="V89" s="4">
        <v>0</v>
      </c>
      <c r="W89" s="4">
        <v>0</v>
      </c>
    </row>
    <row r="90" spans="1:23" ht="11.25" customHeight="1" x14ac:dyDescent="0.3">
      <c r="A90" s="4" t="s">
        <v>21</v>
      </c>
      <c r="B90" s="4" t="s">
        <v>39</v>
      </c>
      <c r="C90" s="4" t="s">
        <v>40</v>
      </c>
      <c r="D90" s="4" t="s">
        <v>38</v>
      </c>
      <c r="E90" s="4" t="s">
        <v>25</v>
      </c>
      <c r="F90" s="4" t="s">
        <v>51</v>
      </c>
      <c r="G90" s="4" t="s">
        <v>25</v>
      </c>
      <c r="H90" s="4" t="s">
        <v>25</v>
      </c>
      <c r="I90" s="5">
        <v>44593</v>
      </c>
      <c r="J90" s="6">
        <v>1050</v>
      </c>
      <c r="K90" s="6">
        <v>525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4" t="s">
        <v>52</v>
      </c>
      <c r="R90" s="4">
        <v>0</v>
      </c>
      <c r="S90" s="4" t="s">
        <v>77</v>
      </c>
      <c r="U90" s="4">
        <v>10</v>
      </c>
      <c r="V90" s="4">
        <v>0</v>
      </c>
      <c r="W90" s="4">
        <v>0</v>
      </c>
    </row>
    <row r="91" spans="1:23" ht="11.25" customHeight="1" x14ac:dyDescent="0.3">
      <c r="A91" s="4" t="s">
        <v>27</v>
      </c>
      <c r="B91" s="4" t="s">
        <v>39</v>
      </c>
      <c r="C91" s="4" t="s">
        <v>40</v>
      </c>
      <c r="D91" s="4" t="s">
        <v>38</v>
      </c>
      <c r="E91" s="4" t="s">
        <v>25</v>
      </c>
      <c r="F91" s="4" t="s">
        <v>51</v>
      </c>
      <c r="G91" s="4" t="s">
        <v>25</v>
      </c>
      <c r="H91" s="4" t="s">
        <v>25</v>
      </c>
      <c r="I91" s="5">
        <v>44593</v>
      </c>
      <c r="J91" s="6">
        <v>1050</v>
      </c>
      <c r="K91" s="6">
        <v>525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4" t="s">
        <v>52</v>
      </c>
      <c r="R91" s="4">
        <v>0</v>
      </c>
      <c r="S91" s="4" t="s">
        <v>77</v>
      </c>
      <c r="U91" s="4">
        <v>10</v>
      </c>
      <c r="V91" s="4">
        <v>0</v>
      </c>
      <c r="W91" s="4">
        <v>0</v>
      </c>
    </row>
    <row r="92" spans="1:23" ht="11.25" customHeight="1" x14ac:dyDescent="0.3">
      <c r="A92" s="4" t="s">
        <v>21</v>
      </c>
      <c r="B92" s="4" t="s">
        <v>39</v>
      </c>
      <c r="C92" s="4" t="s">
        <v>40</v>
      </c>
      <c r="D92" s="4" t="s">
        <v>38</v>
      </c>
      <c r="E92" s="4" t="s">
        <v>25</v>
      </c>
      <c r="F92" s="4" t="s">
        <v>51</v>
      </c>
      <c r="G92" s="4" t="s">
        <v>25</v>
      </c>
      <c r="H92" s="4" t="s">
        <v>25</v>
      </c>
      <c r="I92" s="5">
        <v>44621</v>
      </c>
      <c r="J92" s="6">
        <v>1050</v>
      </c>
      <c r="K92" s="6">
        <v>525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4" t="s">
        <v>52</v>
      </c>
      <c r="R92" s="4">
        <v>0</v>
      </c>
      <c r="S92" s="4" t="s">
        <v>78</v>
      </c>
      <c r="U92" s="4">
        <v>10</v>
      </c>
      <c r="V92" s="4">
        <v>0</v>
      </c>
      <c r="W92" s="4">
        <v>0</v>
      </c>
    </row>
    <row r="93" spans="1:23" ht="11.25" customHeight="1" x14ac:dyDescent="0.3">
      <c r="A93" s="4" t="s">
        <v>27</v>
      </c>
      <c r="B93" s="4" t="s">
        <v>39</v>
      </c>
      <c r="C93" s="4" t="s">
        <v>40</v>
      </c>
      <c r="D93" s="4" t="s">
        <v>38</v>
      </c>
      <c r="E93" s="4" t="s">
        <v>25</v>
      </c>
      <c r="F93" s="4" t="s">
        <v>51</v>
      </c>
      <c r="G93" s="4" t="s">
        <v>25</v>
      </c>
      <c r="H93" s="4" t="s">
        <v>25</v>
      </c>
      <c r="I93" s="5">
        <v>44621</v>
      </c>
      <c r="J93" s="6">
        <v>1050</v>
      </c>
      <c r="K93" s="6">
        <v>525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4" t="s">
        <v>52</v>
      </c>
      <c r="R93" s="4">
        <v>0</v>
      </c>
      <c r="S93" s="4" t="s">
        <v>78</v>
      </c>
      <c r="U93" s="4">
        <v>10</v>
      </c>
      <c r="V93" s="4">
        <v>0</v>
      </c>
      <c r="W93" s="4">
        <v>0</v>
      </c>
    </row>
    <row r="94" spans="1:23" ht="11.25" customHeight="1" x14ac:dyDescent="0.3">
      <c r="A94" s="4" t="s">
        <v>21</v>
      </c>
      <c r="B94" s="4" t="s">
        <v>39</v>
      </c>
      <c r="C94" s="4" t="s">
        <v>40</v>
      </c>
      <c r="D94" s="4" t="s">
        <v>38</v>
      </c>
      <c r="E94" s="4" t="s">
        <v>25</v>
      </c>
      <c r="F94" s="4" t="s">
        <v>51</v>
      </c>
      <c r="G94" s="4" t="s">
        <v>25</v>
      </c>
      <c r="H94" s="4" t="s">
        <v>25</v>
      </c>
      <c r="I94" s="5">
        <v>44652</v>
      </c>
      <c r="J94" s="6">
        <v>1050</v>
      </c>
      <c r="K94" s="6">
        <v>525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4" t="s">
        <v>52</v>
      </c>
      <c r="R94" s="4">
        <v>0</v>
      </c>
      <c r="S94" s="4" t="s">
        <v>79</v>
      </c>
      <c r="U94" s="4">
        <v>10</v>
      </c>
      <c r="V94" s="4">
        <v>0</v>
      </c>
      <c r="W94" s="4">
        <v>0</v>
      </c>
    </row>
    <row r="95" spans="1:23" ht="11.25" customHeight="1" x14ac:dyDescent="0.3">
      <c r="A95" s="4" t="s">
        <v>27</v>
      </c>
      <c r="B95" s="4" t="s">
        <v>39</v>
      </c>
      <c r="C95" s="4" t="s">
        <v>40</v>
      </c>
      <c r="D95" s="4" t="s">
        <v>38</v>
      </c>
      <c r="E95" s="4" t="s">
        <v>25</v>
      </c>
      <c r="F95" s="4" t="s">
        <v>51</v>
      </c>
      <c r="G95" s="4" t="s">
        <v>25</v>
      </c>
      <c r="H95" s="4" t="s">
        <v>25</v>
      </c>
      <c r="I95" s="5">
        <v>44652</v>
      </c>
      <c r="J95" s="6">
        <v>1050</v>
      </c>
      <c r="K95" s="6">
        <v>525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4" t="s">
        <v>52</v>
      </c>
      <c r="R95" s="4">
        <v>0</v>
      </c>
      <c r="S95" s="4" t="s">
        <v>79</v>
      </c>
      <c r="U95" s="4">
        <v>10</v>
      </c>
      <c r="V95" s="4">
        <v>0</v>
      </c>
      <c r="W95" s="4">
        <v>0</v>
      </c>
    </row>
    <row r="96" spans="1:23" ht="11.25" customHeight="1" x14ac:dyDescent="0.3">
      <c r="A96" s="4" t="s">
        <v>21</v>
      </c>
      <c r="B96" s="4" t="s">
        <v>39</v>
      </c>
      <c r="C96" s="4" t="s">
        <v>40</v>
      </c>
      <c r="D96" s="4" t="s">
        <v>38</v>
      </c>
      <c r="E96" s="4" t="s">
        <v>25</v>
      </c>
      <c r="F96" s="4" t="s">
        <v>51</v>
      </c>
      <c r="G96" s="4" t="s">
        <v>25</v>
      </c>
      <c r="H96" s="4" t="s">
        <v>25</v>
      </c>
      <c r="I96" s="5">
        <v>44682</v>
      </c>
      <c r="J96" s="6">
        <v>1050</v>
      </c>
      <c r="K96" s="6">
        <v>525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4" t="s">
        <v>52</v>
      </c>
      <c r="R96" s="4">
        <v>0</v>
      </c>
      <c r="S96" s="4" t="s">
        <v>80</v>
      </c>
      <c r="U96" s="4">
        <v>10</v>
      </c>
      <c r="V96" s="4">
        <v>0</v>
      </c>
      <c r="W96" s="4">
        <v>0</v>
      </c>
    </row>
    <row r="97" spans="1:23" ht="11.25" customHeight="1" x14ac:dyDescent="0.3">
      <c r="A97" s="4" t="s">
        <v>27</v>
      </c>
      <c r="B97" s="4" t="s">
        <v>39</v>
      </c>
      <c r="C97" s="4" t="s">
        <v>40</v>
      </c>
      <c r="D97" s="4" t="s">
        <v>38</v>
      </c>
      <c r="E97" s="4" t="s">
        <v>25</v>
      </c>
      <c r="F97" s="4" t="s">
        <v>51</v>
      </c>
      <c r="G97" s="4" t="s">
        <v>25</v>
      </c>
      <c r="H97" s="4" t="s">
        <v>25</v>
      </c>
      <c r="I97" s="5">
        <v>44682</v>
      </c>
      <c r="J97" s="6">
        <v>1050</v>
      </c>
      <c r="K97" s="6">
        <v>525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52</v>
      </c>
      <c r="R97" s="4">
        <v>0</v>
      </c>
      <c r="S97" s="4" t="s">
        <v>80</v>
      </c>
      <c r="U97" s="4">
        <v>10</v>
      </c>
      <c r="V97" s="4">
        <v>0</v>
      </c>
      <c r="W97" s="4">
        <v>0</v>
      </c>
    </row>
    <row r="98" spans="1:23" ht="11.25" customHeight="1" x14ac:dyDescent="0.3">
      <c r="A98" s="4" t="s">
        <v>21</v>
      </c>
      <c r="B98" s="4" t="s">
        <v>39</v>
      </c>
      <c r="C98" s="4" t="s">
        <v>40</v>
      </c>
      <c r="D98" s="4" t="s">
        <v>38</v>
      </c>
      <c r="E98" s="4" t="s">
        <v>25</v>
      </c>
      <c r="F98" s="4" t="s">
        <v>51</v>
      </c>
      <c r="G98" s="4" t="s">
        <v>25</v>
      </c>
      <c r="H98" s="4" t="s">
        <v>25</v>
      </c>
      <c r="I98" s="5">
        <v>44713</v>
      </c>
      <c r="J98" s="6">
        <v>1050</v>
      </c>
      <c r="K98" s="6">
        <v>525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4" t="s">
        <v>52</v>
      </c>
      <c r="R98" s="4">
        <v>0</v>
      </c>
      <c r="S98" s="4" t="s">
        <v>81</v>
      </c>
      <c r="U98" s="4">
        <v>10</v>
      </c>
      <c r="V98" s="4">
        <v>0</v>
      </c>
      <c r="W98" s="4">
        <v>0</v>
      </c>
    </row>
    <row r="99" spans="1:23" ht="11.25" customHeight="1" x14ac:dyDescent="0.3">
      <c r="A99" s="4" t="s">
        <v>27</v>
      </c>
      <c r="B99" s="4" t="s">
        <v>39</v>
      </c>
      <c r="C99" s="4" t="s">
        <v>40</v>
      </c>
      <c r="D99" s="4" t="s">
        <v>38</v>
      </c>
      <c r="E99" s="4" t="s">
        <v>25</v>
      </c>
      <c r="F99" s="4" t="s">
        <v>51</v>
      </c>
      <c r="G99" s="4" t="s">
        <v>25</v>
      </c>
      <c r="H99" s="4" t="s">
        <v>25</v>
      </c>
      <c r="I99" s="5">
        <v>44713</v>
      </c>
      <c r="J99" s="6">
        <v>1050</v>
      </c>
      <c r="K99" s="6">
        <v>525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4" t="s">
        <v>52</v>
      </c>
      <c r="R99" s="4">
        <v>0</v>
      </c>
      <c r="S99" s="4" t="s">
        <v>81</v>
      </c>
      <c r="U99" s="4">
        <v>10</v>
      </c>
      <c r="V99" s="4">
        <v>0</v>
      </c>
      <c r="W99" s="4">
        <v>0</v>
      </c>
    </row>
    <row r="100" spans="1:23" ht="11.25" customHeight="1" x14ac:dyDescent="0.3">
      <c r="A100" s="4" t="s">
        <v>21</v>
      </c>
      <c r="B100" s="4" t="s">
        <v>39</v>
      </c>
      <c r="C100" s="4" t="s">
        <v>40</v>
      </c>
      <c r="D100" s="4" t="s">
        <v>38</v>
      </c>
      <c r="E100" s="4" t="s">
        <v>25</v>
      </c>
      <c r="F100" s="4" t="s">
        <v>51</v>
      </c>
      <c r="G100" s="4" t="s">
        <v>25</v>
      </c>
      <c r="H100" s="4" t="s">
        <v>25</v>
      </c>
      <c r="I100" s="5">
        <v>44743</v>
      </c>
      <c r="J100" s="6">
        <v>1050</v>
      </c>
      <c r="K100" s="6">
        <v>525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4" t="s">
        <v>52</v>
      </c>
      <c r="R100" s="4">
        <v>0</v>
      </c>
      <c r="S100" s="4" t="s">
        <v>82</v>
      </c>
      <c r="U100" s="4">
        <v>10</v>
      </c>
      <c r="V100" s="4">
        <v>0</v>
      </c>
      <c r="W100" s="4">
        <v>0</v>
      </c>
    </row>
    <row r="101" spans="1:23" ht="11.25" customHeight="1" x14ac:dyDescent="0.3">
      <c r="A101" s="4" t="s">
        <v>27</v>
      </c>
      <c r="B101" s="4" t="s">
        <v>39</v>
      </c>
      <c r="C101" s="4" t="s">
        <v>40</v>
      </c>
      <c r="D101" s="4" t="s">
        <v>38</v>
      </c>
      <c r="E101" s="4" t="s">
        <v>25</v>
      </c>
      <c r="F101" s="4" t="s">
        <v>51</v>
      </c>
      <c r="G101" s="4" t="s">
        <v>25</v>
      </c>
      <c r="H101" s="4" t="s">
        <v>25</v>
      </c>
      <c r="I101" s="5">
        <v>44743</v>
      </c>
      <c r="J101" s="6">
        <v>1050</v>
      </c>
      <c r="K101" s="6">
        <v>525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4" t="s">
        <v>52</v>
      </c>
      <c r="R101" s="4">
        <v>0</v>
      </c>
      <c r="S101" s="4" t="s">
        <v>82</v>
      </c>
      <c r="U101" s="4">
        <v>10</v>
      </c>
      <c r="V101" s="4">
        <v>0</v>
      </c>
      <c r="W101" s="4">
        <v>0</v>
      </c>
    </row>
    <row r="102" spans="1:23" ht="11.25" customHeight="1" x14ac:dyDescent="0.3">
      <c r="A102" s="4" t="s">
        <v>21</v>
      </c>
      <c r="B102" s="4" t="s">
        <v>39</v>
      </c>
      <c r="C102" s="4" t="s">
        <v>40</v>
      </c>
      <c r="D102" s="4" t="s">
        <v>38</v>
      </c>
      <c r="E102" s="4" t="s">
        <v>25</v>
      </c>
      <c r="F102" s="4" t="s">
        <v>51</v>
      </c>
      <c r="G102" s="4" t="s">
        <v>25</v>
      </c>
      <c r="H102" s="4" t="s">
        <v>25</v>
      </c>
      <c r="I102" s="5">
        <v>44774</v>
      </c>
      <c r="J102" s="6">
        <v>1050</v>
      </c>
      <c r="K102" s="6">
        <v>540.64499999999998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4" t="s">
        <v>52</v>
      </c>
      <c r="R102" s="4">
        <v>0</v>
      </c>
      <c r="S102" s="4" t="s">
        <v>83</v>
      </c>
      <c r="U102" s="4">
        <v>10</v>
      </c>
      <c r="V102" s="4">
        <v>0</v>
      </c>
      <c r="W102" s="4">
        <v>0</v>
      </c>
    </row>
    <row r="103" spans="1:23" ht="11.25" customHeight="1" x14ac:dyDescent="0.3">
      <c r="A103" s="4" t="s">
        <v>27</v>
      </c>
      <c r="B103" s="4" t="s">
        <v>39</v>
      </c>
      <c r="C103" s="4" t="s">
        <v>40</v>
      </c>
      <c r="D103" s="4" t="s">
        <v>38</v>
      </c>
      <c r="E103" s="4" t="s">
        <v>25</v>
      </c>
      <c r="F103" s="4" t="s">
        <v>51</v>
      </c>
      <c r="G103" s="4" t="s">
        <v>25</v>
      </c>
      <c r="H103" s="4" t="s">
        <v>25</v>
      </c>
      <c r="I103" s="5">
        <v>44774</v>
      </c>
      <c r="J103" s="6">
        <v>1050</v>
      </c>
      <c r="K103" s="6">
        <v>540.64499999999998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4" t="s">
        <v>52</v>
      </c>
      <c r="R103" s="4">
        <v>0</v>
      </c>
      <c r="S103" s="4" t="s">
        <v>83</v>
      </c>
      <c r="U103" s="4">
        <v>10</v>
      </c>
      <c r="V103" s="4">
        <v>0</v>
      </c>
      <c r="W103" s="4">
        <v>0</v>
      </c>
    </row>
    <row r="104" spans="1:23" ht="11.25" customHeight="1" x14ac:dyDescent="0.3">
      <c r="A104" s="4" t="s">
        <v>21</v>
      </c>
      <c r="B104" s="4" t="s">
        <v>39</v>
      </c>
      <c r="C104" s="4" t="s">
        <v>40</v>
      </c>
      <c r="D104" s="4" t="s">
        <v>38</v>
      </c>
      <c r="E104" s="4" t="s">
        <v>25</v>
      </c>
      <c r="F104" s="4" t="s">
        <v>51</v>
      </c>
      <c r="G104" s="4" t="s">
        <v>25</v>
      </c>
      <c r="H104" s="4" t="s">
        <v>34</v>
      </c>
      <c r="I104" s="5">
        <v>44440</v>
      </c>
      <c r="J104" s="6">
        <v>0</v>
      </c>
      <c r="K104" s="6">
        <v>0</v>
      </c>
      <c r="L104" s="6">
        <v>0.85099999999999998</v>
      </c>
      <c r="M104" s="6">
        <v>0.42549999999999999</v>
      </c>
      <c r="N104" s="6">
        <v>0</v>
      </c>
      <c r="O104" s="6">
        <v>0</v>
      </c>
      <c r="P104" s="6">
        <v>0</v>
      </c>
      <c r="Q104" s="4" t="s">
        <v>52</v>
      </c>
      <c r="R104" s="4">
        <v>0</v>
      </c>
      <c r="S104" s="4" t="s">
        <v>84</v>
      </c>
      <c r="U104" s="4">
        <v>0</v>
      </c>
      <c r="V104" s="4">
        <v>23</v>
      </c>
      <c r="W104" s="4">
        <v>0</v>
      </c>
    </row>
    <row r="105" spans="1:23" ht="11.25" customHeight="1" x14ac:dyDescent="0.3">
      <c r="A105" s="4" t="s">
        <v>27</v>
      </c>
      <c r="B105" s="4" t="s">
        <v>39</v>
      </c>
      <c r="C105" s="4" t="s">
        <v>40</v>
      </c>
      <c r="D105" s="4" t="s">
        <v>38</v>
      </c>
      <c r="E105" s="4" t="s">
        <v>25</v>
      </c>
      <c r="F105" s="4" t="s">
        <v>51</v>
      </c>
      <c r="G105" s="4" t="s">
        <v>25</v>
      </c>
      <c r="H105" s="4" t="s">
        <v>34</v>
      </c>
      <c r="I105" s="5">
        <v>44440</v>
      </c>
      <c r="J105" s="6">
        <v>0</v>
      </c>
      <c r="K105" s="6">
        <v>0</v>
      </c>
      <c r="L105" s="6">
        <v>0.85099999999999998</v>
      </c>
      <c r="M105" s="6">
        <v>0.42549999999999999</v>
      </c>
      <c r="N105" s="6">
        <v>0</v>
      </c>
      <c r="O105" s="6">
        <v>0</v>
      </c>
      <c r="P105" s="6">
        <v>0</v>
      </c>
      <c r="Q105" s="4" t="s">
        <v>52</v>
      </c>
      <c r="R105" s="4">
        <v>0</v>
      </c>
      <c r="S105" s="4" t="s">
        <v>84</v>
      </c>
      <c r="U105" s="4">
        <v>0</v>
      </c>
      <c r="V105" s="4">
        <v>23</v>
      </c>
      <c r="W105" s="4">
        <v>0</v>
      </c>
    </row>
    <row r="106" spans="1:23" ht="11.25" customHeight="1" x14ac:dyDescent="0.3">
      <c r="A106" s="4" t="s">
        <v>21</v>
      </c>
      <c r="B106" s="4" t="s">
        <v>39</v>
      </c>
      <c r="C106" s="4" t="s">
        <v>40</v>
      </c>
      <c r="D106" s="4" t="s">
        <v>38</v>
      </c>
      <c r="E106" s="4" t="s">
        <v>25</v>
      </c>
      <c r="F106" s="4" t="s">
        <v>51</v>
      </c>
      <c r="G106" s="4" t="s">
        <v>25</v>
      </c>
      <c r="H106" s="4" t="s">
        <v>34</v>
      </c>
      <c r="I106" s="5">
        <v>44470</v>
      </c>
      <c r="J106" s="6">
        <v>0</v>
      </c>
      <c r="K106" s="6">
        <v>0</v>
      </c>
      <c r="L106" s="6">
        <v>0.93700000000000006</v>
      </c>
      <c r="M106" s="6">
        <v>0.46850000000000003</v>
      </c>
      <c r="N106" s="6">
        <v>0</v>
      </c>
      <c r="O106" s="6">
        <v>0</v>
      </c>
      <c r="P106" s="6">
        <v>0</v>
      </c>
      <c r="Q106" s="4" t="s">
        <v>52</v>
      </c>
      <c r="R106" s="4">
        <v>0</v>
      </c>
      <c r="S106" s="4" t="s">
        <v>85</v>
      </c>
      <c r="U106" s="4">
        <v>0</v>
      </c>
      <c r="V106" s="4">
        <v>23</v>
      </c>
      <c r="W106" s="4">
        <v>0</v>
      </c>
    </row>
    <row r="107" spans="1:23" ht="11.25" customHeight="1" x14ac:dyDescent="0.3">
      <c r="A107" s="4" t="s">
        <v>27</v>
      </c>
      <c r="B107" s="4" t="s">
        <v>39</v>
      </c>
      <c r="C107" s="4" t="s">
        <v>40</v>
      </c>
      <c r="D107" s="4" t="s">
        <v>38</v>
      </c>
      <c r="E107" s="4" t="s">
        <v>25</v>
      </c>
      <c r="F107" s="4" t="s">
        <v>51</v>
      </c>
      <c r="G107" s="4" t="s">
        <v>25</v>
      </c>
      <c r="H107" s="4" t="s">
        <v>34</v>
      </c>
      <c r="I107" s="5">
        <v>44470</v>
      </c>
      <c r="J107" s="6">
        <v>0</v>
      </c>
      <c r="K107" s="6">
        <v>0</v>
      </c>
      <c r="L107" s="6">
        <v>0.93700000000000006</v>
      </c>
      <c r="M107" s="6">
        <v>0.46850000000000003</v>
      </c>
      <c r="N107" s="6">
        <v>0</v>
      </c>
      <c r="O107" s="6">
        <v>0</v>
      </c>
      <c r="P107" s="6">
        <v>0</v>
      </c>
      <c r="Q107" s="4" t="s">
        <v>52</v>
      </c>
      <c r="R107" s="4">
        <v>0</v>
      </c>
      <c r="S107" s="4" t="s">
        <v>85</v>
      </c>
      <c r="U107" s="4">
        <v>0</v>
      </c>
      <c r="V107" s="4">
        <v>23</v>
      </c>
      <c r="W107" s="4">
        <v>0</v>
      </c>
    </row>
    <row r="108" spans="1:23" ht="11.25" customHeight="1" x14ac:dyDescent="0.3">
      <c r="A108" s="4" t="s">
        <v>21</v>
      </c>
      <c r="B108" s="4" t="s">
        <v>39</v>
      </c>
      <c r="C108" s="4" t="s">
        <v>40</v>
      </c>
      <c r="D108" s="4" t="s">
        <v>38</v>
      </c>
      <c r="E108" s="4" t="s">
        <v>25</v>
      </c>
      <c r="F108" s="4" t="s">
        <v>51</v>
      </c>
      <c r="G108" s="4" t="s">
        <v>25</v>
      </c>
      <c r="H108" s="4" t="s">
        <v>34</v>
      </c>
      <c r="I108" s="5">
        <v>44501</v>
      </c>
      <c r="J108" s="6">
        <v>0</v>
      </c>
      <c r="K108" s="6">
        <v>0</v>
      </c>
      <c r="L108" s="6">
        <v>1.032</v>
      </c>
      <c r="M108" s="6">
        <v>0.51600000000000001</v>
      </c>
      <c r="N108" s="6">
        <v>0</v>
      </c>
      <c r="O108" s="6">
        <v>0</v>
      </c>
      <c r="P108" s="6">
        <v>0</v>
      </c>
      <c r="Q108" s="4" t="s">
        <v>52</v>
      </c>
      <c r="R108" s="4">
        <v>0</v>
      </c>
      <c r="S108" s="4" t="s">
        <v>86</v>
      </c>
      <c r="U108" s="4">
        <v>0</v>
      </c>
      <c r="V108" s="4">
        <v>23</v>
      </c>
      <c r="W108" s="4">
        <v>0</v>
      </c>
    </row>
    <row r="109" spans="1:23" ht="11.25" customHeight="1" x14ac:dyDescent="0.3">
      <c r="A109" s="4" t="s">
        <v>27</v>
      </c>
      <c r="B109" s="4" t="s">
        <v>39</v>
      </c>
      <c r="C109" s="4" t="s">
        <v>40</v>
      </c>
      <c r="D109" s="4" t="s">
        <v>38</v>
      </c>
      <c r="E109" s="4" t="s">
        <v>25</v>
      </c>
      <c r="F109" s="4" t="s">
        <v>51</v>
      </c>
      <c r="G109" s="4" t="s">
        <v>25</v>
      </c>
      <c r="H109" s="4" t="s">
        <v>34</v>
      </c>
      <c r="I109" s="5">
        <v>44501</v>
      </c>
      <c r="J109" s="6">
        <v>0</v>
      </c>
      <c r="K109" s="6">
        <v>0</v>
      </c>
      <c r="L109" s="6">
        <v>1.032</v>
      </c>
      <c r="M109" s="6">
        <v>0.51600000000000001</v>
      </c>
      <c r="N109" s="6">
        <v>0</v>
      </c>
      <c r="O109" s="6">
        <v>0</v>
      </c>
      <c r="P109" s="6">
        <v>0</v>
      </c>
      <c r="Q109" s="4" t="s">
        <v>52</v>
      </c>
      <c r="R109" s="4">
        <v>0</v>
      </c>
      <c r="S109" s="4" t="s">
        <v>86</v>
      </c>
      <c r="U109" s="4">
        <v>0</v>
      </c>
      <c r="V109" s="4">
        <v>23</v>
      </c>
      <c r="W109" s="4">
        <v>0</v>
      </c>
    </row>
    <row r="110" spans="1:23" ht="11.25" customHeight="1" x14ac:dyDescent="0.3">
      <c r="A110" s="4" t="s">
        <v>21</v>
      </c>
      <c r="B110" s="4" t="s">
        <v>39</v>
      </c>
      <c r="C110" s="4" t="s">
        <v>40</v>
      </c>
      <c r="D110" s="4" t="s">
        <v>38</v>
      </c>
      <c r="E110" s="4" t="s">
        <v>25</v>
      </c>
      <c r="F110" s="4" t="s">
        <v>51</v>
      </c>
      <c r="G110" s="4" t="s">
        <v>25</v>
      </c>
      <c r="H110" s="4" t="s">
        <v>34</v>
      </c>
      <c r="I110" s="5">
        <v>44531</v>
      </c>
      <c r="J110" s="6">
        <v>0</v>
      </c>
      <c r="K110" s="6">
        <v>0</v>
      </c>
      <c r="L110" s="6">
        <v>0.99099999999999999</v>
      </c>
      <c r="M110" s="6">
        <v>0.4955</v>
      </c>
      <c r="N110" s="6">
        <v>0</v>
      </c>
      <c r="O110" s="6">
        <v>0</v>
      </c>
      <c r="P110" s="6">
        <v>0</v>
      </c>
      <c r="Q110" s="4" t="s">
        <v>52</v>
      </c>
      <c r="R110" s="4">
        <v>0</v>
      </c>
      <c r="S110" s="4" t="s">
        <v>87</v>
      </c>
      <c r="U110" s="4">
        <v>0</v>
      </c>
      <c r="V110" s="4">
        <v>23</v>
      </c>
      <c r="W110" s="4">
        <v>0</v>
      </c>
    </row>
    <row r="111" spans="1:23" ht="11.25" customHeight="1" x14ac:dyDescent="0.3">
      <c r="A111" s="4" t="s">
        <v>27</v>
      </c>
      <c r="B111" s="4" t="s">
        <v>39</v>
      </c>
      <c r="C111" s="4" t="s">
        <v>40</v>
      </c>
      <c r="D111" s="4" t="s">
        <v>38</v>
      </c>
      <c r="E111" s="4" t="s">
        <v>25</v>
      </c>
      <c r="F111" s="4" t="s">
        <v>51</v>
      </c>
      <c r="G111" s="4" t="s">
        <v>25</v>
      </c>
      <c r="H111" s="4" t="s">
        <v>34</v>
      </c>
      <c r="I111" s="5">
        <v>44531</v>
      </c>
      <c r="J111" s="6">
        <v>0</v>
      </c>
      <c r="K111" s="6">
        <v>0</v>
      </c>
      <c r="L111" s="6">
        <v>0.99099999999999999</v>
      </c>
      <c r="M111" s="6">
        <v>0.4955</v>
      </c>
      <c r="N111" s="6">
        <v>0</v>
      </c>
      <c r="O111" s="6">
        <v>0</v>
      </c>
      <c r="P111" s="6">
        <v>0</v>
      </c>
      <c r="Q111" s="4" t="s">
        <v>52</v>
      </c>
      <c r="R111" s="4">
        <v>0</v>
      </c>
      <c r="S111" s="4" t="s">
        <v>87</v>
      </c>
      <c r="U111" s="4">
        <v>0</v>
      </c>
      <c r="V111" s="4">
        <v>23</v>
      </c>
      <c r="W111" s="4">
        <v>0</v>
      </c>
    </row>
    <row r="112" spans="1:23" ht="11.25" customHeight="1" x14ac:dyDescent="0.3">
      <c r="A112" s="4" t="s">
        <v>21</v>
      </c>
      <c r="B112" s="4" t="s">
        <v>39</v>
      </c>
      <c r="C112" s="4" t="s">
        <v>40</v>
      </c>
      <c r="D112" s="4" t="s">
        <v>38</v>
      </c>
      <c r="E112" s="4" t="s">
        <v>25</v>
      </c>
      <c r="F112" s="4" t="s">
        <v>51</v>
      </c>
      <c r="G112" s="4" t="s">
        <v>25</v>
      </c>
      <c r="H112" s="4" t="s">
        <v>34</v>
      </c>
      <c r="I112" s="5">
        <v>44562</v>
      </c>
      <c r="J112" s="6">
        <v>0</v>
      </c>
      <c r="K112" s="6">
        <v>0</v>
      </c>
      <c r="L112" s="6">
        <v>1.056</v>
      </c>
      <c r="M112" s="6">
        <v>0.52800000000000002</v>
      </c>
      <c r="N112" s="6">
        <v>0</v>
      </c>
      <c r="O112" s="6">
        <v>0</v>
      </c>
      <c r="P112" s="6">
        <v>0</v>
      </c>
      <c r="Q112" s="4" t="s">
        <v>52</v>
      </c>
      <c r="R112" s="4">
        <v>0</v>
      </c>
      <c r="S112" s="4" t="s">
        <v>88</v>
      </c>
      <c r="U112" s="4">
        <v>0</v>
      </c>
      <c r="V112" s="4">
        <v>23</v>
      </c>
      <c r="W112" s="4">
        <v>0</v>
      </c>
    </row>
    <row r="113" spans="1:23" ht="11.25" customHeight="1" x14ac:dyDescent="0.3">
      <c r="A113" s="4" t="s">
        <v>27</v>
      </c>
      <c r="B113" s="4" t="s">
        <v>39</v>
      </c>
      <c r="C113" s="4" t="s">
        <v>40</v>
      </c>
      <c r="D113" s="4" t="s">
        <v>38</v>
      </c>
      <c r="E113" s="4" t="s">
        <v>25</v>
      </c>
      <c r="F113" s="4" t="s">
        <v>51</v>
      </c>
      <c r="G113" s="4" t="s">
        <v>25</v>
      </c>
      <c r="H113" s="4" t="s">
        <v>34</v>
      </c>
      <c r="I113" s="5">
        <v>44562</v>
      </c>
      <c r="J113" s="6">
        <v>0</v>
      </c>
      <c r="K113" s="6">
        <v>0</v>
      </c>
      <c r="L113" s="6">
        <v>1.056</v>
      </c>
      <c r="M113" s="6">
        <v>0.52800000000000002</v>
      </c>
      <c r="N113" s="6">
        <v>0</v>
      </c>
      <c r="O113" s="6">
        <v>0</v>
      </c>
      <c r="P113" s="6">
        <v>0</v>
      </c>
      <c r="Q113" s="4" t="s">
        <v>52</v>
      </c>
      <c r="R113" s="4">
        <v>0</v>
      </c>
      <c r="S113" s="4" t="s">
        <v>88</v>
      </c>
      <c r="U113" s="4">
        <v>0</v>
      </c>
      <c r="V113" s="4">
        <v>23</v>
      </c>
      <c r="W113" s="4">
        <v>0</v>
      </c>
    </row>
    <row r="114" spans="1:23" ht="11.25" customHeight="1" x14ac:dyDescent="0.3">
      <c r="A114" s="4" t="s">
        <v>21</v>
      </c>
      <c r="B114" s="4" t="s">
        <v>39</v>
      </c>
      <c r="C114" s="4" t="s">
        <v>40</v>
      </c>
      <c r="D114" s="4" t="s">
        <v>38</v>
      </c>
      <c r="E114" s="4" t="s">
        <v>25</v>
      </c>
      <c r="F114" s="4" t="s">
        <v>51</v>
      </c>
      <c r="G114" s="4" t="s">
        <v>25</v>
      </c>
      <c r="H114" s="4" t="s">
        <v>34</v>
      </c>
      <c r="I114" s="5">
        <v>44593</v>
      </c>
      <c r="J114" s="6">
        <v>0</v>
      </c>
      <c r="K114" s="6">
        <v>0</v>
      </c>
      <c r="L114" s="6">
        <v>0.85099999999999998</v>
      </c>
      <c r="M114" s="6">
        <v>0.42549999999999999</v>
      </c>
      <c r="N114" s="6">
        <v>0</v>
      </c>
      <c r="O114" s="6">
        <v>0</v>
      </c>
      <c r="P114" s="6">
        <v>0</v>
      </c>
      <c r="Q114" s="4" t="s">
        <v>52</v>
      </c>
      <c r="R114" s="4">
        <v>0</v>
      </c>
      <c r="S114" s="4" t="s">
        <v>89</v>
      </c>
      <c r="U114" s="4">
        <v>0</v>
      </c>
      <c r="V114" s="4">
        <v>23</v>
      </c>
      <c r="W114" s="4">
        <v>0</v>
      </c>
    </row>
    <row r="115" spans="1:23" ht="11.25" customHeight="1" x14ac:dyDescent="0.3">
      <c r="A115" s="4" t="s">
        <v>27</v>
      </c>
      <c r="B115" s="4" t="s">
        <v>39</v>
      </c>
      <c r="C115" s="4" t="s">
        <v>40</v>
      </c>
      <c r="D115" s="4" t="s">
        <v>38</v>
      </c>
      <c r="E115" s="4" t="s">
        <v>25</v>
      </c>
      <c r="F115" s="4" t="s">
        <v>51</v>
      </c>
      <c r="G115" s="4" t="s">
        <v>25</v>
      </c>
      <c r="H115" s="4" t="s">
        <v>34</v>
      </c>
      <c r="I115" s="5">
        <v>44593</v>
      </c>
      <c r="J115" s="6">
        <v>0</v>
      </c>
      <c r="K115" s="6">
        <v>0</v>
      </c>
      <c r="L115" s="6">
        <v>0.85099999999999998</v>
      </c>
      <c r="M115" s="6">
        <v>0.42549999999999999</v>
      </c>
      <c r="N115" s="6">
        <v>0</v>
      </c>
      <c r="O115" s="6">
        <v>0</v>
      </c>
      <c r="P115" s="6">
        <v>0</v>
      </c>
      <c r="Q115" s="4" t="s">
        <v>52</v>
      </c>
      <c r="R115" s="4">
        <v>0</v>
      </c>
      <c r="S115" s="4" t="s">
        <v>89</v>
      </c>
      <c r="U115" s="4">
        <v>0</v>
      </c>
      <c r="V115" s="4">
        <v>23</v>
      </c>
      <c r="W115" s="4">
        <v>0</v>
      </c>
    </row>
    <row r="116" spans="1:23" ht="11.25" customHeight="1" x14ac:dyDescent="0.3">
      <c r="A116" s="4" t="s">
        <v>21</v>
      </c>
      <c r="B116" s="4" t="s">
        <v>39</v>
      </c>
      <c r="C116" s="4" t="s">
        <v>40</v>
      </c>
      <c r="D116" s="4" t="s">
        <v>38</v>
      </c>
      <c r="E116" s="4" t="s">
        <v>25</v>
      </c>
      <c r="F116" s="4" t="s">
        <v>51</v>
      </c>
      <c r="G116" s="4" t="s">
        <v>25</v>
      </c>
      <c r="H116" s="4" t="s">
        <v>34</v>
      </c>
      <c r="I116" s="5">
        <v>44621</v>
      </c>
      <c r="J116" s="6">
        <v>0</v>
      </c>
      <c r="K116" s="6">
        <v>0</v>
      </c>
      <c r="L116" s="6">
        <v>1.2250000000000001</v>
      </c>
      <c r="M116" s="6">
        <v>0.61250000000000004</v>
      </c>
      <c r="N116" s="6">
        <v>0</v>
      </c>
      <c r="O116" s="6">
        <v>0</v>
      </c>
      <c r="P116" s="6">
        <v>0</v>
      </c>
      <c r="Q116" s="4" t="s">
        <v>52</v>
      </c>
      <c r="R116" s="4">
        <v>0</v>
      </c>
      <c r="S116" s="4" t="s">
        <v>90</v>
      </c>
      <c r="U116" s="4">
        <v>0</v>
      </c>
      <c r="V116" s="4">
        <v>23</v>
      </c>
      <c r="W116" s="4">
        <v>0</v>
      </c>
    </row>
    <row r="117" spans="1:23" ht="11.25" customHeight="1" x14ac:dyDescent="0.3">
      <c r="A117" s="4" t="s">
        <v>27</v>
      </c>
      <c r="B117" s="4" t="s">
        <v>39</v>
      </c>
      <c r="C117" s="4" t="s">
        <v>40</v>
      </c>
      <c r="D117" s="4" t="s">
        <v>38</v>
      </c>
      <c r="E117" s="4" t="s">
        <v>25</v>
      </c>
      <c r="F117" s="4" t="s">
        <v>51</v>
      </c>
      <c r="G117" s="4" t="s">
        <v>25</v>
      </c>
      <c r="H117" s="4" t="s">
        <v>34</v>
      </c>
      <c r="I117" s="5">
        <v>44621</v>
      </c>
      <c r="J117" s="6">
        <v>0</v>
      </c>
      <c r="K117" s="6">
        <v>0</v>
      </c>
      <c r="L117" s="6">
        <v>1.2250000000000001</v>
      </c>
      <c r="M117" s="6">
        <v>0.61250000000000004</v>
      </c>
      <c r="N117" s="6">
        <v>0</v>
      </c>
      <c r="O117" s="6">
        <v>0</v>
      </c>
      <c r="P117" s="6">
        <v>0</v>
      </c>
      <c r="Q117" s="4" t="s">
        <v>52</v>
      </c>
      <c r="R117" s="4">
        <v>0</v>
      </c>
      <c r="S117" s="4" t="s">
        <v>90</v>
      </c>
      <c r="U117" s="4">
        <v>0</v>
      </c>
      <c r="V117" s="4">
        <v>23</v>
      </c>
      <c r="W117" s="4">
        <v>0</v>
      </c>
    </row>
    <row r="118" spans="1:23" ht="11.25" customHeight="1" x14ac:dyDescent="0.3">
      <c r="A118" s="4" t="s">
        <v>21</v>
      </c>
      <c r="B118" s="4" t="s">
        <v>39</v>
      </c>
      <c r="C118" s="4" t="s">
        <v>40</v>
      </c>
      <c r="D118" s="4" t="s">
        <v>38</v>
      </c>
      <c r="E118" s="4" t="s">
        <v>25</v>
      </c>
      <c r="F118" s="4" t="s">
        <v>51</v>
      </c>
      <c r="G118" s="4" t="s">
        <v>25</v>
      </c>
      <c r="H118" s="4" t="s">
        <v>34</v>
      </c>
      <c r="I118" s="5">
        <v>44652</v>
      </c>
      <c r="J118" s="6">
        <v>0</v>
      </c>
      <c r="K118" s="6">
        <v>0</v>
      </c>
      <c r="L118" s="6">
        <v>1.232</v>
      </c>
      <c r="M118" s="6">
        <v>0.61599999999999999</v>
      </c>
      <c r="N118" s="6">
        <v>0</v>
      </c>
      <c r="O118" s="6">
        <v>0</v>
      </c>
      <c r="P118" s="6">
        <v>0</v>
      </c>
      <c r="Q118" s="4" t="s">
        <v>52</v>
      </c>
      <c r="R118" s="4">
        <v>0</v>
      </c>
      <c r="S118" s="4" t="s">
        <v>91</v>
      </c>
      <c r="U118" s="4">
        <v>0</v>
      </c>
      <c r="V118" s="4">
        <v>23</v>
      </c>
      <c r="W118" s="4">
        <v>0</v>
      </c>
    </row>
    <row r="119" spans="1:23" ht="11.25" customHeight="1" x14ac:dyDescent="0.3">
      <c r="A119" s="4" t="s">
        <v>27</v>
      </c>
      <c r="B119" s="4" t="s">
        <v>39</v>
      </c>
      <c r="C119" s="4" t="s">
        <v>40</v>
      </c>
      <c r="D119" s="4" t="s">
        <v>38</v>
      </c>
      <c r="E119" s="4" t="s">
        <v>25</v>
      </c>
      <c r="F119" s="4" t="s">
        <v>51</v>
      </c>
      <c r="G119" s="4" t="s">
        <v>25</v>
      </c>
      <c r="H119" s="4" t="s">
        <v>34</v>
      </c>
      <c r="I119" s="5">
        <v>44652</v>
      </c>
      <c r="J119" s="6">
        <v>0</v>
      </c>
      <c r="K119" s="6">
        <v>0</v>
      </c>
      <c r="L119" s="6">
        <v>1.232</v>
      </c>
      <c r="M119" s="6">
        <v>0.61599999999999999</v>
      </c>
      <c r="N119" s="6">
        <v>0</v>
      </c>
      <c r="O119" s="6">
        <v>0</v>
      </c>
      <c r="P119" s="6">
        <v>0</v>
      </c>
      <c r="Q119" s="4" t="s">
        <v>52</v>
      </c>
      <c r="R119" s="4">
        <v>0</v>
      </c>
      <c r="S119" s="4" t="s">
        <v>91</v>
      </c>
      <c r="U119" s="4">
        <v>0</v>
      </c>
      <c r="V119" s="4">
        <v>23</v>
      </c>
      <c r="W119" s="4">
        <v>0</v>
      </c>
    </row>
    <row r="120" spans="1:23" ht="11.25" customHeight="1" x14ac:dyDescent="0.3">
      <c r="A120" s="4" t="s">
        <v>21</v>
      </c>
      <c r="B120" s="4" t="s">
        <v>39</v>
      </c>
      <c r="C120" s="4" t="s">
        <v>40</v>
      </c>
      <c r="D120" s="4" t="s">
        <v>38</v>
      </c>
      <c r="E120" s="4" t="s">
        <v>25</v>
      </c>
      <c r="F120" s="4" t="s">
        <v>51</v>
      </c>
      <c r="G120" s="4" t="s">
        <v>25</v>
      </c>
      <c r="H120" s="4" t="s">
        <v>34</v>
      </c>
      <c r="I120" s="5">
        <v>44682</v>
      </c>
      <c r="J120" s="6">
        <v>0</v>
      </c>
      <c r="K120" s="6">
        <v>0</v>
      </c>
      <c r="L120" s="6">
        <v>1.4910000000000001</v>
      </c>
      <c r="M120" s="6">
        <v>0.74550000000000005</v>
      </c>
      <c r="N120" s="6">
        <v>0</v>
      </c>
      <c r="O120" s="6">
        <v>0</v>
      </c>
      <c r="P120" s="6">
        <v>0</v>
      </c>
      <c r="Q120" s="4" t="s">
        <v>52</v>
      </c>
      <c r="R120" s="4">
        <v>0</v>
      </c>
      <c r="S120" s="4" t="s">
        <v>92</v>
      </c>
      <c r="U120" s="4">
        <v>0</v>
      </c>
      <c r="V120" s="4">
        <v>23</v>
      </c>
      <c r="W120" s="4">
        <v>0</v>
      </c>
    </row>
    <row r="121" spans="1:23" ht="11.25" customHeight="1" x14ac:dyDescent="0.3">
      <c r="A121" s="4" t="s">
        <v>27</v>
      </c>
      <c r="B121" s="4" t="s">
        <v>39</v>
      </c>
      <c r="C121" s="4" t="s">
        <v>40</v>
      </c>
      <c r="D121" s="4" t="s">
        <v>38</v>
      </c>
      <c r="E121" s="4" t="s">
        <v>25</v>
      </c>
      <c r="F121" s="4" t="s">
        <v>51</v>
      </c>
      <c r="G121" s="4" t="s">
        <v>25</v>
      </c>
      <c r="H121" s="4" t="s">
        <v>34</v>
      </c>
      <c r="I121" s="5">
        <v>44682</v>
      </c>
      <c r="J121" s="6">
        <v>0</v>
      </c>
      <c r="K121" s="6">
        <v>0</v>
      </c>
      <c r="L121" s="6">
        <v>1.4910000000000001</v>
      </c>
      <c r="M121" s="6">
        <v>0.74550000000000005</v>
      </c>
      <c r="N121" s="6">
        <v>0</v>
      </c>
      <c r="O121" s="6">
        <v>0</v>
      </c>
      <c r="P121" s="6">
        <v>0</v>
      </c>
      <c r="Q121" s="4" t="s">
        <v>52</v>
      </c>
      <c r="R121" s="4">
        <v>0</v>
      </c>
      <c r="S121" s="4" t="s">
        <v>92</v>
      </c>
      <c r="U121" s="4">
        <v>0</v>
      </c>
      <c r="V121" s="4">
        <v>23</v>
      </c>
      <c r="W121" s="4">
        <v>0</v>
      </c>
    </row>
    <row r="122" spans="1:23" ht="11.25" customHeight="1" x14ac:dyDescent="0.3">
      <c r="A122" s="4" t="s">
        <v>21</v>
      </c>
      <c r="B122" s="4" t="s">
        <v>39</v>
      </c>
      <c r="C122" s="4" t="s">
        <v>40</v>
      </c>
      <c r="D122" s="4" t="s">
        <v>38</v>
      </c>
      <c r="E122" s="4" t="s">
        <v>25</v>
      </c>
      <c r="F122" s="4" t="s">
        <v>51</v>
      </c>
      <c r="G122" s="4" t="s">
        <v>25</v>
      </c>
      <c r="H122" s="4" t="s">
        <v>34</v>
      </c>
      <c r="I122" s="5">
        <v>44713</v>
      </c>
      <c r="J122" s="6">
        <v>0</v>
      </c>
      <c r="K122" s="6">
        <v>0</v>
      </c>
      <c r="L122" s="6">
        <v>1.47</v>
      </c>
      <c r="M122" s="6">
        <v>0.73499999999999999</v>
      </c>
      <c r="N122" s="6">
        <v>0</v>
      </c>
      <c r="O122" s="6">
        <v>0</v>
      </c>
      <c r="P122" s="6">
        <v>0</v>
      </c>
      <c r="Q122" s="4" t="s">
        <v>52</v>
      </c>
      <c r="R122" s="4">
        <v>0</v>
      </c>
      <c r="S122" s="4" t="s">
        <v>93</v>
      </c>
      <c r="U122" s="4">
        <v>0</v>
      </c>
      <c r="V122" s="4">
        <v>23</v>
      </c>
      <c r="W122" s="4">
        <v>0</v>
      </c>
    </row>
    <row r="123" spans="1:23" ht="11.25" customHeight="1" x14ac:dyDescent="0.3">
      <c r="A123" s="4" t="s">
        <v>27</v>
      </c>
      <c r="B123" s="4" t="s">
        <v>39</v>
      </c>
      <c r="C123" s="4" t="s">
        <v>40</v>
      </c>
      <c r="D123" s="4" t="s">
        <v>38</v>
      </c>
      <c r="E123" s="4" t="s">
        <v>25</v>
      </c>
      <c r="F123" s="4" t="s">
        <v>51</v>
      </c>
      <c r="G123" s="4" t="s">
        <v>25</v>
      </c>
      <c r="H123" s="4" t="s">
        <v>34</v>
      </c>
      <c r="I123" s="5">
        <v>44713</v>
      </c>
      <c r="J123" s="6">
        <v>0</v>
      </c>
      <c r="K123" s="6">
        <v>0</v>
      </c>
      <c r="L123" s="6">
        <v>1.47</v>
      </c>
      <c r="M123" s="6">
        <v>0.73499999999999999</v>
      </c>
      <c r="N123" s="6">
        <v>0</v>
      </c>
      <c r="O123" s="6">
        <v>0</v>
      </c>
      <c r="P123" s="6">
        <v>0</v>
      </c>
      <c r="Q123" s="4" t="s">
        <v>52</v>
      </c>
      <c r="R123" s="4">
        <v>0</v>
      </c>
      <c r="S123" s="4" t="s">
        <v>93</v>
      </c>
      <c r="U123" s="4">
        <v>0</v>
      </c>
      <c r="V123" s="4">
        <v>23</v>
      </c>
      <c r="W123" s="4">
        <v>0</v>
      </c>
    </row>
    <row r="124" spans="1:23" ht="11.25" customHeight="1" x14ac:dyDescent="0.3">
      <c r="A124" s="4" t="s">
        <v>21</v>
      </c>
      <c r="B124" s="4" t="s">
        <v>39</v>
      </c>
      <c r="C124" s="4" t="s">
        <v>40</v>
      </c>
      <c r="D124" s="4" t="s">
        <v>38</v>
      </c>
      <c r="E124" s="4" t="s">
        <v>25</v>
      </c>
      <c r="F124" s="4" t="s">
        <v>51</v>
      </c>
      <c r="G124" s="4" t="s">
        <v>25</v>
      </c>
      <c r="H124" s="4" t="s">
        <v>34</v>
      </c>
      <c r="I124" s="5">
        <v>44743</v>
      </c>
      <c r="J124" s="6">
        <v>0</v>
      </c>
      <c r="K124" s="6">
        <v>0</v>
      </c>
      <c r="L124" s="6">
        <v>1.5820000000000001</v>
      </c>
      <c r="M124" s="6">
        <v>0.79100000000000004</v>
      </c>
      <c r="N124" s="6">
        <v>0</v>
      </c>
      <c r="O124" s="6">
        <v>0</v>
      </c>
      <c r="P124" s="6">
        <v>0</v>
      </c>
      <c r="Q124" s="4" t="s">
        <v>52</v>
      </c>
      <c r="R124" s="4">
        <v>0</v>
      </c>
      <c r="S124" s="4" t="s">
        <v>94</v>
      </c>
      <c r="U124" s="4">
        <v>0</v>
      </c>
      <c r="V124" s="4">
        <v>23</v>
      </c>
      <c r="W124" s="4">
        <v>0</v>
      </c>
    </row>
    <row r="125" spans="1:23" ht="11.25" customHeight="1" x14ac:dyDescent="0.3">
      <c r="A125" s="4" t="s">
        <v>27</v>
      </c>
      <c r="B125" s="4" t="s">
        <v>39</v>
      </c>
      <c r="C125" s="4" t="s">
        <v>40</v>
      </c>
      <c r="D125" s="4" t="s">
        <v>38</v>
      </c>
      <c r="E125" s="4" t="s">
        <v>25</v>
      </c>
      <c r="F125" s="4" t="s">
        <v>51</v>
      </c>
      <c r="G125" s="4" t="s">
        <v>25</v>
      </c>
      <c r="H125" s="4" t="s">
        <v>34</v>
      </c>
      <c r="I125" s="5">
        <v>44743</v>
      </c>
      <c r="J125" s="6">
        <v>0</v>
      </c>
      <c r="K125" s="6">
        <v>0</v>
      </c>
      <c r="L125" s="6">
        <v>1.5820000000000001</v>
      </c>
      <c r="M125" s="6">
        <v>0.79100000000000004</v>
      </c>
      <c r="N125" s="6">
        <v>0</v>
      </c>
      <c r="O125" s="6">
        <v>0</v>
      </c>
      <c r="P125" s="6">
        <v>0</v>
      </c>
      <c r="Q125" s="4" t="s">
        <v>52</v>
      </c>
      <c r="R125" s="4">
        <v>0</v>
      </c>
      <c r="S125" s="4" t="s">
        <v>94</v>
      </c>
      <c r="U125" s="4">
        <v>0</v>
      </c>
      <c r="V125" s="4">
        <v>23</v>
      </c>
      <c r="W125" s="4">
        <v>0</v>
      </c>
    </row>
    <row r="126" spans="1:23" ht="11.25" customHeight="1" x14ac:dyDescent="0.3">
      <c r="A126" s="4" t="s">
        <v>21</v>
      </c>
      <c r="B126" s="4" t="s">
        <v>39</v>
      </c>
      <c r="C126" s="4" t="s">
        <v>40</v>
      </c>
      <c r="D126" s="4" t="s">
        <v>38</v>
      </c>
      <c r="E126" s="4" t="s">
        <v>25</v>
      </c>
      <c r="F126" s="4" t="s">
        <v>51</v>
      </c>
      <c r="G126" s="4" t="s">
        <v>25</v>
      </c>
      <c r="H126" s="4" t="s">
        <v>34</v>
      </c>
      <c r="I126" s="5">
        <v>44774</v>
      </c>
      <c r="J126" s="6">
        <v>0</v>
      </c>
      <c r="K126" s="6">
        <v>0</v>
      </c>
      <c r="L126" s="6">
        <v>1.419</v>
      </c>
      <c r="M126" s="6">
        <v>0.73064309999999999</v>
      </c>
      <c r="N126" s="6">
        <v>0</v>
      </c>
      <c r="O126" s="6">
        <v>0</v>
      </c>
      <c r="P126" s="6">
        <v>0</v>
      </c>
      <c r="Q126" s="4" t="s">
        <v>52</v>
      </c>
      <c r="R126" s="4">
        <v>0</v>
      </c>
      <c r="S126" s="4" t="s">
        <v>95</v>
      </c>
      <c r="U126" s="4">
        <v>0</v>
      </c>
      <c r="V126" s="4">
        <v>23</v>
      </c>
      <c r="W126" s="4">
        <v>0</v>
      </c>
    </row>
    <row r="127" spans="1:23" ht="11.25" customHeight="1" x14ac:dyDescent="0.3">
      <c r="A127" s="4" t="s">
        <v>27</v>
      </c>
      <c r="B127" s="4" t="s">
        <v>39</v>
      </c>
      <c r="C127" s="4" t="s">
        <v>40</v>
      </c>
      <c r="D127" s="4" t="s">
        <v>38</v>
      </c>
      <c r="E127" s="4" t="s">
        <v>25</v>
      </c>
      <c r="F127" s="4" t="s">
        <v>51</v>
      </c>
      <c r="G127" s="4" t="s">
        <v>25</v>
      </c>
      <c r="H127" s="4" t="s">
        <v>34</v>
      </c>
      <c r="I127" s="5">
        <v>44774</v>
      </c>
      <c r="J127" s="6">
        <v>0</v>
      </c>
      <c r="K127" s="6">
        <v>0</v>
      </c>
      <c r="L127" s="6">
        <v>1.419</v>
      </c>
      <c r="M127" s="6">
        <v>0.73064309999999999</v>
      </c>
      <c r="N127" s="6">
        <v>0</v>
      </c>
      <c r="O127" s="6">
        <v>0</v>
      </c>
      <c r="P127" s="6">
        <v>0</v>
      </c>
      <c r="Q127" s="4" t="s">
        <v>52</v>
      </c>
      <c r="R127" s="4">
        <v>0</v>
      </c>
      <c r="S127" s="4" t="s">
        <v>95</v>
      </c>
      <c r="U127" s="4">
        <v>0</v>
      </c>
      <c r="V127" s="4">
        <v>23</v>
      </c>
      <c r="W127" s="4">
        <v>0</v>
      </c>
    </row>
    <row r="128" spans="1:23" ht="11.25" customHeight="1" x14ac:dyDescent="0.3">
      <c r="A128" s="4" t="s">
        <v>21</v>
      </c>
      <c r="B128" s="4" t="s">
        <v>39</v>
      </c>
      <c r="C128" s="4" t="s">
        <v>40</v>
      </c>
      <c r="D128" s="4" t="s">
        <v>38</v>
      </c>
      <c r="E128" s="4" t="s">
        <v>25</v>
      </c>
      <c r="F128" s="4" t="s">
        <v>25</v>
      </c>
      <c r="G128" s="4" t="s">
        <v>25</v>
      </c>
      <c r="H128" s="4" t="s">
        <v>35</v>
      </c>
      <c r="I128" s="5">
        <v>44440</v>
      </c>
      <c r="J128" s="6">
        <v>0</v>
      </c>
      <c r="K128" s="6">
        <v>0</v>
      </c>
      <c r="L128" s="6">
        <v>177.37100000000001</v>
      </c>
      <c r="M128" s="6">
        <v>177.37100000000001</v>
      </c>
      <c r="N128" s="6">
        <v>177.37100000000001</v>
      </c>
      <c r="O128" s="6">
        <v>177.37100000000001</v>
      </c>
      <c r="P128" s="6">
        <v>0</v>
      </c>
      <c r="Q128" s="4" t="s">
        <v>26</v>
      </c>
      <c r="R128" s="4">
        <v>0</v>
      </c>
      <c r="S128" s="4" t="s">
        <v>60</v>
      </c>
      <c r="T128" s="4" t="s">
        <v>265</v>
      </c>
      <c r="U128" s="4">
        <v>0</v>
      </c>
      <c r="V128" s="4">
        <v>6</v>
      </c>
      <c r="W128" s="4">
        <v>50</v>
      </c>
    </row>
    <row r="129" spans="1:23" ht="11.25" customHeight="1" x14ac:dyDescent="0.3">
      <c r="A129" s="4" t="s">
        <v>28</v>
      </c>
      <c r="B129" s="4" t="s">
        <v>39</v>
      </c>
      <c r="C129" s="4" t="s">
        <v>40</v>
      </c>
      <c r="D129" s="4" t="s">
        <v>38</v>
      </c>
      <c r="E129" s="4" t="s">
        <v>25</v>
      </c>
      <c r="F129" s="4" t="s">
        <v>25</v>
      </c>
      <c r="G129" s="4" t="s">
        <v>25</v>
      </c>
      <c r="H129" s="4" t="s">
        <v>35</v>
      </c>
      <c r="I129" s="5">
        <v>44440</v>
      </c>
      <c r="J129" s="6">
        <v>0</v>
      </c>
      <c r="K129" s="6">
        <v>0</v>
      </c>
      <c r="L129" s="6">
        <v>1.42</v>
      </c>
      <c r="M129" s="6">
        <v>1.42</v>
      </c>
      <c r="N129" s="6">
        <v>1.42</v>
      </c>
      <c r="O129" s="6">
        <v>1.42</v>
      </c>
      <c r="P129" s="6">
        <v>0</v>
      </c>
      <c r="Q129" s="4" t="s">
        <v>26</v>
      </c>
      <c r="R129" s="4">
        <v>0</v>
      </c>
      <c r="S129" s="4" t="s">
        <v>60</v>
      </c>
      <c r="T129" s="4" t="s">
        <v>265</v>
      </c>
      <c r="U129" s="4">
        <v>0</v>
      </c>
      <c r="V129" s="4">
        <v>6</v>
      </c>
      <c r="W129" s="4">
        <v>50</v>
      </c>
    </row>
    <row r="130" spans="1:23" ht="11.25" customHeight="1" x14ac:dyDescent="0.3">
      <c r="A130" s="4" t="s">
        <v>21</v>
      </c>
      <c r="B130" s="4" t="s">
        <v>39</v>
      </c>
      <c r="C130" s="4" t="s">
        <v>40</v>
      </c>
      <c r="D130" s="4" t="s">
        <v>38</v>
      </c>
      <c r="E130" s="4" t="s">
        <v>25</v>
      </c>
      <c r="F130" s="4" t="s">
        <v>25</v>
      </c>
      <c r="G130" s="4" t="s">
        <v>25</v>
      </c>
      <c r="H130" s="4" t="s">
        <v>35</v>
      </c>
      <c r="I130" s="5">
        <v>44470</v>
      </c>
      <c r="J130" s="6">
        <v>0</v>
      </c>
      <c r="K130" s="6">
        <v>0</v>
      </c>
      <c r="L130" s="6">
        <v>97.475999999999999</v>
      </c>
      <c r="M130" s="6">
        <v>97.475999999999999</v>
      </c>
      <c r="N130" s="6">
        <v>97.475999999999999</v>
      </c>
      <c r="O130" s="6">
        <v>97.475999999999999</v>
      </c>
      <c r="P130" s="6">
        <v>0</v>
      </c>
      <c r="Q130" s="4" t="s">
        <v>26</v>
      </c>
      <c r="R130" s="4">
        <v>0</v>
      </c>
      <c r="S130" s="4" t="s">
        <v>61</v>
      </c>
      <c r="T130" s="4" t="s">
        <v>266</v>
      </c>
      <c r="U130" s="4">
        <v>0</v>
      </c>
      <c r="V130" s="4">
        <v>6</v>
      </c>
      <c r="W130" s="4">
        <v>50</v>
      </c>
    </row>
    <row r="131" spans="1:23" ht="11.25" customHeight="1" x14ac:dyDescent="0.3">
      <c r="A131" s="4" t="s">
        <v>21</v>
      </c>
      <c r="B131" s="4" t="s">
        <v>39</v>
      </c>
      <c r="C131" s="4" t="s">
        <v>40</v>
      </c>
      <c r="D131" s="4" t="s">
        <v>38</v>
      </c>
      <c r="E131" s="4" t="s">
        <v>25</v>
      </c>
      <c r="F131" s="4" t="s">
        <v>25</v>
      </c>
      <c r="G131" s="4" t="s">
        <v>25</v>
      </c>
      <c r="H131" s="4" t="s">
        <v>35</v>
      </c>
      <c r="I131" s="5">
        <v>44501</v>
      </c>
      <c r="J131" s="6">
        <v>0</v>
      </c>
      <c r="K131" s="6">
        <v>0</v>
      </c>
      <c r="L131" s="6">
        <v>112.797</v>
      </c>
      <c r="M131" s="6">
        <v>112.797</v>
      </c>
      <c r="N131" s="6">
        <v>112.797</v>
      </c>
      <c r="O131" s="6">
        <v>112.797</v>
      </c>
      <c r="P131" s="6">
        <v>0</v>
      </c>
      <c r="Q131" s="4" t="s">
        <v>26</v>
      </c>
      <c r="R131" s="4">
        <v>0</v>
      </c>
      <c r="S131" s="4" t="s">
        <v>62</v>
      </c>
      <c r="T131" s="4" t="s">
        <v>267</v>
      </c>
      <c r="U131" s="4">
        <v>0</v>
      </c>
      <c r="V131" s="4">
        <v>6</v>
      </c>
      <c r="W131" s="4">
        <v>50</v>
      </c>
    </row>
    <row r="132" spans="1:23" ht="11.25" customHeight="1" x14ac:dyDescent="0.3">
      <c r="A132" s="4" t="s">
        <v>21</v>
      </c>
      <c r="B132" s="4" t="s">
        <v>39</v>
      </c>
      <c r="C132" s="4" t="s">
        <v>40</v>
      </c>
      <c r="D132" s="4" t="s">
        <v>38</v>
      </c>
      <c r="E132" s="4" t="s">
        <v>25</v>
      </c>
      <c r="F132" s="4" t="s">
        <v>25</v>
      </c>
      <c r="G132" s="4" t="s">
        <v>25</v>
      </c>
      <c r="H132" s="4" t="s">
        <v>35</v>
      </c>
      <c r="I132" s="5">
        <v>44531</v>
      </c>
      <c r="J132" s="6">
        <v>0</v>
      </c>
      <c r="K132" s="6">
        <v>0</v>
      </c>
      <c r="L132" s="6">
        <v>122.096</v>
      </c>
      <c r="M132" s="6">
        <v>122.096</v>
      </c>
      <c r="N132" s="6">
        <v>122.096</v>
      </c>
      <c r="O132" s="6">
        <v>122.096</v>
      </c>
      <c r="P132" s="6">
        <v>0</v>
      </c>
      <c r="Q132" s="4" t="s">
        <v>26</v>
      </c>
      <c r="R132" s="4">
        <v>0</v>
      </c>
      <c r="S132" s="4" t="s">
        <v>63</v>
      </c>
      <c r="T132" s="4" t="s">
        <v>268</v>
      </c>
      <c r="U132" s="4">
        <v>0</v>
      </c>
      <c r="V132" s="4">
        <v>6</v>
      </c>
      <c r="W132" s="4">
        <v>50</v>
      </c>
    </row>
    <row r="133" spans="1:23" ht="11.25" customHeight="1" x14ac:dyDescent="0.3">
      <c r="A133" s="4" t="s">
        <v>21</v>
      </c>
      <c r="B133" s="4" t="s">
        <v>39</v>
      </c>
      <c r="C133" s="4" t="s">
        <v>40</v>
      </c>
      <c r="D133" s="4" t="s">
        <v>38</v>
      </c>
      <c r="E133" s="4" t="s">
        <v>25</v>
      </c>
      <c r="F133" s="4" t="s">
        <v>25</v>
      </c>
      <c r="G133" s="4" t="s">
        <v>25</v>
      </c>
      <c r="H133" s="4" t="s">
        <v>35</v>
      </c>
      <c r="I133" s="5">
        <v>44562</v>
      </c>
      <c r="J133" s="6">
        <v>0</v>
      </c>
      <c r="K133" s="6">
        <v>0</v>
      </c>
      <c r="L133" s="6">
        <v>99.01</v>
      </c>
      <c r="M133" s="6">
        <v>99.01</v>
      </c>
      <c r="N133" s="6">
        <v>99.01</v>
      </c>
      <c r="O133" s="6">
        <v>99.01</v>
      </c>
      <c r="P133" s="6">
        <v>0</v>
      </c>
      <c r="Q133" s="4" t="s">
        <v>26</v>
      </c>
      <c r="R133" s="4">
        <v>0</v>
      </c>
      <c r="S133" s="4" t="s">
        <v>64</v>
      </c>
      <c r="T133" s="4" t="s">
        <v>269</v>
      </c>
      <c r="U133" s="4">
        <v>0</v>
      </c>
      <c r="V133" s="4">
        <v>6</v>
      </c>
      <c r="W133" s="4">
        <v>50</v>
      </c>
    </row>
    <row r="134" spans="1:23" ht="11.25" customHeight="1" x14ac:dyDescent="0.3">
      <c r="A134" s="4" t="s">
        <v>21</v>
      </c>
      <c r="B134" s="4" t="s">
        <v>39</v>
      </c>
      <c r="C134" s="4" t="s">
        <v>40</v>
      </c>
      <c r="D134" s="4" t="s">
        <v>38</v>
      </c>
      <c r="E134" s="4" t="s">
        <v>25</v>
      </c>
      <c r="F134" s="4" t="s">
        <v>25</v>
      </c>
      <c r="G134" s="4" t="s">
        <v>25</v>
      </c>
      <c r="H134" s="4" t="s">
        <v>35</v>
      </c>
      <c r="I134" s="5">
        <v>44593</v>
      </c>
      <c r="J134" s="6">
        <v>0</v>
      </c>
      <c r="K134" s="6">
        <v>0</v>
      </c>
      <c r="L134" s="6">
        <v>138.72200000000001</v>
      </c>
      <c r="M134" s="6">
        <v>138.72200000000001</v>
      </c>
      <c r="N134" s="6">
        <v>138.72200000000001</v>
      </c>
      <c r="O134" s="6">
        <v>138.72200000000001</v>
      </c>
      <c r="P134" s="6">
        <v>0</v>
      </c>
      <c r="Q134" s="4" t="s">
        <v>26</v>
      </c>
      <c r="R134" s="4">
        <v>0</v>
      </c>
      <c r="S134" s="4" t="s">
        <v>65</v>
      </c>
      <c r="T134" s="4" t="s">
        <v>270</v>
      </c>
      <c r="U134" s="4">
        <v>0</v>
      </c>
      <c r="V134" s="4">
        <v>6</v>
      </c>
      <c r="W134" s="4">
        <v>50</v>
      </c>
    </row>
    <row r="135" spans="1:23" ht="11.25" customHeight="1" x14ac:dyDescent="0.3">
      <c r="A135" s="4" t="s">
        <v>21</v>
      </c>
      <c r="B135" s="4" t="s">
        <v>39</v>
      </c>
      <c r="C135" s="4" t="s">
        <v>40</v>
      </c>
      <c r="D135" s="4" t="s">
        <v>38</v>
      </c>
      <c r="E135" s="4" t="s">
        <v>25</v>
      </c>
      <c r="F135" s="4" t="s">
        <v>25</v>
      </c>
      <c r="G135" s="4" t="s">
        <v>25</v>
      </c>
      <c r="H135" s="4" t="s">
        <v>35</v>
      </c>
      <c r="I135" s="5">
        <v>44621</v>
      </c>
      <c r="J135" s="6">
        <v>0</v>
      </c>
      <c r="K135" s="6">
        <v>0</v>
      </c>
      <c r="L135" s="6">
        <v>192.18899999999999</v>
      </c>
      <c r="M135" s="6">
        <v>192.18899999999999</v>
      </c>
      <c r="N135" s="6">
        <v>192.18899999999999</v>
      </c>
      <c r="O135" s="6">
        <v>192.18899999999999</v>
      </c>
      <c r="P135" s="6">
        <v>0</v>
      </c>
      <c r="Q135" s="4" t="s">
        <v>26</v>
      </c>
      <c r="R135" s="4">
        <v>0</v>
      </c>
      <c r="S135" s="4" t="s">
        <v>66</v>
      </c>
      <c r="T135" s="4" t="s">
        <v>271</v>
      </c>
      <c r="U135" s="4">
        <v>0</v>
      </c>
      <c r="V135" s="4">
        <v>6</v>
      </c>
      <c r="W135" s="4">
        <v>50</v>
      </c>
    </row>
    <row r="136" spans="1:23" ht="11.25" customHeight="1" x14ac:dyDescent="0.3">
      <c r="A136" s="4" t="s">
        <v>21</v>
      </c>
      <c r="B136" s="4" t="s">
        <v>39</v>
      </c>
      <c r="C136" s="4" t="s">
        <v>40</v>
      </c>
      <c r="D136" s="4" t="s">
        <v>38</v>
      </c>
      <c r="E136" s="4" t="s">
        <v>25</v>
      </c>
      <c r="F136" s="4" t="s">
        <v>25</v>
      </c>
      <c r="G136" s="4" t="s">
        <v>25</v>
      </c>
      <c r="H136" s="4" t="s">
        <v>35</v>
      </c>
      <c r="I136" s="5">
        <v>44652</v>
      </c>
      <c r="J136" s="6">
        <v>0</v>
      </c>
      <c r="K136" s="6">
        <v>0</v>
      </c>
      <c r="L136" s="6">
        <v>156.73699999999999</v>
      </c>
      <c r="M136" s="6">
        <v>156.73699999999999</v>
      </c>
      <c r="N136" s="6">
        <v>156.73699999999999</v>
      </c>
      <c r="O136" s="6">
        <v>156.73699999999999</v>
      </c>
      <c r="P136" s="6">
        <v>0</v>
      </c>
      <c r="Q136" s="4" t="s">
        <v>26</v>
      </c>
      <c r="R136" s="4">
        <v>0</v>
      </c>
      <c r="S136" s="4" t="s">
        <v>67</v>
      </c>
      <c r="T136" s="4" t="s">
        <v>272</v>
      </c>
      <c r="U136" s="4">
        <v>0</v>
      </c>
      <c r="V136" s="4">
        <v>6</v>
      </c>
      <c r="W136" s="4">
        <v>50</v>
      </c>
    </row>
    <row r="137" spans="1:23" ht="11.25" customHeight="1" x14ac:dyDescent="0.3">
      <c r="A137" s="4" t="s">
        <v>21</v>
      </c>
      <c r="B137" s="4" t="s">
        <v>39</v>
      </c>
      <c r="C137" s="4" t="s">
        <v>40</v>
      </c>
      <c r="D137" s="4" t="s">
        <v>38</v>
      </c>
      <c r="E137" s="4" t="s">
        <v>25</v>
      </c>
      <c r="F137" s="4" t="s">
        <v>25</v>
      </c>
      <c r="G137" s="4" t="s">
        <v>25</v>
      </c>
      <c r="H137" s="4" t="s">
        <v>35</v>
      </c>
      <c r="I137" s="5">
        <v>44682</v>
      </c>
      <c r="J137" s="6">
        <v>0</v>
      </c>
      <c r="K137" s="6">
        <v>0</v>
      </c>
      <c r="L137" s="6">
        <v>198.99</v>
      </c>
      <c r="M137" s="6">
        <v>198.99</v>
      </c>
      <c r="N137" s="6">
        <v>198.99</v>
      </c>
      <c r="O137" s="6">
        <v>198.99</v>
      </c>
      <c r="P137" s="6">
        <v>0</v>
      </c>
      <c r="Q137" s="4" t="s">
        <v>26</v>
      </c>
      <c r="R137" s="4">
        <v>0</v>
      </c>
      <c r="S137" s="4" t="s">
        <v>68</v>
      </c>
      <c r="T137" s="4" t="s">
        <v>273</v>
      </c>
      <c r="U137" s="4">
        <v>0</v>
      </c>
      <c r="V137" s="4">
        <v>6</v>
      </c>
      <c r="W137" s="4">
        <v>50</v>
      </c>
    </row>
    <row r="138" spans="1:23" ht="11.25" customHeight="1" x14ac:dyDescent="0.3">
      <c r="A138" s="4" t="s">
        <v>21</v>
      </c>
      <c r="B138" s="4" t="s">
        <v>39</v>
      </c>
      <c r="C138" s="4" t="s">
        <v>40</v>
      </c>
      <c r="D138" s="4" t="s">
        <v>38</v>
      </c>
      <c r="E138" s="4" t="s">
        <v>25</v>
      </c>
      <c r="F138" s="4" t="s">
        <v>25</v>
      </c>
      <c r="G138" s="4" t="s">
        <v>25</v>
      </c>
      <c r="H138" s="4" t="s">
        <v>35</v>
      </c>
      <c r="I138" s="5">
        <v>44713</v>
      </c>
      <c r="J138" s="6">
        <v>0</v>
      </c>
      <c r="K138" s="6">
        <v>0</v>
      </c>
      <c r="L138" s="6">
        <v>196.16499999999999</v>
      </c>
      <c r="M138" s="6">
        <v>196.16499999999999</v>
      </c>
      <c r="N138" s="6">
        <v>196.16499999999999</v>
      </c>
      <c r="O138" s="6">
        <v>196.16499999999999</v>
      </c>
      <c r="P138" s="6">
        <v>0</v>
      </c>
      <c r="Q138" s="4" t="s">
        <v>26</v>
      </c>
      <c r="R138" s="4">
        <v>0</v>
      </c>
      <c r="S138" s="4" t="s">
        <v>69</v>
      </c>
      <c r="T138" s="4" t="s">
        <v>274</v>
      </c>
      <c r="U138" s="4">
        <v>0</v>
      </c>
      <c r="V138" s="4">
        <v>6</v>
      </c>
      <c r="W138" s="4">
        <v>50</v>
      </c>
    </row>
    <row r="139" spans="1:23" ht="11.25" customHeight="1" x14ac:dyDescent="0.3">
      <c r="A139" s="4" t="s">
        <v>21</v>
      </c>
      <c r="B139" s="4" t="s">
        <v>39</v>
      </c>
      <c r="C139" s="4" t="s">
        <v>40</v>
      </c>
      <c r="D139" s="4" t="s">
        <v>38</v>
      </c>
      <c r="E139" s="4" t="s">
        <v>25</v>
      </c>
      <c r="F139" s="4" t="s">
        <v>25</v>
      </c>
      <c r="G139" s="4" t="s">
        <v>25</v>
      </c>
      <c r="H139" s="4" t="s">
        <v>35</v>
      </c>
      <c r="I139" s="5">
        <v>44743</v>
      </c>
      <c r="J139" s="6">
        <v>0</v>
      </c>
      <c r="K139" s="6">
        <v>0</v>
      </c>
      <c r="L139" s="6">
        <v>193.19300000000001</v>
      </c>
      <c r="M139" s="6">
        <v>193.19300000000001</v>
      </c>
      <c r="N139" s="6">
        <v>193.19300000000001</v>
      </c>
      <c r="O139" s="6">
        <v>193.19300000000001</v>
      </c>
      <c r="P139" s="6">
        <v>0</v>
      </c>
      <c r="Q139" s="4" t="s">
        <v>26</v>
      </c>
      <c r="R139" s="4">
        <v>0</v>
      </c>
      <c r="S139" s="4" t="s">
        <v>70</v>
      </c>
      <c r="T139" s="4" t="s">
        <v>275</v>
      </c>
      <c r="U139" s="4">
        <v>0</v>
      </c>
      <c r="V139" s="4">
        <v>6</v>
      </c>
      <c r="W139" s="4">
        <v>50</v>
      </c>
    </row>
    <row r="140" spans="1:23" ht="11.25" customHeight="1" x14ac:dyDescent="0.3">
      <c r="A140" s="4" t="s">
        <v>21</v>
      </c>
      <c r="B140" s="4" t="s">
        <v>39</v>
      </c>
      <c r="C140" s="4" t="s">
        <v>40</v>
      </c>
      <c r="D140" s="4" t="s">
        <v>38</v>
      </c>
      <c r="E140" s="4" t="s">
        <v>25</v>
      </c>
      <c r="F140" s="4" t="s">
        <v>25</v>
      </c>
      <c r="G140" s="4" t="s">
        <v>25</v>
      </c>
      <c r="H140" s="4" t="s">
        <v>35</v>
      </c>
      <c r="I140" s="5">
        <v>44774</v>
      </c>
      <c r="J140" s="6">
        <v>0</v>
      </c>
      <c r="K140" s="6">
        <v>0</v>
      </c>
      <c r="L140" s="6">
        <v>195.411</v>
      </c>
      <c r="M140" s="6">
        <v>195.411</v>
      </c>
      <c r="N140" s="6">
        <v>195.411</v>
      </c>
      <c r="O140" s="6">
        <v>195.411</v>
      </c>
      <c r="P140" s="6">
        <v>0</v>
      </c>
      <c r="Q140" s="4" t="s">
        <v>26</v>
      </c>
      <c r="R140" s="4">
        <v>0</v>
      </c>
      <c r="S140" s="4" t="s">
        <v>71</v>
      </c>
      <c r="T140" s="4" t="s">
        <v>276</v>
      </c>
      <c r="U140" s="4">
        <v>0</v>
      </c>
      <c r="V140" s="4">
        <v>6</v>
      </c>
      <c r="W140" s="4">
        <v>50</v>
      </c>
    </row>
    <row r="141" spans="1:23" ht="11.25" customHeight="1" x14ac:dyDescent="0.3">
      <c r="A141" s="4" t="s">
        <v>21</v>
      </c>
      <c r="B141" s="4" t="s">
        <v>39</v>
      </c>
      <c r="C141" s="4" t="s">
        <v>40</v>
      </c>
      <c r="D141" s="4" t="s">
        <v>38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44440</v>
      </c>
      <c r="J141" s="6">
        <v>1633</v>
      </c>
      <c r="K141" s="6">
        <v>1633</v>
      </c>
      <c r="L141" s="6">
        <v>0</v>
      </c>
      <c r="M141" s="6">
        <v>0</v>
      </c>
      <c r="N141" s="6">
        <v>0</v>
      </c>
      <c r="O141" s="6">
        <v>0</v>
      </c>
      <c r="P141" s="6">
        <v>6</v>
      </c>
      <c r="Q141" s="4" t="s">
        <v>26</v>
      </c>
      <c r="R141" s="4">
        <v>0</v>
      </c>
      <c r="S141" s="4" t="s">
        <v>72</v>
      </c>
      <c r="U141" s="4">
        <v>10</v>
      </c>
      <c r="V141" s="4">
        <v>0</v>
      </c>
      <c r="W141" s="4">
        <v>0</v>
      </c>
    </row>
    <row r="142" spans="1:23" ht="11.25" customHeight="1" x14ac:dyDescent="0.3">
      <c r="A142" s="4" t="s">
        <v>28</v>
      </c>
      <c r="B142" s="4" t="s">
        <v>39</v>
      </c>
      <c r="C142" s="4" t="s">
        <v>40</v>
      </c>
      <c r="D142" s="4" t="s">
        <v>38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44440</v>
      </c>
      <c r="J142" s="6">
        <v>121</v>
      </c>
      <c r="K142" s="6">
        <v>121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4" t="s">
        <v>26</v>
      </c>
      <c r="R142" s="4">
        <v>0</v>
      </c>
      <c r="S142" s="4" t="s">
        <v>72</v>
      </c>
      <c r="U142" s="4">
        <v>10</v>
      </c>
      <c r="V142" s="4">
        <v>0</v>
      </c>
      <c r="W142" s="4">
        <v>0</v>
      </c>
    </row>
    <row r="143" spans="1:23" ht="11.25" customHeight="1" x14ac:dyDescent="0.3">
      <c r="A143" s="4" t="s">
        <v>21</v>
      </c>
      <c r="B143" s="4" t="s">
        <v>39</v>
      </c>
      <c r="C143" s="4" t="s">
        <v>40</v>
      </c>
      <c r="D143" s="4" t="s">
        <v>38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44470</v>
      </c>
      <c r="J143" s="6">
        <v>1643</v>
      </c>
      <c r="K143" s="6">
        <v>1643</v>
      </c>
      <c r="L143" s="6">
        <v>0</v>
      </c>
      <c r="M143" s="6">
        <v>0</v>
      </c>
      <c r="N143" s="6">
        <v>0</v>
      </c>
      <c r="O143" s="6">
        <v>0</v>
      </c>
      <c r="P143" s="6">
        <v>6</v>
      </c>
      <c r="Q143" s="4" t="s">
        <v>26</v>
      </c>
      <c r="R143" s="4">
        <v>0</v>
      </c>
      <c r="S143" s="4" t="s">
        <v>73</v>
      </c>
      <c r="U143" s="4">
        <v>10</v>
      </c>
      <c r="V143" s="4">
        <v>0</v>
      </c>
      <c r="W143" s="4">
        <v>0</v>
      </c>
    </row>
    <row r="144" spans="1:23" ht="11.25" customHeight="1" x14ac:dyDescent="0.3">
      <c r="A144" s="4" t="s">
        <v>28</v>
      </c>
      <c r="B144" s="4" t="s">
        <v>39</v>
      </c>
      <c r="C144" s="4" t="s">
        <v>40</v>
      </c>
      <c r="D144" s="4" t="s">
        <v>38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44470</v>
      </c>
      <c r="J144" s="6">
        <v>119</v>
      </c>
      <c r="K144" s="6">
        <v>119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4" t="s">
        <v>26</v>
      </c>
      <c r="R144" s="4">
        <v>0</v>
      </c>
      <c r="S144" s="4" t="s">
        <v>73</v>
      </c>
      <c r="U144" s="4">
        <v>10</v>
      </c>
      <c r="V144" s="4">
        <v>0</v>
      </c>
      <c r="W144" s="4">
        <v>0</v>
      </c>
    </row>
    <row r="145" spans="1:23" ht="11.25" customHeight="1" x14ac:dyDescent="0.3">
      <c r="A145" s="4" t="s">
        <v>21</v>
      </c>
      <c r="B145" s="4" t="s">
        <v>39</v>
      </c>
      <c r="C145" s="4" t="s">
        <v>40</v>
      </c>
      <c r="D145" s="4" t="s">
        <v>38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44501</v>
      </c>
      <c r="J145" s="6">
        <v>1078</v>
      </c>
      <c r="K145" s="6">
        <v>1078</v>
      </c>
      <c r="L145" s="6">
        <v>0</v>
      </c>
      <c r="M145" s="6">
        <v>0</v>
      </c>
      <c r="N145" s="6">
        <v>0</v>
      </c>
      <c r="O145" s="6">
        <v>0</v>
      </c>
      <c r="P145" s="6">
        <v>5</v>
      </c>
      <c r="Q145" s="4" t="s">
        <v>26</v>
      </c>
      <c r="R145" s="4">
        <v>0</v>
      </c>
      <c r="S145" s="4" t="s">
        <v>74</v>
      </c>
      <c r="U145" s="4">
        <v>10</v>
      </c>
      <c r="V145" s="4">
        <v>0</v>
      </c>
      <c r="W145" s="4">
        <v>0</v>
      </c>
    </row>
    <row r="146" spans="1:23" ht="11.25" customHeight="1" x14ac:dyDescent="0.3">
      <c r="A146" s="4" t="s">
        <v>28</v>
      </c>
      <c r="B146" s="4" t="s">
        <v>39</v>
      </c>
      <c r="C146" s="4" t="s">
        <v>40</v>
      </c>
      <c r="D146" s="4" t="s">
        <v>38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44501</v>
      </c>
      <c r="J146" s="6">
        <v>121</v>
      </c>
      <c r="K146" s="6">
        <v>121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4" t="s">
        <v>26</v>
      </c>
      <c r="R146" s="4">
        <v>0</v>
      </c>
      <c r="S146" s="4" t="s">
        <v>74</v>
      </c>
      <c r="U146" s="4">
        <v>10</v>
      </c>
      <c r="V146" s="4">
        <v>0</v>
      </c>
      <c r="W146" s="4">
        <v>0</v>
      </c>
    </row>
    <row r="147" spans="1:23" ht="11.25" customHeight="1" x14ac:dyDescent="0.3">
      <c r="A147" s="4" t="s">
        <v>21</v>
      </c>
      <c r="B147" s="4" t="s">
        <v>39</v>
      </c>
      <c r="C147" s="4" t="s">
        <v>40</v>
      </c>
      <c r="D147" s="4" t="s">
        <v>38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979</v>
      </c>
      <c r="K147" s="6">
        <v>979</v>
      </c>
      <c r="L147" s="6">
        <v>0</v>
      </c>
      <c r="M147" s="6">
        <v>0</v>
      </c>
      <c r="N147" s="6">
        <v>0</v>
      </c>
      <c r="O147" s="6">
        <v>0</v>
      </c>
      <c r="P147" s="6">
        <v>5</v>
      </c>
      <c r="Q147" s="4" t="s">
        <v>26</v>
      </c>
      <c r="R147" s="4">
        <v>0</v>
      </c>
      <c r="S147" s="4" t="s">
        <v>75</v>
      </c>
      <c r="U147" s="4">
        <v>10</v>
      </c>
      <c r="V147" s="4">
        <v>0</v>
      </c>
      <c r="W147" s="4">
        <v>0</v>
      </c>
    </row>
    <row r="148" spans="1:23" ht="11.25" customHeight="1" x14ac:dyDescent="0.3">
      <c r="A148" s="4" t="s">
        <v>28</v>
      </c>
      <c r="B148" s="4" t="s">
        <v>39</v>
      </c>
      <c r="C148" s="4" t="s">
        <v>40</v>
      </c>
      <c r="D148" s="4" t="s">
        <v>38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44531</v>
      </c>
      <c r="J148" s="6">
        <v>120</v>
      </c>
      <c r="K148" s="6">
        <v>120</v>
      </c>
      <c r="L148" s="6">
        <v>0</v>
      </c>
      <c r="M148" s="6">
        <v>0</v>
      </c>
      <c r="N148" s="6">
        <v>0</v>
      </c>
      <c r="O148" s="6">
        <v>0</v>
      </c>
      <c r="P148" s="6">
        <v>1</v>
      </c>
      <c r="Q148" s="4" t="s">
        <v>26</v>
      </c>
      <c r="R148" s="4">
        <v>0</v>
      </c>
      <c r="S148" s="4" t="s">
        <v>75</v>
      </c>
      <c r="U148" s="4">
        <v>10</v>
      </c>
      <c r="V148" s="4">
        <v>0</v>
      </c>
      <c r="W148" s="4">
        <v>0</v>
      </c>
    </row>
    <row r="149" spans="1:23" ht="11.25" customHeight="1" x14ac:dyDescent="0.3">
      <c r="A149" s="4" t="s">
        <v>21</v>
      </c>
      <c r="B149" s="4" t="s">
        <v>39</v>
      </c>
      <c r="C149" s="4" t="s">
        <v>40</v>
      </c>
      <c r="D149" s="4" t="s">
        <v>38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976</v>
      </c>
      <c r="K149" s="6">
        <v>976</v>
      </c>
      <c r="L149" s="6">
        <v>0</v>
      </c>
      <c r="M149" s="6">
        <v>0</v>
      </c>
      <c r="N149" s="6">
        <v>0</v>
      </c>
      <c r="O149" s="6">
        <v>0</v>
      </c>
      <c r="P149" s="6">
        <v>5</v>
      </c>
      <c r="Q149" s="4" t="s">
        <v>26</v>
      </c>
      <c r="R149" s="4">
        <v>0</v>
      </c>
      <c r="S149" s="4" t="s">
        <v>76</v>
      </c>
      <c r="U149" s="4">
        <v>10</v>
      </c>
      <c r="V149" s="4">
        <v>0</v>
      </c>
      <c r="W149" s="4">
        <v>0</v>
      </c>
    </row>
    <row r="150" spans="1:23" ht="11.25" customHeight="1" x14ac:dyDescent="0.3">
      <c r="A150" s="4" t="s">
        <v>28</v>
      </c>
      <c r="B150" s="4" t="s">
        <v>39</v>
      </c>
      <c r="C150" s="4" t="s">
        <v>40</v>
      </c>
      <c r="D150" s="4" t="s">
        <v>38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44562</v>
      </c>
      <c r="J150" s="6">
        <v>120</v>
      </c>
      <c r="K150" s="6">
        <v>120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4" t="s">
        <v>26</v>
      </c>
      <c r="R150" s="4">
        <v>0</v>
      </c>
      <c r="S150" s="4" t="s">
        <v>76</v>
      </c>
      <c r="U150" s="4">
        <v>10</v>
      </c>
      <c r="V150" s="4">
        <v>0</v>
      </c>
      <c r="W150" s="4">
        <v>0</v>
      </c>
    </row>
    <row r="151" spans="1:23" ht="11.25" customHeight="1" x14ac:dyDescent="0.3">
      <c r="A151" s="4" t="s">
        <v>21</v>
      </c>
      <c r="B151" s="4" t="s">
        <v>39</v>
      </c>
      <c r="C151" s="4" t="s">
        <v>40</v>
      </c>
      <c r="D151" s="4" t="s">
        <v>38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1224</v>
      </c>
      <c r="K151" s="6">
        <v>1224</v>
      </c>
      <c r="L151" s="6">
        <v>0</v>
      </c>
      <c r="M151" s="6">
        <v>0</v>
      </c>
      <c r="N151" s="6">
        <v>0</v>
      </c>
      <c r="O151" s="6">
        <v>0</v>
      </c>
      <c r="P151" s="6">
        <v>6</v>
      </c>
      <c r="Q151" s="4" t="s">
        <v>26</v>
      </c>
      <c r="R151" s="4">
        <v>0</v>
      </c>
      <c r="S151" s="4" t="s">
        <v>77</v>
      </c>
      <c r="U151" s="4">
        <v>10</v>
      </c>
      <c r="V151" s="4">
        <v>0</v>
      </c>
      <c r="W151" s="4">
        <v>0</v>
      </c>
    </row>
    <row r="152" spans="1:23" ht="11.25" customHeight="1" x14ac:dyDescent="0.3">
      <c r="A152" s="4" t="s">
        <v>21</v>
      </c>
      <c r="B152" s="4" t="s">
        <v>39</v>
      </c>
      <c r="C152" s="4" t="s">
        <v>40</v>
      </c>
      <c r="D152" s="4" t="s">
        <v>38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44621</v>
      </c>
      <c r="J152" s="6">
        <v>1194</v>
      </c>
      <c r="K152" s="6">
        <v>1194</v>
      </c>
      <c r="L152" s="6">
        <v>0</v>
      </c>
      <c r="M152" s="6">
        <v>0</v>
      </c>
      <c r="N152" s="6">
        <v>0</v>
      </c>
      <c r="O152" s="6">
        <v>0</v>
      </c>
      <c r="P152" s="6">
        <v>6</v>
      </c>
      <c r="Q152" s="4" t="s">
        <v>26</v>
      </c>
      <c r="R152" s="4">
        <v>0</v>
      </c>
      <c r="S152" s="4" t="s">
        <v>78</v>
      </c>
      <c r="U152" s="4">
        <v>10</v>
      </c>
      <c r="V152" s="4">
        <v>0</v>
      </c>
      <c r="W152" s="4">
        <v>0</v>
      </c>
    </row>
    <row r="153" spans="1:23" ht="11.25" customHeight="1" x14ac:dyDescent="0.3">
      <c r="A153" s="4" t="s">
        <v>28</v>
      </c>
      <c r="B153" s="4" t="s">
        <v>39</v>
      </c>
      <c r="C153" s="4" t="s">
        <v>40</v>
      </c>
      <c r="D153" s="4" t="s">
        <v>38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120</v>
      </c>
      <c r="K153" s="6">
        <v>120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4" t="s">
        <v>26</v>
      </c>
      <c r="R153" s="4">
        <v>0</v>
      </c>
      <c r="S153" s="4" t="s">
        <v>78</v>
      </c>
      <c r="U153" s="4">
        <v>10</v>
      </c>
      <c r="V153" s="4">
        <v>0</v>
      </c>
      <c r="W153" s="4">
        <v>0</v>
      </c>
    </row>
    <row r="154" spans="1:23" ht="11.25" customHeight="1" x14ac:dyDescent="0.3">
      <c r="A154" s="4" t="s">
        <v>21</v>
      </c>
      <c r="B154" s="4" t="s">
        <v>39</v>
      </c>
      <c r="C154" s="4" t="s">
        <v>40</v>
      </c>
      <c r="D154" s="4" t="s">
        <v>38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1189</v>
      </c>
      <c r="K154" s="6">
        <v>1189</v>
      </c>
      <c r="L154" s="6">
        <v>0</v>
      </c>
      <c r="M154" s="6">
        <v>0</v>
      </c>
      <c r="N154" s="6">
        <v>0</v>
      </c>
      <c r="O154" s="6">
        <v>0</v>
      </c>
      <c r="P154" s="6">
        <v>6</v>
      </c>
      <c r="Q154" s="4" t="s">
        <v>26</v>
      </c>
      <c r="R154" s="4">
        <v>0</v>
      </c>
      <c r="S154" s="4" t="s">
        <v>79</v>
      </c>
      <c r="U154" s="4">
        <v>10</v>
      </c>
      <c r="V154" s="4">
        <v>0</v>
      </c>
      <c r="W154" s="4">
        <v>0</v>
      </c>
    </row>
    <row r="155" spans="1:23" ht="11.25" customHeight="1" x14ac:dyDescent="0.3">
      <c r="A155" s="4" t="s">
        <v>28</v>
      </c>
      <c r="B155" s="4" t="s">
        <v>39</v>
      </c>
      <c r="C155" s="4" t="s">
        <v>40</v>
      </c>
      <c r="D155" s="4" t="s">
        <v>38</v>
      </c>
      <c r="E155" s="4" t="s">
        <v>25</v>
      </c>
      <c r="F155" s="4" t="s">
        <v>25</v>
      </c>
      <c r="G155" s="4" t="s">
        <v>25</v>
      </c>
      <c r="H155" s="4" t="s">
        <v>25</v>
      </c>
      <c r="I155" s="5">
        <v>44652</v>
      </c>
      <c r="J155" s="6">
        <v>120</v>
      </c>
      <c r="K155" s="6">
        <v>120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4" t="s">
        <v>26</v>
      </c>
      <c r="R155" s="4">
        <v>0</v>
      </c>
      <c r="S155" s="4" t="s">
        <v>79</v>
      </c>
      <c r="U155" s="4">
        <v>10</v>
      </c>
      <c r="V155" s="4">
        <v>0</v>
      </c>
      <c r="W155" s="4">
        <v>0</v>
      </c>
    </row>
    <row r="156" spans="1:23" ht="11.25" customHeight="1" x14ac:dyDescent="0.3">
      <c r="A156" s="4" t="s">
        <v>21</v>
      </c>
      <c r="B156" s="4" t="s">
        <v>39</v>
      </c>
      <c r="C156" s="4" t="s">
        <v>40</v>
      </c>
      <c r="D156" s="4" t="s">
        <v>38</v>
      </c>
      <c r="E156" s="4" t="s">
        <v>25</v>
      </c>
      <c r="F156" s="4" t="s">
        <v>25</v>
      </c>
      <c r="G156" s="4" t="s">
        <v>25</v>
      </c>
      <c r="H156" s="4" t="s">
        <v>25</v>
      </c>
      <c r="I156" s="5">
        <v>44682</v>
      </c>
      <c r="J156" s="6">
        <v>1264</v>
      </c>
      <c r="K156" s="6">
        <v>1264</v>
      </c>
      <c r="L156" s="6">
        <v>0</v>
      </c>
      <c r="M156" s="6">
        <v>0</v>
      </c>
      <c r="N156" s="6">
        <v>0</v>
      </c>
      <c r="O156" s="6">
        <v>0</v>
      </c>
      <c r="P156" s="6">
        <v>6</v>
      </c>
      <c r="Q156" s="4" t="s">
        <v>26</v>
      </c>
      <c r="R156" s="4">
        <v>0</v>
      </c>
      <c r="S156" s="4" t="s">
        <v>80</v>
      </c>
      <c r="U156" s="4">
        <v>10</v>
      </c>
      <c r="V156" s="4">
        <v>0</v>
      </c>
      <c r="W156" s="4">
        <v>0</v>
      </c>
    </row>
    <row r="157" spans="1:23" ht="11.25" customHeight="1" x14ac:dyDescent="0.3">
      <c r="A157" s="4" t="s">
        <v>28</v>
      </c>
      <c r="B157" s="4" t="s">
        <v>39</v>
      </c>
      <c r="C157" s="4" t="s">
        <v>40</v>
      </c>
      <c r="D157" s="4" t="s">
        <v>38</v>
      </c>
      <c r="E157" s="4" t="s">
        <v>25</v>
      </c>
      <c r="F157" s="4" t="s">
        <v>25</v>
      </c>
      <c r="G157" s="4" t="s">
        <v>25</v>
      </c>
      <c r="H157" s="4" t="s">
        <v>25</v>
      </c>
      <c r="I157" s="5">
        <v>44682</v>
      </c>
      <c r="J157" s="6">
        <v>120</v>
      </c>
      <c r="K157" s="6">
        <v>120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4" t="s">
        <v>26</v>
      </c>
      <c r="R157" s="4">
        <v>0</v>
      </c>
      <c r="S157" s="4" t="s">
        <v>80</v>
      </c>
      <c r="U157" s="4">
        <v>10</v>
      </c>
      <c r="V157" s="4">
        <v>0</v>
      </c>
      <c r="W157" s="4">
        <v>0</v>
      </c>
    </row>
    <row r="158" spans="1:23" ht="11.25" customHeight="1" x14ac:dyDescent="0.3">
      <c r="A158" s="4" t="s">
        <v>21</v>
      </c>
      <c r="B158" s="4" t="s">
        <v>39</v>
      </c>
      <c r="C158" s="4" t="s">
        <v>40</v>
      </c>
      <c r="D158" s="4" t="s">
        <v>38</v>
      </c>
      <c r="E158" s="4" t="s">
        <v>25</v>
      </c>
      <c r="F158" s="4" t="s">
        <v>25</v>
      </c>
      <c r="G158" s="4" t="s">
        <v>25</v>
      </c>
      <c r="H158" s="4" t="s">
        <v>25</v>
      </c>
      <c r="I158" s="5">
        <v>44713</v>
      </c>
      <c r="J158" s="6">
        <v>1243</v>
      </c>
      <c r="K158" s="6">
        <v>1243</v>
      </c>
      <c r="L158" s="6">
        <v>0</v>
      </c>
      <c r="M158" s="6">
        <v>0</v>
      </c>
      <c r="N158" s="6">
        <v>0</v>
      </c>
      <c r="O158" s="6">
        <v>0</v>
      </c>
      <c r="P158" s="6">
        <v>6</v>
      </c>
      <c r="Q158" s="4" t="s">
        <v>26</v>
      </c>
      <c r="R158" s="4">
        <v>0</v>
      </c>
      <c r="S158" s="4" t="s">
        <v>81</v>
      </c>
      <c r="U158" s="4">
        <v>10</v>
      </c>
      <c r="V158" s="4">
        <v>0</v>
      </c>
      <c r="W158" s="4">
        <v>0</v>
      </c>
    </row>
    <row r="159" spans="1:23" ht="11.25" customHeight="1" x14ac:dyDescent="0.3">
      <c r="A159" s="4" t="s">
        <v>28</v>
      </c>
      <c r="B159" s="4" t="s">
        <v>39</v>
      </c>
      <c r="C159" s="4" t="s">
        <v>40</v>
      </c>
      <c r="D159" s="4" t="s">
        <v>38</v>
      </c>
      <c r="E159" s="4" t="s">
        <v>25</v>
      </c>
      <c r="F159" s="4" t="s">
        <v>25</v>
      </c>
      <c r="G159" s="4" t="s">
        <v>25</v>
      </c>
      <c r="H159" s="4" t="s">
        <v>25</v>
      </c>
      <c r="I159" s="5">
        <v>44713</v>
      </c>
      <c r="J159" s="6">
        <v>120</v>
      </c>
      <c r="K159" s="6">
        <v>120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4" t="s">
        <v>26</v>
      </c>
      <c r="R159" s="4">
        <v>0</v>
      </c>
      <c r="S159" s="4" t="s">
        <v>81</v>
      </c>
      <c r="U159" s="4">
        <v>10</v>
      </c>
      <c r="V159" s="4">
        <v>0</v>
      </c>
      <c r="W159" s="4">
        <v>0</v>
      </c>
    </row>
    <row r="160" spans="1:23" ht="11.25" customHeight="1" x14ac:dyDescent="0.3">
      <c r="A160" s="4" t="s">
        <v>21</v>
      </c>
      <c r="B160" s="4" t="s">
        <v>39</v>
      </c>
      <c r="C160" s="4" t="s">
        <v>40</v>
      </c>
      <c r="D160" s="4" t="s">
        <v>38</v>
      </c>
      <c r="E160" s="4" t="s">
        <v>25</v>
      </c>
      <c r="F160" s="4" t="s">
        <v>25</v>
      </c>
      <c r="G160" s="4" t="s">
        <v>25</v>
      </c>
      <c r="H160" s="4" t="s">
        <v>25</v>
      </c>
      <c r="I160" s="5">
        <v>44743</v>
      </c>
      <c r="J160" s="6">
        <v>1315</v>
      </c>
      <c r="K160" s="6">
        <v>1315</v>
      </c>
      <c r="L160" s="6">
        <v>0</v>
      </c>
      <c r="M160" s="6">
        <v>0</v>
      </c>
      <c r="N160" s="6">
        <v>0</v>
      </c>
      <c r="O160" s="6">
        <v>0</v>
      </c>
      <c r="P160" s="6">
        <v>6</v>
      </c>
      <c r="Q160" s="4" t="s">
        <v>26</v>
      </c>
      <c r="R160" s="4">
        <v>0</v>
      </c>
      <c r="S160" s="4" t="s">
        <v>82</v>
      </c>
      <c r="U160" s="4">
        <v>10</v>
      </c>
      <c r="V160" s="4">
        <v>0</v>
      </c>
      <c r="W160" s="4">
        <v>0</v>
      </c>
    </row>
    <row r="161" spans="1:23" ht="11.25" customHeight="1" x14ac:dyDescent="0.3">
      <c r="A161" s="4" t="s">
        <v>28</v>
      </c>
      <c r="B161" s="4" t="s">
        <v>39</v>
      </c>
      <c r="C161" s="4" t="s">
        <v>40</v>
      </c>
      <c r="D161" s="4" t="s">
        <v>38</v>
      </c>
      <c r="E161" s="4" t="s">
        <v>25</v>
      </c>
      <c r="F161" s="4" t="s">
        <v>25</v>
      </c>
      <c r="G161" s="4" t="s">
        <v>25</v>
      </c>
      <c r="H161" s="4" t="s">
        <v>25</v>
      </c>
      <c r="I161" s="5">
        <v>44743</v>
      </c>
      <c r="J161" s="6">
        <v>120</v>
      </c>
      <c r="K161" s="6">
        <v>120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4" t="s">
        <v>26</v>
      </c>
      <c r="R161" s="4">
        <v>0</v>
      </c>
      <c r="S161" s="4" t="s">
        <v>82</v>
      </c>
      <c r="U161" s="4">
        <v>10</v>
      </c>
      <c r="V161" s="4">
        <v>0</v>
      </c>
      <c r="W161" s="4">
        <v>0</v>
      </c>
    </row>
    <row r="162" spans="1:23" ht="11.25" customHeight="1" x14ac:dyDescent="0.3">
      <c r="A162" s="4" t="s">
        <v>21</v>
      </c>
      <c r="B162" s="4" t="s">
        <v>39</v>
      </c>
      <c r="C162" s="4" t="s">
        <v>40</v>
      </c>
      <c r="D162" s="4" t="s">
        <v>38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44774</v>
      </c>
      <c r="J162" s="6">
        <v>1295</v>
      </c>
      <c r="K162" s="6">
        <v>1295</v>
      </c>
      <c r="L162" s="6">
        <v>0</v>
      </c>
      <c r="M162" s="6">
        <v>0</v>
      </c>
      <c r="N162" s="6">
        <v>0</v>
      </c>
      <c r="O162" s="6">
        <v>0</v>
      </c>
      <c r="P162" s="6">
        <v>6</v>
      </c>
      <c r="Q162" s="4" t="s">
        <v>26</v>
      </c>
      <c r="R162" s="4">
        <v>0</v>
      </c>
      <c r="S162" s="4" t="s">
        <v>83</v>
      </c>
      <c r="U162" s="4">
        <v>10</v>
      </c>
      <c r="V162" s="4">
        <v>0</v>
      </c>
      <c r="W162" s="4">
        <v>0</v>
      </c>
    </row>
    <row r="163" spans="1:23" ht="11.25" customHeight="1" x14ac:dyDescent="0.3">
      <c r="A163" s="4" t="s">
        <v>28</v>
      </c>
      <c r="B163" s="4" t="s">
        <v>39</v>
      </c>
      <c r="C163" s="4" t="s">
        <v>40</v>
      </c>
      <c r="D163" s="4" t="s">
        <v>38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44774</v>
      </c>
      <c r="J163" s="6">
        <v>120</v>
      </c>
      <c r="K163" s="6">
        <v>120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4" t="s">
        <v>26</v>
      </c>
      <c r="R163" s="4">
        <v>0</v>
      </c>
      <c r="S163" s="4" t="s">
        <v>83</v>
      </c>
      <c r="U163" s="4">
        <v>10</v>
      </c>
      <c r="V163" s="4">
        <v>0</v>
      </c>
      <c r="W163" s="4">
        <v>0</v>
      </c>
    </row>
    <row r="164" spans="1:23" ht="11.25" customHeight="1" x14ac:dyDescent="0.3">
      <c r="A164" s="4" t="s">
        <v>21</v>
      </c>
      <c r="B164" s="4" t="s">
        <v>39</v>
      </c>
      <c r="C164" s="4" t="s">
        <v>40</v>
      </c>
      <c r="D164" s="4" t="s">
        <v>38</v>
      </c>
      <c r="E164" s="4" t="s">
        <v>25</v>
      </c>
      <c r="F164" s="4" t="s">
        <v>25</v>
      </c>
      <c r="G164" s="4" t="s">
        <v>25</v>
      </c>
      <c r="H164" s="4" t="s">
        <v>34</v>
      </c>
      <c r="I164" s="5">
        <v>44440</v>
      </c>
      <c r="J164" s="6">
        <v>0</v>
      </c>
      <c r="K164" s="6">
        <v>0</v>
      </c>
      <c r="L164" s="6">
        <v>1.5349999999999999</v>
      </c>
      <c r="M164" s="6">
        <v>1.5349999999999999</v>
      </c>
      <c r="N164" s="6">
        <v>1.5349999999999999</v>
      </c>
      <c r="O164" s="6">
        <v>1.5349999999999999</v>
      </c>
      <c r="P164" s="6">
        <v>0</v>
      </c>
      <c r="Q164" s="4" t="s">
        <v>26</v>
      </c>
      <c r="R164" s="4">
        <v>0</v>
      </c>
      <c r="S164" s="4" t="s">
        <v>84</v>
      </c>
      <c r="T164" s="4" t="s">
        <v>277</v>
      </c>
      <c r="U164" s="4">
        <v>0</v>
      </c>
      <c r="V164" s="4">
        <v>23</v>
      </c>
      <c r="W164" s="4">
        <v>25</v>
      </c>
    </row>
    <row r="165" spans="1:23" ht="11.25" customHeight="1" x14ac:dyDescent="0.3">
      <c r="A165" s="4" t="s">
        <v>28</v>
      </c>
      <c r="B165" s="4" t="s">
        <v>39</v>
      </c>
      <c r="C165" s="4" t="s">
        <v>40</v>
      </c>
      <c r="D165" s="4" t="s">
        <v>38</v>
      </c>
      <c r="E165" s="4" t="s">
        <v>25</v>
      </c>
      <c r="F165" s="4" t="s">
        <v>25</v>
      </c>
      <c r="G165" s="4" t="s">
        <v>25</v>
      </c>
      <c r="H165" s="4" t="s">
        <v>34</v>
      </c>
      <c r="I165" s="5">
        <v>44440</v>
      </c>
      <c r="J165" s="6">
        <v>0</v>
      </c>
      <c r="K165" s="6">
        <v>0</v>
      </c>
      <c r="L165" s="6">
        <v>1.78</v>
      </c>
      <c r="M165" s="6">
        <v>1.78</v>
      </c>
      <c r="N165" s="6">
        <v>1.78</v>
      </c>
      <c r="O165" s="6">
        <v>1.78</v>
      </c>
      <c r="P165" s="6">
        <v>0</v>
      </c>
      <c r="Q165" s="4" t="s">
        <v>26</v>
      </c>
      <c r="R165" s="4">
        <v>0</v>
      </c>
      <c r="S165" s="4" t="s">
        <v>84</v>
      </c>
      <c r="T165" s="4" t="s">
        <v>277</v>
      </c>
      <c r="U165" s="4">
        <v>0</v>
      </c>
      <c r="V165" s="4">
        <v>23</v>
      </c>
      <c r="W165" s="4">
        <v>25</v>
      </c>
    </row>
    <row r="166" spans="1:23" ht="11.25" customHeight="1" x14ac:dyDescent="0.3">
      <c r="A166" s="4" t="s">
        <v>21</v>
      </c>
      <c r="B166" s="4" t="s">
        <v>39</v>
      </c>
      <c r="C166" s="4" t="s">
        <v>40</v>
      </c>
      <c r="D166" s="4" t="s">
        <v>38</v>
      </c>
      <c r="E166" s="4" t="s">
        <v>25</v>
      </c>
      <c r="F166" s="4" t="s">
        <v>25</v>
      </c>
      <c r="G166" s="4" t="s">
        <v>25</v>
      </c>
      <c r="H166" s="4" t="s">
        <v>34</v>
      </c>
      <c r="I166" s="5">
        <v>44470</v>
      </c>
      <c r="J166" s="6">
        <v>0</v>
      </c>
      <c r="K166" s="6">
        <v>0</v>
      </c>
      <c r="L166" s="6">
        <v>1.2450000000000001</v>
      </c>
      <c r="M166" s="6">
        <v>1.2450000000000001</v>
      </c>
      <c r="N166" s="6">
        <v>1.2450000000000001</v>
      </c>
      <c r="O166" s="6">
        <v>1.2450000000000001</v>
      </c>
      <c r="P166" s="6">
        <v>0</v>
      </c>
      <c r="Q166" s="4" t="s">
        <v>26</v>
      </c>
      <c r="R166" s="4">
        <v>0</v>
      </c>
      <c r="S166" s="4" t="s">
        <v>85</v>
      </c>
      <c r="T166" s="4" t="s">
        <v>278</v>
      </c>
      <c r="U166" s="4">
        <v>0</v>
      </c>
      <c r="V166" s="4">
        <v>23</v>
      </c>
      <c r="W166" s="4">
        <v>25</v>
      </c>
    </row>
    <row r="167" spans="1:23" ht="11.25" customHeight="1" x14ac:dyDescent="0.3">
      <c r="A167" s="4" t="s">
        <v>28</v>
      </c>
      <c r="B167" s="4" t="s">
        <v>39</v>
      </c>
      <c r="C167" s="4" t="s">
        <v>40</v>
      </c>
      <c r="D167" s="4" t="s">
        <v>38</v>
      </c>
      <c r="E167" s="4" t="s">
        <v>25</v>
      </c>
      <c r="F167" s="4" t="s">
        <v>25</v>
      </c>
      <c r="G167" s="4" t="s">
        <v>25</v>
      </c>
      <c r="H167" s="4" t="s">
        <v>34</v>
      </c>
      <c r="I167" s="5">
        <v>44470</v>
      </c>
      <c r="J167" s="6">
        <v>0</v>
      </c>
      <c r="K167" s="6">
        <v>0</v>
      </c>
      <c r="L167" s="6">
        <v>1.3919999999999999</v>
      </c>
      <c r="M167" s="6">
        <v>1.3919999999999999</v>
      </c>
      <c r="N167" s="6">
        <v>1.3919999999999999</v>
      </c>
      <c r="O167" s="6">
        <v>1.3919999999999999</v>
      </c>
      <c r="P167" s="6">
        <v>0</v>
      </c>
      <c r="Q167" s="4" t="s">
        <v>26</v>
      </c>
      <c r="R167" s="4">
        <v>0</v>
      </c>
      <c r="S167" s="4" t="s">
        <v>85</v>
      </c>
      <c r="T167" s="4" t="s">
        <v>278</v>
      </c>
      <c r="U167" s="4">
        <v>0</v>
      </c>
      <c r="V167" s="4">
        <v>23</v>
      </c>
      <c r="W167" s="4">
        <v>25</v>
      </c>
    </row>
    <row r="168" spans="1:23" ht="11.25" customHeight="1" x14ac:dyDescent="0.3">
      <c r="A168" s="4" t="s">
        <v>21</v>
      </c>
      <c r="B168" s="4" t="s">
        <v>39</v>
      </c>
      <c r="C168" s="4" t="s">
        <v>40</v>
      </c>
      <c r="D168" s="4" t="s">
        <v>38</v>
      </c>
      <c r="E168" s="4" t="s">
        <v>25</v>
      </c>
      <c r="F168" s="4" t="s">
        <v>25</v>
      </c>
      <c r="G168" s="4" t="s">
        <v>25</v>
      </c>
      <c r="H168" s="4" t="s">
        <v>34</v>
      </c>
      <c r="I168" s="5">
        <v>44501</v>
      </c>
      <c r="J168" s="6">
        <v>0</v>
      </c>
      <c r="K168" s="6">
        <v>0</v>
      </c>
      <c r="L168" s="6">
        <v>1.1579999999999999</v>
      </c>
      <c r="M168" s="6">
        <v>1.1579999999999999</v>
      </c>
      <c r="N168" s="6">
        <v>1.1579999999999999</v>
      </c>
      <c r="O168" s="6">
        <v>1.1579999999999999</v>
      </c>
      <c r="P168" s="6">
        <v>0</v>
      </c>
      <c r="Q168" s="4" t="s">
        <v>26</v>
      </c>
      <c r="R168" s="4">
        <v>0</v>
      </c>
      <c r="S168" s="4" t="s">
        <v>86</v>
      </c>
      <c r="T168" s="4" t="s">
        <v>279</v>
      </c>
      <c r="U168" s="4">
        <v>0</v>
      </c>
      <c r="V168" s="4">
        <v>23</v>
      </c>
      <c r="W168" s="4">
        <v>25</v>
      </c>
    </row>
    <row r="169" spans="1:23" ht="11.25" customHeight="1" x14ac:dyDescent="0.3">
      <c r="A169" s="4" t="s">
        <v>21</v>
      </c>
      <c r="B169" s="4" t="s">
        <v>39</v>
      </c>
      <c r="C169" s="4" t="s">
        <v>40</v>
      </c>
      <c r="D169" s="4" t="s">
        <v>38</v>
      </c>
      <c r="E169" s="4" t="s">
        <v>25</v>
      </c>
      <c r="F169" s="4" t="s">
        <v>25</v>
      </c>
      <c r="G169" s="4" t="s">
        <v>25</v>
      </c>
      <c r="H169" s="4" t="s">
        <v>34</v>
      </c>
      <c r="I169" s="5">
        <v>44531</v>
      </c>
      <c r="J169" s="6">
        <v>0</v>
      </c>
      <c r="K169" s="6">
        <v>0</v>
      </c>
      <c r="L169" s="6">
        <v>1.2150000000000001</v>
      </c>
      <c r="M169" s="6">
        <v>1.2150000000000001</v>
      </c>
      <c r="N169" s="6">
        <v>1.2150000000000001</v>
      </c>
      <c r="O169" s="6">
        <v>1.2150000000000001</v>
      </c>
      <c r="P169" s="6">
        <v>0</v>
      </c>
      <c r="Q169" s="4" t="s">
        <v>26</v>
      </c>
      <c r="R169" s="4">
        <v>0</v>
      </c>
      <c r="S169" s="4" t="s">
        <v>87</v>
      </c>
      <c r="T169" s="4" t="s">
        <v>280</v>
      </c>
      <c r="U169" s="4">
        <v>0</v>
      </c>
      <c r="V169" s="4">
        <v>23</v>
      </c>
      <c r="W169" s="4">
        <v>25</v>
      </c>
    </row>
    <row r="170" spans="1:23" ht="11.25" customHeight="1" x14ac:dyDescent="0.3">
      <c r="A170" s="4" t="s">
        <v>21</v>
      </c>
      <c r="B170" s="4" t="s">
        <v>39</v>
      </c>
      <c r="C170" s="4" t="s">
        <v>40</v>
      </c>
      <c r="D170" s="4" t="s">
        <v>38</v>
      </c>
      <c r="E170" s="4" t="s">
        <v>25</v>
      </c>
      <c r="F170" s="4" t="s">
        <v>25</v>
      </c>
      <c r="G170" s="4" t="s">
        <v>25</v>
      </c>
      <c r="H170" s="4" t="s">
        <v>34</v>
      </c>
      <c r="I170" s="5">
        <v>44562</v>
      </c>
      <c r="J170" s="6">
        <v>0</v>
      </c>
      <c r="K170" s="6">
        <v>0</v>
      </c>
      <c r="L170" s="6">
        <v>0.96599999999999997</v>
      </c>
      <c r="M170" s="6">
        <v>0.96599999999999997</v>
      </c>
      <c r="N170" s="6">
        <v>0.96599999999999997</v>
      </c>
      <c r="O170" s="6">
        <v>0.96599999999999997</v>
      </c>
      <c r="P170" s="6">
        <v>0</v>
      </c>
      <c r="Q170" s="4" t="s">
        <v>26</v>
      </c>
      <c r="R170" s="4">
        <v>0</v>
      </c>
      <c r="S170" s="4" t="s">
        <v>88</v>
      </c>
      <c r="T170" s="4" t="s">
        <v>281</v>
      </c>
      <c r="U170" s="4">
        <v>0</v>
      </c>
      <c r="V170" s="4">
        <v>23</v>
      </c>
      <c r="W170" s="4">
        <v>25</v>
      </c>
    </row>
    <row r="171" spans="1:23" ht="11.25" customHeight="1" x14ac:dyDescent="0.3">
      <c r="A171" s="4" t="s">
        <v>21</v>
      </c>
      <c r="B171" s="4" t="s">
        <v>39</v>
      </c>
      <c r="C171" s="4" t="s">
        <v>40</v>
      </c>
      <c r="D171" s="4" t="s">
        <v>38</v>
      </c>
      <c r="E171" s="4" t="s">
        <v>25</v>
      </c>
      <c r="F171" s="4" t="s">
        <v>25</v>
      </c>
      <c r="G171" s="4" t="s">
        <v>25</v>
      </c>
      <c r="H171" s="4" t="s">
        <v>34</v>
      </c>
      <c r="I171" s="5">
        <v>44593</v>
      </c>
      <c r="J171" s="6">
        <v>0</v>
      </c>
      <c r="K171" s="6">
        <v>0</v>
      </c>
      <c r="L171" s="6">
        <v>1.6419999999999999</v>
      </c>
      <c r="M171" s="6">
        <v>1.6419999999999999</v>
      </c>
      <c r="N171" s="6">
        <v>1.6419999999999999</v>
      </c>
      <c r="O171" s="6">
        <v>1.6419999999999999</v>
      </c>
      <c r="P171" s="6">
        <v>0</v>
      </c>
      <c r="Q171" s="4" t="s">
        <v>26</v>
      </c>
      <c r="R171" s="4">
        <v>0</v>
      </c>
      <c r="S171" s="4" t="s">
        <v>89</v>
      </c>
      <c r="T171" s="4" t="s">
        <v>282</v>
      </c>
      <c r="U171" s="4">
        <v>0</v>
      </c>
      <c r="V171" s="4">
        <v>23</v>
      </c>
      <c r="W171" s="4">
        <v>25</v>
      </c>
    </row>
    <row r="172" spans="1:23" ht="11.25" customHeight="1" x14ac:dyDescent="0.3">
      <c r="A172" s="4" t="s">
        <v>21</v>
      </c>
      <c r="B172" s="4" t="s">
        <v>39</v>
      </c>
      <c r="C172" s="4" t="s">
        <v>40</v>
      </c>
      <c r="D172" s="4" t="s">
        <v>38</v>
      </c>
      <c r="E172" s="4" t="s">
        <v>25</v>
      </c>
      <c r="F172" s="4" t="s">
        <v>25</v>
      </c>
      <c r="G172" s="4" t="s">
        <v>25</v>
      </c>
      <c r="H172" s="4" t="s">
        <v>34</v>
      </c>
      <c r="I172" s="5">
        <v>44621</v>
      </c>
      <c r="J172" s="6">
        <v>0</v>
      </c>
      <c r="K172" s="6">
        <v>0</v>
      </c>
      <c r="L172" s="6">
        <v>2.2719999999999998</v>
      </c>
      <c r="M172" s="6">
        <v>2.2719999999999998</v>
      </c>
      <c r="N172" s="6">
        <v>2.2719999999999998</v>
      </c>
      <c r="O172" s="6">
        <v>2.2719999999999998</v>
      </c>
      <c r="P172" s="6">
        <v>0</v>
      </c>
      <c r="Q172" s="4" t="s">
        <v>26</v>
      </c>
      <c r="R172" s="4">
        <v>0</v>
      </c>
      <c r="S172" s="4" t="s">
        <v>90</v>
      </c>
      <c r="T172" s="4" t="s">
        <v>283</v>
      </c>
      <c r="U172" s="4">
        <v>0</v>
      </c>
      <c r="V172" s="4">
        <v>23</v>
      </c>
      <c r="W172" s="4">
        <v>25</v>
      </c>
    </row>
    <row r="173" spans="1:23" ht="11.25" customHeight="1" x14ac:dyDescent="0.3">
      <c r="A173" s="4" t="s">
        <v>21</v>
      </c>
      <c r="B173" s="4" t="s">
        <v>39</v>
      </c>
      <c r="C173" s="4" t="s">
        <v>40</v>
      </c>
      <c r="D173" s="4" t="s">
        <v>38</v>
      </c>
      <c r="E173" s="4" t="s">
        <v>25</v>
      </c>
      <c r="F173" s="4" t="s">
        <v>25</v>
      </c>
      <c r="G173" s="4" t="s">
        <v>25</v>
      </c>
      <c r="H173" s="4" t="s">
        <v>34</v>
      </c>
      <c r="I173" s="5">
        <v>44652</v>
      </c>
      <c r="J173" s="6">
        <v>0</v>
      </c>
      <c r="K173" s="6">
        <v>0</v>
      </c>
      <c r="L173" s="6">
        <v>2.94</v>
      </c>
      <c r="M173" s="6">
        <v>2.94</v>
      </c>
      <c r="N173" s="6">
        <v>2.94</v>
      </c>
      <c r="O173" s="6">
        <v>2.94</v>
      </c>
      <c r="P173" s="6">
        <v>0</v>
      </c>
      <c r="Q173" s="4" t="s">
        <v>26</v>
      </c>
      <c r="R173" s="4">
        <v>0</v>
      </c>
      <c r="S173" s="4" t="s">
        <v>91</v>
      </c>
      <c r="T173" s="4" t="s">
        <v>284</v>
      </c>
      <c r="U173" s="4">
        <v>0</v>
      </c>
      <c r="V173" s="4">
        <v>23</v>
      </c>
      <c r="W173" s="4">
        <v>25</v>
      </c>
    </row>
    <row r="174" spans="1:23" ht="11.25" customHeight="1" x14ac:dyDescent="0.3">
      <c r="A174" s="4" t="s">
        <v>21</v>
      </c>
      <c r="B174" s="4" t="s">
        <v>39</v>
      </c>
      <c r="C174" s="4" t="s">
        <v>40</v>
      </c>
      <c r="D174" s="4" t="s">
        <v>38</v>
      </c>
      <c r="E174" s="4" t="s">
        <v>25</v>
      </c>
      <c r="F174" s="4" t="s">
        <v>25</v>
      </c>
      <c r="G174" s="4" t="s">
        <v>25</v>
      </c>
      <c r="H174" s="4" t="s">
        <v>34</v>
      </c>
      <c r="I174" s="5">
        <v>44682</v>
      </c>
      <c r="J174" s="6">
        <v>0</v>
      </c>
      <c r="K174" s="6">
        <v>0</v>
      </c>
      <c r="L174" s="6">
        <v>3.5430000000000001</v>
      </c>
      <c r="M174" s="6">
        <v>3.5430000000000001</v>
      </c>
      <c r="N174" s="6">
        <v>3.5430000000000001</v>
      </c>
      <c r="O174" s="6">
        <v>3.5430000000000001</v>
      </c>
      <c r="P174" s="6">
        <v>0</v>
      </c>
      <c r="Q174" s="4" t="s">
        <v>26</v>
      </c>
      <c r="R174" s="4">
        <v>0</v>
      </c>
      <c r="S174" s="4" t="s">
        <v>92</v>
      </c>
      <c r="T174" s="4" t="s">
        <v>285</v>
      </c>
      <c r="U174" s="4">
        <v>0</v>
      </c>
      <c r="V174" s="4">
        <v>23</v>
      </c>
      <c r="W174" s="4">
        <v>25</v>
      </c>
    </row>
    <row r="175" spans="1:23" ht="11.25" customHeight="1" x14ac:dyDescent="0.3">
      <c r="A175" s="4" t="s">
        <v>21</v>
      </c>
      <c r="B175" s="4" t="s">
        <v>39</v>
      </c>
      <c r="C175" s="4" t="s">
        <v>40</v>
      </c>
      <c r="D175" s="4" t="s">
        <v>38</v>
      </c>
      <c r="E175" s="4" t="s">
        <v>25</v>
      </c>
      <c r="F175" s="4" t="s">
        <v>25</v>
      </c>
      <c r="G175" s="4" t="s">
        <v>25</v>
      </c>
      <c r="H175" s="4" t="s">
        <v>34</v>
      </c>
      <c r="I175" s="5">
        <v>44713</v>
      </c>
      <c r="J175" s="6">
        <v>0</v>
      </c>
      <c r="K175" s="6">
        <v>0</v>
      </c>
      <c r="L175" s="6">
        <v>3.0579999999999998</v>
      </c>
      <c r="M175" s="6">
        <v>3.0579999999999998</v>
      </c>
      <c r="N175" s="6">
        <v>3.0579999999999998</v>
      </c>
      <c r="O175" s="6">
        <v>3.0579999999999998</v>
      </c>
      <c r="P175" s="6">
        <v>0</v>
      </c>
      <c r="Q175" s="4" t="s">
        <v>26</v>
      </c>
      <c r="R175" s="4">
        <v>0</v>
      </c>
      <c r="S175" s="4" t="s">
        <v>93</v>
      </c>
      <c r="T175" s="4" t="s">
        <v>286</v>
      </c>
      <c r="U175" s="4">
        <v>0</v>
      </c>
      <c r="V175" s="4">
        <v>23</v>
      </c>
      <c r="W175" s="4">
        <v>25</v>
      </c>
    </row>
    <row r="176" spans="1:23" ht="11.25" customHeight="1" x14ac:dyDescent="0.3">
      <c r="A176" s="4" t="s">
        <v>21</v>
      </c>
      <c r="B176" s="4" t="s">
        <v>39</v>
      </c>
      <c r="C176" s="4" t="s">
        <v>40</v>
      </c>
      <c r="D176" s="4" t="s">
        <v>38</v>
      </c>
      <c r="E176" s="4" t="s">
        <v>25</v>
      </c>
      <c r="F176" s="4" t="s">
        <v>25</v>
      </c>
      <c r="G176" s="4" t="s">
        <v>25</v>
      </c>
      <c r="H176" s="4" t="s">
        <v>34</v>
      </c>
      <c r="I176" s="5">
        <v>44743</v>
      </c>
      <c r="J176" s="6">
        <v>0</v>
      </c>
      <c r="K176" s="6">
        <v>0</v>
      </c>
      <c r="L176" s="6">
        <v>4.4470000000000001</v>
      </c>
      <c r="M176" s="6">
        <v>4.4470000000000001</v>
      </c>
      <c r="N176" s="6">
        <v>4.4470000000000001</v>
      </c>
      <c r="O176" s="6">
        <v>4.4470000000000001</v>
      </c>
      <c r="P176" s="6">
        <v>0</v>
      </c>
      <c r="Q176" s="4" t="s">
        <v>26</v>
      </c>
      <c r="R176" s="4">
        <v>0</v>
      </c>
      <c r="S176" s="4" t="s">
        <v>94</v>
      </c>
      <c r="T176" s="4" t="s">
        <v>287</v>
      </c>
      <c r="U176" s="4">
        <v>0</v>
      </c>
      <c r="V176" s="4">
        <v>23</v>
      </c>
      <c r="W176" s="4">
        <v>25</v>
      </c>
    </row>
    <row r="177" spans="1:23" ht="11.25" customHeight="1" x14ac:dyDescent="0.3">
      <c r="A177" s="4" t="s">
        <v>21</v>
      </c>
      <c r="B177" s="4" t="s">
        <v>39</v>
      </c>
      <c r="C177" s="4" t="s">
        <v>40</v>
      </c>
      <c r="D177" s="4" t="s">
        <v>38</v>
      </c>
      <c r="E177" s="4" t="s">
        <v>25</v>
      </c>
      <c r="F177" s="4" t="s">
        <v>25</v>
      </c>
      <c r="G177" s="4" t="s">
        <v>25</v>
      </c>
      <c r="H177" s="4" t="s">
        <v>34</v>
      </c>
      <c r="I177" s="5">
        <v>44774</v>
      </c>
      <c r="J177" s="6">
        <v>0</v>
      </c>
      <c r="K177" s="6">
        <v>0</v>
      </c>
      <c r="L177" s="6">
        <v>3.3540000000000001</v>
      </c>
      <c r="M177" s="6">
        <v>3.3540000000000001</v>
      </c>
      <c r="N177" s="6">
        <v>3.3540000000000001</v>
      </c>
      <c r="O177" s="6">
        <v>3.3540000000000001</v>
      </c>
      <c r="P177" s="6">
        <v>0</v>
      </c>
      <c r="Q177" s="4" t="s">
        <v>26</v>
      </c>
      <c r="R177" s="4">
        <v>0</v>
      </c>
      <c r="S177" s="4" t="s">
        <v>95</v>
      </c>
      <c r="T177" s="4" t="s">
        <v>288</v>
      </c>
      <c r="U177" s="4">
        <v>0</v>
      </c>
      <c r="V177" s="4">
        <v>23</v>
      </c>
      <c r="W177" s="4">
        <v>25</v>
      </c>
    </row>
    <row r="178" spans="1:23" ht="11.25" customHeight="1" x14ac:dyDescent="0.3">
      <c r="A178" s="4" t="s">
        <v>28</v>
      </c>
      <c r="B178" s="4" t="s">
        <v>39</v>
      </c>
      <c r="C178" s="4" t="s">
        <v>40</v>
      </c>
      <c r="D178" s="4" t="s">
        <v>38</v>
      </c>
      <c r="E178" s="4" t="s">
        <v>25</v>
      </c>
      <c r="F178" s="4" t="s">
        <v>25</v>
      </c>
      <c r="G178" s="4" t="s">
        <v>25</v>
      </c>
      <c r="H178" s="4" t="s">
        <v>34</v>
      </c>
      <c r="I178" s="5">
        <v>44774</v>
      </c>
      <c r="J178" s="6">
        <v>0</v>
      </c>
      <c r="K178" s="6">
        <v>0</v>
      </c>
      <c r="L178" s="6">
        <v>0.98399999999999999</v>
      </c>
      <c r="M178" s="6">
        <v>0.98399999999999999</v>
      </c>
      <c r="N178" s="6">
        <v>0.98399999999999999</v>
      </c>
      <c r="O178" s="6">
        <v>0.98399999999999999</v>
      </c>
      <c r="P178" s="6">
        <v>0</v>
      </c>
      <c r="Q178" s="4" t="s">
        <v>26</v>
      </c>
      <c r="R178" s="4">
        <v>0</v>
      </c>
      <c r="S178" s="4" t="s">
        <v>95</v>
      </c>
      <c r="T178" s="4" t="s">
        <v>288</v>
      </c>
      <c r="U178" s="4">
        <v>0</v>
      </c>
      <c r="V178" s="4">
        <v>23</v>
      </c>
      <c r="W178" s="4">
        <v>25</v>
      </c>
    </row>
    <row r="179" spans="1:23" ht="11.25" customHeight="1" x14ac:dyDescent="0.3">
      <c r="A179" s="4" t="s">
        <v>21</v>
      </c>
      <c r="B179" s="4" t="s">
        <v>39</v>
      </c>
      <c r="C179" s="4" t="s">
        <v>40</v>
      </c>
      <c r="D179" s="4" t="s">
        <v>43</v>
      </c>
      <c r="E179" s="4" t="s">
        <v>25</v>
      </c>
      <c r="F179" s="4" t="s">
        <v>25</v>
      </c>
      <c r="G179" s="4" t="s">
        <v>25</v>
      </c>
      <c r="H179" s="4" t="s">
        <v>35</v>
      </c>
      <c r="I179" s="5">
        <v>44440</v>
      </c>
      <c r="J179" s="6">
        <v>0</v>
      </c>
      <c r="K179" s="6">
        <v>0</v>
      </c>
      <c r="L179" s="6">
        <v>1.2929999999999999</v>
      </c>
      <c r="M179" s="6">
        <v>1.2412799999999999</v>
      </c>
      <c r="N179" s="6">
        <v>1.2929999999999999</v>
      </c>
      <c r="O179" s="6">
        <v>1.2412799999999999</v>
      </c>
      <c r="P179" s="6">
        <v>0</v>
      </c>
      <c r="Q179" s="4" t="s">
        <v>26</v>
      </c>
      <c r="R179" s="4">
        <v>0</v>
      </c>
      <c r="S179" s="4" t="s">
        <v>60</v>
      </c>
      <c r="T179" s="4" t="s">
        <v>265</v>
      </c>
      <c r="U179" s="4">
        <v>0</v>
      </c>
      <c r="V179" s="4">
        <v>6</v>
      </c>
      <c r="W179" s="4">
        <v>50</v>
      </c>
    </row>
    <row r="180" spans="1:23" ht="11.25" customHeight="1" x14ac:dyDescent="0.3">
      <c r="A180" s="4" t="s">
        <v>21</v>
      </c>
      <c r="B180" s="4" t="s">
        <v>39</v>
      </c>
      <c r="C180" s="4" t="s">
        <v>40</v>
      </c>
      <c r="D180" s="4" t="s">
        <v>43</v>
      </c>
      <c r="E180" s="4" t="s">
        <v>25</v>
      </c>
      <c r="F180" s="4" t="s">
        <v>25</v>
      </c>
      <c r="G180" s="4" t="s">
        <v>25</v>
      </c>
      <c r="H180" s="4" t="s">
        <v>35</v>
      </c>
      <c r="I180" s="5">
        <v>44470</v>
      </c>
      <c r="J180" s="6">
        <v>0</v>
      </c>
      <c r="K180" s="6">
        <v>0</v>
      </c>
      <c r="L180" s="6">
        <v>1.663</v>
      </c>
      <c r="M180" s="6">
        <v>1.5964799999999999</v>
      </c>
      <c r="N180" s="6">
        <v>1.663</v>
      </c>
      <c r="O180" s="6">
        <v>1.5964799999999999</v>
      </c>
      <c r="P180" s="6">
        <v>0</v>
      </c>
      <c r="Q180" s="4" t="s">
        <v>26</v>
      </c>
      <c r="R180" s="4">
        <v>0</v>
      </c>
      <c r="S180" s="4" t="s">
        <v>61</v>
      </c>
      <c r="T180" s="4" t="s">
        <v>266</v>
      </c>
      <c r="U180" s="4">
        <v>0</v>
      </c>
      <c r="V180" s="4">
        <v>6</v>
      </c>
      <c r="W180" s="4">
        <v>50</v>
      </c>
    </row>
    <row r="181" spans="1:23" ht="11.25" customHeight="1" x14ac:dyDescent="0.3">
      <c r="A181" s="4" t="s">
        <v>21</v>
      </c>
      <c r="B181" s="4" t="s">
        <v>39</v>
      </c>
      <c r="C181" s="4" t="s">
        <v>40</v>
      </c>
      <c r="D181" s="4" t="s">
        <v>43</v>
      </c>
      <c r="E181" s="4" t="s">
        <v>25</v>
      </c>
      <c r="F181" s="4" t="s">
        <v>25</v>
      </c>
      <c r="G181" s="4" t="s">
        <v>25</v>
      </c>
      <c r="H181" s="4" t="s">
        <v>35</v>
      </c>
      <c r="I181" s="5">
        <v>44501</v>
      </c>
      <c r="J181" s="6">
        <v>0</v>
      </c>
      <c r="K181" s="6">
        <v>0</v>
      </c>
      <c r="L181" s="6">
        <v>2.8610000000000002</v>
      </c>
      <c r="M181" s="6">
        <v>2.7465600000000001</v>
      </c>
      <c r="N181" s="6">
        <v>2.8610000000000002</v>
      </c>
      <c r="O181" s="6">
        <v>2.7465600000000001</v>
      </c>
      <c r="P181" s="6">
        <v>0</v>
      </c>
      <c r="Q181" s="4" t="s">
        <v>26</v>
      </c>
      <c r="R181" s="4">
        <v>0</v>
      </c>
      <c r="S181" s="4" t="s">
        <v>62</v>
      </c>
      <c r="T181" s="4" t="s">
        <v>267</v>
      </c>
      <c r="U181" s="4">
        <v>0</v>
      </c>
      <c r="V181" s="4">
        <v>6</v>
      </c>
      <c r="W181" s="4">
        <v>50</v>
      </c>
    </row>
    <row r="182" spans="1:23" ht="11.25" customHeight="1" x14ac:dyDescent="0.3">
      <c r="A182" s="4" t="s">
        <v>21</v>
      </c>
      <c r="B182" s="4" t="s">
        <v>39</v>
      </c>
      <c r="C182" s="4" t="s">
        <v>40</v>
      </c>
      <c r="D182" s="4" t="s">
        <v>43</v>
      </c>
      <c r="E182" s="4" t="s">
        <v>25</v>
      </c>
      <c r="F182" s="4" t="s">
        <v>25</v>
      </c>
      <c r="G182" s="4" t="s">
        <v>25</v>
      </c>
      <c r="H182" s="4" t="s">
        <v>35</v>
      </c>
      <c r="I182" s="5">
        <v>44531</v>
      </c>
      <c r="J182" s="6">
        <v>0</v>
      </c>
      <c r="K182" s="6">
        <v>0</v>
      </c>
      <c r="L182" s="6">
        <v>1.603</v>
      </c>
      <c r="M182" s="6">
        <v>1.53888</v>
      </c>
      <c r="N182" s="6">
        <v>1.603</v>
      </c>
      <c r="O182" s="6">
        <v>1.53888</v>
      </c>
      <c r="P182" s="6">
        <v>0</v>
      </c>
      <c r="Q182" s="4" t="s">
        <v>26</v>
      </c>
      <c r="R182" s="4">
        <v>0</v>
      </c>
      <c r="S182" s="4" t="s">
        <v>63</v>
      </c>
      <c r="T182" s="4" t="s">
        <v>268</v>
      </c>
      <c r="U182" s="4">
        <v>0</v>
      </c>
      <c r="V182" s="4">
        <v>6</v>
      </c>
      <c r="W182" s="4">
        <v>50</v>
      </c>
    </row>
    <row r="183" spans="1:23" ht="11.25" customHeight="1" x14ac:dyDescent="0.3">
      <c r="A183" s="4" t="s">
        <v>21</v>
      </c>
      <c r="B183" s="4" t="s">
        <v>39</v>
      </c>
      <c r="C183" s="4" t="s">
        <v>40</v>
      </c>
      <c r="D183" s="4" t="s">
        <v>43</v>
      </c>
      <c r="E183" s="4" t="s">
        <v>25</v>
      </c>
      <c r="F183" s="4" t="s">
        <v>25</v>
      </c>
      <c r="G183" s="4" t="s">
        <v>25</v>
      </c>
      <c r="H183" s="4" t="s">
        <v>35</v>
      </c>
      <c r="I183" s="5">
        <v>44562</v>
      </c>
      <c r="J183" s="6">
        <v>0</v>
      </c>
      <c r="K183" s="6">
        <v>0</v>
      </c>
      <c r="L183" s="6">
        <v>3.4369999999999998</v>
      </c>
      <c r="M183" s="6">
        <v>3.2995199999999998</v>
      </c>
      <c r="N183" s="6">
        <v>3.4369999999999998</v>
      </c>
      <c r="O183" s="6">
        <v>3.2995199999999998</v>
      </c>
      <c r="P183" s="6">
        <v>0</v>
      </c>
      <c r="Q183" s="4" t="s">
        <v>26</v>
      </c>
      <c r="R183" s="4">
        <v>0</v>
      </c>
      <c r="S183" s="4" t="s">
        <v>64</v>
      </c>
      <c r="T183" s="4" t="s">
        <v>269</v>
      </c>
      <c r="U183" s="4">
        <v>0</v>
      </c>
      <c r="V183" s="4">
        <v>6</v>
      </c>
      <c r="W183" s="4">
        <v>50</v>
      </c>
    </row>
    <row r="184" spans="1:23" ht="11.25" customHeight="1" x14ac:dyDescent="0.3">
      <c r="A184" s="4" t="s">
        <v>21</v>
      </c>
      <c r="B184" s="4" t="s">
        <v>39</v>
      </c>
      <c r="C184" s="4" t="s">
        <v>40</v>
      </c>
      <c r="D184" s="4" t="s">
        <v>43</v>
      </c>
      <c r="E184" s="4" t="s">
        <v>25</v>
      </c>
      <c r="F184" s="4" t="s">
        <v>25</v>
      </c>
      <c r="G184" s="4" t="s">
        <v>25</v>
      </c>
      <c r="H184" s="4" t="s">
        <v>35</v>
      </c>
      <c r="I184" s="5">
        <v>44593</v>
      </c>
      <c r="J184" s="6">
        <v>0</v>
      </c>
      <c r="K184" s="6">
        <v>0</v>
      </c>
      <c r="L184" s="6">
        <v>29.199000000000002</v>
      </c>
      <c r="M184" s="6">
        <v>28.031040000000001</v>
      </c>
      <c r="N184" s="6">
        <v>29.199000000000002</v>
      </c>
      <c r="O184" s="6">
        <v>28.031040000000001</v>
      </c>
      <c r="P184" s="6">
        <v>0</v>
      </c>
      <c r="Q184" s="4" t="s">
        <v>26</v>
      </c>
      <c r="R184" s="4">
        <v>0</v>
      </c>
      <c r="S184" s="4" t="s">
        <v>65</v>
      </c>
      <c r="T184" s="4" t="s">
        <v>270</v>
      </c>
      <c r="U184" s="4">
        <v>0</v>
      </c>
      <c r="V184" s="4">
        <v>6</v>
      </c>
      <c r="W184" s="4">
        <v>50</v>
      </c>
    </row>
    <row r="185" spans="1:23" ht="11.25" customHeight="1" x14ac:dyDescent="0.3">
      <c r="A185" s="4" t="s">
        <v>21</v>
      </c>
      <c r="B185" s="4" t="s">
        <v>39</v>
      </c>
      <c r="C185" s="4" t="s">
        <v>40</v>
      </c>
      <c r="D185" s="4" t="s">
        <v>43</v>
      </c>
      <c r="E185" s="4" t="s">
        <v>25</v>
      </c>
      <c r="F185" s="4" t="s">
        <v>25</v>
      </c>
      <c r="G185" s="4" t="s">
        <v>25</v>
      </c>
      <c r="H185" s="4" t="s">
        <v>35</v>
      </c>
      <c r="I185" s="5">
        <v>44621</v>
      </c>
      <c r="J185" s="6">
        <v>0</v>
      </c>
      <c r="K185" s="6">
        <v>0</v>
      </c>
      <c r="L185" s="6">
        <v>53.161000000000001</v>
      </c>
      <c r="M185" s="6">
        <v>51.034559999999999</v>
      </c>
      <c r="N185" s="6">
        <v>53.161000000000001</v>
      </c>
      <c r="O185" s="6">
        <v>51.034559999999999</v>
      </c>
      <c r="P185" s="6">
        <v>0</v>
      </c>
      <c r="Q185" s="4" t="s">
        <v>26</v>
      </c>
      <c r="R185" s="4">
        <v>0</v>
      </c>
      <c r="S185" s="4" t="s">
        <v>66</v>
      </c>
      <c r="T185" s="4" t="s">
        <v>271</v>
      </c>
      <c r="U185" s="4">
        <v>0</v>
      </c>
      <c r="V185" s="4">
        <v>6</v>
      </c>
      <c r="W185" s="4">
        <v>50</v>
      </c>
    </row>
    <row r="186" spans="1:23" ht="11.25" customHeight="1" x14ac:dyDescent="0.3">
      <c r="A186" s="4" t="s">
        <v>21</v>
      </c>
      <c r="B186" s="4" t="s">
        <v>39</v>
      </c>
      <c r="C186" s="4" t="s">
        <v>40</v>
      </c>
      <c r="D186" s="4" t="s">
        <v>43</v>
      </c>
      <c r="E186" s="4" t="s">
        <v>25</v>
      </c>
      <c r="F186" s="4" t="s">
        <v>25</v>
      </c>
      <c r="G186" s="4" t="s">
        <v>25</v>
      </c>
      <c r="H186" s="4" t="s">
        <v>35</v>
      </c>
      <c r="I186" s="5">
        <v>44652</v>
      </c>
      <c r="J186" s="6">
        <v>0</v>
      </c>
      <c r="K186" s="6">
        <v>0</v>
      </c>
      <c r="L186" s="6">
        <v>40.383000000000003</v>
      </c>
      <c r="M186" s="6">
        <v>38.767679999999999</v>
      </c>
      <c r="N186" s="6">
        <v>40.383000000000003</v>
      </c>
      <c r="O186" s="6">
        <v>38.767679999999999</v>
      </c>
      <c r="P186" s="6">
        <v>0</v>
      </c>
      <c r="Q186" s="4" t="s">
        <v>26</v>
      </c>
      <c r="R186" s="4">
        <v>0</v>
      </c>
      <c r="S186" s="4" t="s">
        <v>67</v>
      </c>
      <c r="T186" s="4" t="s">
        <v>272</v>
      </c>
      <c r="U186" s="4">
        <v>0</v>
      </c>
      <c r="V186" s="4">
        <v>6</v>
      </c>
      <c r="W186" s="4">
        <v>50</v>
      </c>
    </row>
    <row r="187" spans="1:23" ht="11.25" customHeight="1" x14ac:dyDescent="0.3">
      <c r="A187" s="4" t="s">
        <v>21</v>
      </c>
      <c r="B187" s="4" t="s">
        <v>39</v>
      </c>
      <c r="C187" s="4" t="s">
        <v>40</v>
      </c>
      <c r="D187" s="4" t="s">
        <v>43</v>
      </c>
      <c r="E187" s="4" t="s">
        <v>25</v>
      </c>
      <c r="F187" s="4" t="s">
        <v>25</v>
      </c>
      <c r="G187" s="4" t="s">
        <v>25</v>
      </c>
      <c r="H187" s="4" t="s">
        <v>35</v>
      </c>
      <c r="I187" s="5">
        <v>44682</v>
      </c>
      <c r="J187" s="6">
        <v>0</v>
      </c>
      <c r="K187" s="6">
        <v>0</v>
      </c>
      <c r="L187" s="6">
        <v>24.954999999999998</v>
      </c>
      <c r="M187" s="6">
        <v>23.956800000000001</v>
      </c>
      <c r="N187" s="6">
        <v>24.954999999999998</v>
      </c>
      <c r="O187" s="6">
        <v>23.956800000000001</v>
      </c>
      <c r="P187" s="6">
        <v>0</v>
      </c>
      <c r="Q187" s="4" t="s">
        <v>26</v>
      </c>
      <c r="R187" s="4">
        <v>0</v>
      </c>
      <c r="S187" s="4" t="s">
        <v>68</v>
      </c>
      <c r="T187" s="4" t="s">
        <v>273</v>
      </c>
      <c r="U187" s="4">
        <v>0</v>
      </c>
      <c r="V187" s="4">
        <v>6</v>
      </c>
      <c r="W187" s="4">
        <v>50</v>
      </c>
    </row>
    <row r="188" spans="1:23" ht="11.25" customHeight="1" x14ac:dyDescent="0.3">
      <c r="A188" s="4" t="s">
        <v>21</v>
      </c>
      <c r="B188" s="4" t="s">
        <v>39</v>
      </c>
      <c r="C188" s="4" t="s">
        <v>40</v>
      </c>
      <c r="D188" s="4" t="s">
        <v>43</v>
      </c>
      <c r="E188" s="4" t="s">
        <v>25</v>
      </c>
      <c r="F188" s="4" t="s">
        <v>25</v>
      </c>
      <c r="G188" s="4" t="s">
        <v>25</v>
      </c>
      <c r="H188" s="4" t="s">
        <v>35</v>
      </c>
      <c r="I188" s="5">
        <v>44713</v>
      </c>
      <c r="J188" s="6">
        <v>0</v>
      </c>
      <c r="K188" s="6">
        <v>0</v>
      </c>
      <c r="L188" s="6">
        <v>8.3390000000000004</v>
      </c>
      <c r="M188" s="6">
        <v>8.0054400000000001</v>
      </c>
      <c r="N188" s="6">
        <v>8.3390000000000004</v>
      </c>
      <c r="O188" s="6">
        <v>8.0054400000000001</v>
      </c>
      <c r="P188" s="6">
        <v>0</v>
      </c>
      <c r="Q188" s="4" t="s">
        <v>26</v>
      </c>
      <c r="R188" s="4">
        <v>0</v>
      </c>
      <c r="S188" s="4" t="s">
        <v>69</v>
      </c>
      <c r="T188" s="4" t="s">
        <v>274</v>
      </c>
      <c r="U188" s="4">
        <v>0</v>
      </c>
      <c r="V188" s="4">
        <v>6</v>
      </c>
      <c r="W188" s="4">
        <v>50</v>
      </c>
    </row>
    <row r="189" spans="1:23" ht="11.25" customHeight="1" x14ac:dyDescent="0.3">
      <c r="A189" s="4" t="s">
        <v>21</v>
      </c>
      <c r="B189" s="4" t="s">
        <v>39</v>
      </c>
      <c r="C189" s="4" t="s">
        <v>40</v>
      </c>
      <c r="D189" s="4" t="s">
        <v>43</v>
      </c>
      <c r="E189" s="4" t="s">
        <v>25</v>
      </c>
      <c r="F189" s="4" t="s">
        <v>25</v>
      </c>
      <c r="G189" s="4" t="s">
        <v>25</v>
      </c>
      <c r="H189" s="4" t="s">
        <v>35</v>
      </c>
      <c r="I189" s="5">
        <v>44743</v>
      </c>
      <c r="J189" s="6">
        <v>0</v>
      </c>
      <c r="K189" s="6">
        <v>0</v>
      </c>
      <c r="L189" s="6">
        <v>0.99399999999999999</v>
      </c>
      <c r="M189" s="6">
        <v>0.95423999999999998</v>
      </c>
      <c r="N189" s="6">
        <v>0.99399999999999999</v>
      </c>
      <c r="O189" s="6">
        <v>0.95423999999999998</v>
      </c>
      <c r="P189" s="6">
        <v>0</v>
      </c>
      <c r="Q189" s="4" t="s">
        <v>26</v>
      </c>
      <c r="R189" s="4">
        <v>0</v>
      </c>
      <c r="S189" s="4" t="s">
        <v>70</v>
      </c>
      <c r="T189" s="4" t="s">
        <v>275</v>
      </c>
      <c r="U189" s="4">
        <v>0</v>
      </c>
      <c r="V189" s="4">
        <v>6</v>
      </c>
      <c r="W189" s="4">
        <v>50</v>
      </c>
    </row>
    <row r="190" spans="1:23" ht="11.25" customHeight="1" x14ac:dyDescent="0.3">
      <c r="A190" s="4" t="s">
        <v>21</v>
      </c>
      <c r="B190" s="4" t="s">
        <v>39</v>
      </c>
      <c r="C190" s="4" t="s">
        <v>40</v>
      </c>
      <c r="D190" s="4" t="s">
        <v>43</v>
      </c>
      <c r="E190" s="4" t="s">
        <v>25</v>
      </c>
      <c r="F190" s="4" t="s">
        <v>25</v>
      </c>
      <c r="G190" s="4" t="s">
        <v>25</v>
      </c>
      <c r="H190" s="4" t="s">
        <v>35</v>
      </c>
      <c r="I190" s="5">
        <v>44774</v>
      </c>
      <c r="J190" s="6">
        <v>0</v>
      </c>
      <c r="K190" s="6">
        <v>0</v>
      </c>
      <c r="L190" s="6">
        <v>3.0830000000000002</v>
      </c>
      <c r="M190" s="6">
        <v>2.9596800000000001</v>
      </c>
      <c r="N190" s="6">
        <v>3.0830000000000002</v>
      </c>
      <c r="O190" s="6">
        <v>2.9596800000000001</v>
      </c>
      <c r="P190" s="6">
        <v>0</v>
      </c>
      <c r="Q190" s="4" t="s">
        <v>26</v>
      </c>
      <c r="R190" s="4">
        <v>0</v>
      </c>
      <c r="S190" s="4" t="s">
        <v>71</v>
      </c>
      <c r="T190" s="4" t="s">
        <v>276</v>
      </c>
      <c r="U190" s="4">
        <v>0</v>
      </c>
      <c r="V190" s="4">
        <v>6</v>
      </c>
      <c r="W190" s="4">
        <v>50</v>
      </c>
    </row>
    <row r="191" spans="1:23" ht="11.25" customHeight="1" x14ac:dyDescent="0.3">
      <c r="A191" s="4" t="s">
        <v>21</v>
      </c>
      <c r="B191" s="4" t="s">
        <v>39</v>
      </c>
      <c r="C191" s="4" t="s">
        <v>40</v>
      </c>
      <c r="D191" s="4" t="s">
        <v>43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44440</v>
      </c>
      <c r="J191" s="6">
        <v>21</v>
      </c>
      <c r="K191" s="6">
        <v>20.16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4" t="s">
        <v>26</v>
      </c>
      <c r="R191" s="4">
        <v>0</v>
      </c>
      <c r="S191" s="4" t="s">
        <v>72</v>
      </c>
      <c r="U191" s="4">
        <v>10</v>
      </c>
      <c r="V191" s="4">
        <v>0</v>
      </c>
      <c r="W191" s="4">
        <v>0</v>
      </c>
    </row>
    <row r="192" spans="1:23" ht="11.25" customHeight="1" x14ac:dyDescent="0.3">
      <c r="A192" s="4" t="s">
        <v>21</v>
      </c>
      <c r="B192" s="4" t="s">
        <v>39</v>
      </c>
      <c r="C192" s="4" t="s">
        <v>40</v>
      </c>
      <c r="D192" s="4" t="s">
        <v>43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44470</v>
      </c>
      <c r="J192" s="6">
        <v>62</v>
      </c>
      <c r="K192" s="6">
        <v>59.52</v>
      </c>
      <c r="L192" s="6">
        <v>0</v>
      </c>
      <c r="M192" s="6">
        <v>0</v>
      </c>
      <c r="N192" s="6">
        <v>0</v>
      </c>
      <c r="O192" s="6">
        <v>0</v>
      </c>
      <c r="P192" s="6">
        <v>1</v>
      </c>
      <c r="Q192" s="4" t="s">
        <v>26</v>
      </c>
      <c r="R192" s="4">
        <v>0</v>
      </c>
      <c r="S192" s="4" t="s">
        <v>73</v>
      </c>
      <c r="U192" s="4">
        <v>10</v>
      </c>
      <c r="V192" s="4">
        <v>0</v>
      </c>
      <c r="W192" s="4">
        <v>0</v>
      </c>
    </row>
    <row r="193" spans="1:23" ht="11.25" customHeight="1" x14ac:dyDescent="0.3">
      <c r="A193" s="4" t="s">
        <v>21</v>
      </c>
      <c r="B193" s="4" t="s">
        <v>39</v>
      </c>
      <c r="C193" s="4" t="s">
        <v>40</v>
      </c>
      <c r="D193" s="4" t="s">
        <v>43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44501</v>
      </c>
      <c r="J193" s="6">
        <v>63</v>
      </c>
      <c r="K193" s="6">
        <v>60.48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4" t="s">
        <v>26</v>
      </c>
      <c r="R193" s="4">
        <v>0</v>
      </c>
      <c r="S193" s="4" t="s">
        <v>74</v>
      </c>
      <c r="U193" s="4">
        <v>10</v>
      </c>
      <c r="V193" s="4">
        <v>0</v>
      </c>
      <c r="W193" s="4">
        <v>0</v>
      </c>
    </row>
    <row r="194" spans="1:23" ht="11.25" customHeight="1" x14ac:dyDescent="0.3">
      <c r="A194" s="4" t="s">
        <v>21</v>
      </c>
      <c r="B194" s="4" t="s">
        <v>39</v>
      </c>
      <c r="C194" s="4" t="s">
        <v>40</v>
      </c>
      <c r="D194" s="4" t="s">
        <v>43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44531</v>
      </c>
      <c r="J194" s="6">
        <v>44</v>
      </c>
      <c r="K194" s="6">
        <v>42.24</v>
      </c>
      <c r="L194" s="6">
        <v>0</v>
      </c>
      <c r="M194" s="6">
        <v>0</v>
      </c>
      <c r="N194" s="6">
        <v>0</v>
      </c>
      <c r="O194" s="6">
        <v>0</v>
      </c>
      <c r="P194" s="6">
        <v>1</v>
      </c>
      <c r="Q194" s="4" t="s">
        <v>26</v>
      </c>
      <c r="R194" s="4">
        <v>0</v>
      </c>
      <c r="S194" s="4" t="s">
        <v>75</v>
      </c>
      <c r="U194" s="4">
        <v>10</v>
      </c>
      <c r="V194" s="4">
        <v>0</v>
      </c>
      <c r="W194" s="4">
        <v>0</v>
      </c>
    </row>
    <row r="195" spans="1:23" ht="11.25" customHeight="1" x14ac:dyDescent="0.3">
      <c r="A195" s="4" t="s">
        <v>21</v>
      </c>
      <c r="B195" s="4" t="s">
        <v>39</v>
      </c>
      <c r="C195" s="4" t="s">
        <v>40</v>
      </c>
      <c r="D195" s="4" t="s">
        <v>43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44562</v>
      </c>
      <c r="J195" s="6">
        <v>99</v>
      </c>
      <c r="K195" s="6">
        <v>95.04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4" t="s">
        <v>26</v>
      </c>
      <c r="R195" s="4">
        <v>0</v>
      </c>
      <c r="S195" s="4" t="s">
        <v>76</v>
      </c>
      <c r="U195" s="4">
        <v>10</v>
      </c>
      <c r="V195" s="4">
        <v>0</v>
      </c>
      <c r="W195" s="4">
        <v>0</v>
      </c>
    </row>
    <row r="196" spans="1:23" ht="11.25" customHeight="1" x14ac:dyDescent="0.3">
      <c r="A196" s="4" t="s">
        <v>21</v>
      </c>
      <c r="B196" s="4" t="s">
        <v>39</v>
      </c>
      <c r="C196" s="4" t="s">
        <v>40</v>
      </c>
      <c r="D196" s="4" t="s">
        <v>43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44593</v>
      </c>
      <c r="J196" s="6">
        <v>190</v>
      </c>
      <c r="K196" s="6">
        <v>182.4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4" t="s">
        <v>26</v>
      </c>
      <c r="R196" s="4">
        <v>0</v>
      </c>
      <c r="S196" s="4" t="s">
        <v>77</v>
      </c>
      <c r="U196" s="4">
        <v>10</v>
      </c>
      <c r="V196" s="4">
        <v>0</v>
      </c>
      <c r="W196" s="4">
        <v>0</v>
      </c>
    </row>
    <row r="197" spans="1:23" ht="11.25" customHeight="1" x14ac:dyDescent="0.3">
      <c r="A197" s="4" t="s">
        <v>21</v>
      </c>
      <c r="B197" s="4" t="s">
        <v>39</v>
      </c>
      <c r="C197" s="4" t="s">
        <v>40</v>
      </c>
      <c r="D197" s="4" t="s">
        <v>43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44621</v>
      </c>
      <c r="J197" s="6">
        <v>204</v>
      </c>
      <c r="K197" s="6">
        <v>195.84</v>
      </c>
      <c r="L197" s="6">
        <v>0</v>
      </c>
      <c r="M197" s="6">
        <v>0</v>
      </c>
      <c r="N197" s="6">
        <v>0</v>
      </c>
      <c r="O197" s="6">
        <v>0</v>
      </c>
      <c r="P197" s="6">
        <v>1</v>
      </c>
      <c r="Q197" s="4" t="s">
        <v>26</v>
      </c>
      <c r="R197" s="4">
        <v>0</v>
      </c>
      <c r="S197" s="4" t="s">
        <v>78</v>
      </c>
      <c r="U197" s="4">
        <v>10</v>
      </c>
      <c r="V197" s="4">
        <v>0</v>
      </c>
      <c r="W197" s="4">
        <v>0</v>
      </c>
    </row>
    <row r="198" spans="1:23" ht="11.25" customHeight="1" x14ac:dyDescent="0.3">
      <c r="A198" s="4" t="s">
        <v>21</v>
      </c>
      <c r="B198" s="4" t="s">
        <v>39</v>
      </c>
      <c r="C198" s="4" t="s">
        <v>40</v>
      </c>
      <c r="D198" s="4" t="s">
        <v>43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44652</v>
      </c>
      <c r="J198" s="6">
        <v>198</v>
      </c>
      <c r="K198" s="6">
        <v>190.08</v>
      </c>
      <c r="L198" s="6">
        <v>0</v>
      </c>
      <c r="M198" s="6">
        <v>0</v>
      </c>
      <c r="N198" s="6">
        <v>0</v>
      </c>
      <c r="O198" s="6">
        <v>0</v>
      </c>
      <c r="P198" s="6">
        <v>1</v>
      </c>
      <c r="Q198" s="4" t="s">
        <v>26</v>
      </c>
      <c r="R198" s="4">
        <v>0</v>
      </c>
      <c r="S198" s="4" t="s">
        <v>79</v>
      </c>
      <c r="U198" s="4">
        <v>10</v>
      </c>
      <c r="V198" s="4">
        <v>0</v>
      </c>
      <c r="W198" s="4">
        <v>0</v>
      </c>
    </row>
    <row r="199" spans="1:23" ht="11.25" customHeight="1" x14ac:dyDescent="0.3">
      <c r="A199" s="4" t="s">
        <v>21</v>
      </c>
      <c r="B199" s="4" t="s">
        <v>39</v>
      </c>
      <c r="C199" s="4" t="s">
        <v>40</v>
      </c>
      <c r="D199" s="4" t="s">
        <v>43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44682</v>
      </c>
      <c r="J199" s="6">
        <v>193</v>
      </c>
      <c r="K199" s="6">
        <v>185.28</v>
      </c>
      <c r="L199" s="6">
        <v>0</v>
      </c>
      <c r="M199" s="6">
        <v>0</v>
      </c>
      <c r="N199" s="6">
        <v>0</v>
      </c>
      <c r="O199" s="6">
        <v>0</v>
      </c>
      <c r="P199" s="6">
        <v>1</v>
      </c>
      <c r="Q199" s="4" t="s">
        <v>26</v>
      </c>
      <c r="R199" s="4">
        <v>0</v>
      </c>
      <c r="S199" s="4" t="s">
        <v>80</v>
      </c>
      <c r="U199" s="4">
        <v>10</v>
      </c>
      <c r="V199" s="4">
        <v>0</v>
      </c>
      <c r="W199" s="4">
        <v>0</v>
      </c>
    </row>
    <row r="200" spans="1:23" ht="11.25" customHeight="1" x14ac:dyDescent="0.3">
      <c r="A200" s="4" t="s">
        <v>21</v>
      </c>
      <c r="B200" s="4" t="s">
        <v>39</v>
      </c>
      <c r="C200" s="4" t="s">
        <v>40</v>
      </c>
      <c r="D200" s="4" t="s">
        <v>43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44713</v>
      </c>
      <c r="J200" s="6">
        <v>196</v>
      </c>
      <c r="K200" s="6">
        <v>188.16</v>
      </c>
      <c r="L200" s="6">
        <v>0</v>
      </c>
      <c r="M200" s="6">
        <v>0</v>
      </c>
      <c r="N200" s="6">
        <v>0</v>
      </c>
      <c r="O200" s="6">
        <v>0</v>
      </c>
      <c r="P200" s="6">
        <v>1</v>
      </c>
      <c r="Q200" s="4" t="s">
        <v>26</v>
      </c>
      <c r="R200" s="4">
        <v>0</v>
      </c>
      <c r="S200" s="4" t="s">
        <v>81</v>
      </c>
      <c r="U200" s="4">
        <v>10</v>
      </c>
      <c r="V200" s="4">
        <v>0</v>
      </c>
      <c r="W200" s="4">
        <v>0</v>
      </c>
    </row>
    <row r="201" spans="1:23" ht="11.25" customHeight="1" x14ac:dyDescent="0.3">
      <c r="A201" s="4" t="s">
        <v>21</v>
      </c>
      <c r="B201" s="4" t="s">
        <v>39</v>
      </c>
      <c r="C201" s="4" t="s">
        <v>40</v>
      </c>
      <c r="D201" s="4" t="s">
        <v>43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44743</v>
      </c>
      <c r="J201" s="6">
        <v>20</v>
      </c>
      <c r="K201" s="6">
        <v>19.2</v>
      </c>
      <c r="L201" s="6">
        <v>0</v>
      </c>
      <c r="M201" s="6">
        <v>0</v>
      </c>
      <c r="N201" s="6">
        <v>0</v>
      </c>
      <c r="O201" s="6">
        <v>0</v>
      </c>
      <c r="P201" s="6">
        <v>1</v>
      </c>
      <c r="Q201" s="4" t="s">
        <v>26</v>
      </c>
      <c r="R201" s="4">
        <v>0</v>
      </c>
      <c r="S201" s="4" t="s">
        <v>82</v>
      </c>
      <c r="U201" s="4">
        <v>10</v>
      </c>
      <c r="V201" s="4">
        <v>0</v>
      </c>
      <c r="W201" s="4">
        <v>0</v>
      </c>
    </row>
    <row r="202" spans="1:23" ht="11.25" customHeight="1" x14ac:dyDescent="0.3">
      <c r="A202" s="4" t="s">
        <v>21</v>
      </c>
      <c r="B202" s="4" t="s">
        <v>39</v>
      </c>
      <c r="C202" s="4" t="s">
        <v>40</v>
      </c>
      <c r="D202" s="4" t="s">
        <v>43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44774</v>
      </c>
      <c r="J202" s="6">
        <v>198</v>
      </c>
      <c r="K202" s="6">
        <v>190.08</v>
      </c>
      <c r="L202" s="6">
        <v>0</v>
      </c>
      <c r="M202" s="6">
        <v>0</v>
      </c>
      <c r="N202" s="6">
        <v>0</v>
      </c>
      <c r="O202" s="6">
        <v>0</v>
      </c>
      <c r="P202" s="6">
        <v>1</v>
      </c>
      <c r="Q202" s="4" t="s">
        <v>26</v>
      </c>
      <c r="R202" s="4">
        <v>0</v>
      </c>
      <c r="S202" s="4" t="s">
        <v>83</v>
      </c>
      <c r="U202" s="4">
        <v>10</v>
      </c>
      <c r="V202" s="4">
        <v>0</v>
      </c>
      <c r="W202" s="4">
        <v>0</v>
      </c>
    </row>
    <row r="203" spans="1:23" ht="11.25" customHeight="1" x14ac:dyDescent="0.3">
      <c r="A203" s="4" t="s">
        <v>21</v>
      </c>
      <c r="B203" s="4" t="s">
        <v>39</v>
      </c>
      <c r="C203" s="4" t="s">
        <v>40</v>
      </c>
      <c r="D203" s="4" t="s">
        <v>43</v>
      </c>
      <c r="E203" s="4" t="s">
        <v>25</v>
      </c>
      <c r="F203" s="4" t="s">
        <v>25</v>
      </c>
      <c r="G203" s="4" t="s">
        <v>25</v>
      </c>
      <c r="H203" s="4" t="s">
        <v>34</v>
      </c>
      <c r="I203" s="5">
        <v>44440</v>
      </c>
      <c r="J203" s="6">
        <v>0</v>
      </c>
      <c r="K203" s="6">
        <v>0</v>
      </c>
      <c r="L203" s="6">
        <v>0.20100000000000001</v>
      </c>
      <c r="M203" s="6">
        <v>0.19295999999999999</v>
      </c>
      <c r="N203" s="6">
        <v>0.20100000000000001</v>
      </c>
      <c r="O203" s="6">
        <v>0.19295999999999999</v>
      </c>
      <c r="P203" s="6">
        <v>0</v>
      </c>
      <c r="Q203" s="4" t="s">
        <v>26</v>
      </c>
      <c r="R203" s="4">
        <v>0</v>
      </c>
      <c r="S203" s="4" t="s">
        <v>84</v>
      </c>
      <c r="T203" s="4" t="s">
        <v>277</v>
      </c>
      <c r="U203" s="4">
        <v>0</v>
      </c>
      <c r="V203" s="4">
        <v>23</v>
      </c>
      <c r="W203" s="4">
        <v>25</v>
      </c>
    </row>
    <row r="204" spans="1:23" ht="11.25" customHeight="1" x14ac:dyDescent="0.3">
      <c r="A204" s="4" t="s">
        <v>21</v>
      </c>
      <c r="B204" s="4" t="s">
        <v>39</v>
      </c>
      <c r="C204" s="4" t="s">
        <v>40</v>
      </c>
      <c r="D204" s="4" t="s">
        <v>43</v>
      </c>
      <c r="E204" s="4" t="s">
        <v>25</v>
      </c>
      <c r="F204" s="4" t="s">
        <v>25</v>
      </c>
      <c r="G204" s="4" t="s">
        <v>25</v>
      </c>
      <c r="H204" s="4" t="s">
        <v>34</v>
      </c>
      <c r="I204" s="5">
        <v>44470</v>
      </c>
      <c r="J204" s="6">
        <v>0</v>
      </c>
      <c r="K204" s="6">
        <v>0</v>
      </c>
      <c r="L204" s="6">
        <v>0.20799999999999999</v>
      </c>
      <c r="M204" s="6">
        <v>0.19968</v>
      </c>
      <c r="N204" s="6">
        <v>0.20799999999999999</v>
      </c>
      <c r="O204" s="6">
        <v>0.19968</v>
      </c>
      <c r="P204" s="6">
        <v>0</v>
      </c>
      <c r="Q204" s="4" t="s">
        <v>26</v>
      </c>
      <c r="R204" s="4">
        <v>0</v>
      </c>
      <c r="S204" s="4" t="s">
        <v>85</v>
      </c>
      <c r="T204" s="4" t="s">
        <v>278</v>
      </c>
      <c r="U204" s="4">
        <v>0</v>
      </c>
      <c r="V204" s="4">
        <v>23</v>
      </c>
      <c r="W204" s="4">
        <v>25</v>
      </c>
    </row>
    <row r="205" spans="1:23" ht="11.25" customHeight="1" x14ac:dyDescent="0.3">
      <c r="A205" s="4" t="s">
        <v>21</v>
      </c>
      <c r="B205" s="4" t="s">
        <v>39</v>
      </c>
      <c r="C205" s="4" t="s">
        <v>40</v>
      </c>
      <c r="D205" s="4" t="s">
        <v>43</v>
      </c>
      <c r="E205" s="4" t="s">
        <v>25</v>
      </c>
      <c r="F205" s="4" t="s">
        <v>25</v>
      </c>
      <c r="G205" s="4" t="s">
        <v>25</v>
      </c>
      <c r="H205" s="4" t="s">
        <v>34</v>
      </c>
      <c r="I205" s="5">
        <v>44501</v>
      </c>
      <c r="J205" s="6">
        <v>0</v>
      </c>
      <c r="K205" s="6">
        <v>0</v>
      </c>
      <c r="L205" s="6">
        <v>0.245</v>
      </c>
      <c r="M205" s="6">
        <v>0.23519999999999999</v>
      </c>
      <c r="N205" s="6">
        <v>0.245</v>
      </c>
      <c r="O205" s="6">
        <v>0.23519999999999999</v>
      </c>
      <c r="P205" s="6">
        <v>0</v>
      </c>
      <c r="Q205" s="4" t="s">
        <v>26</v>
      </c>
      <c r="R205" s="4">
        <v>0</v>
      </c>
      <c r="S205" s="4" t="s">
        <v>86</v>
      </c>
      <c r="T205" s="4" t="s">
        <v>279</v>
      </c>
      <c r="U205" s="4">
        <v>0</v>
      </c>
      <c r="V205" s="4">
        <v>23</v>
      </c>
      <c r="W205" s="4">
        <v>25</v>
      </c>
    </row>
    <row r="206" spans="1:23" ht="11.25" customHeight="1" x14ac:dyDescent="0.3">
      <c r="A206" s="4" t="s">
        <v>21</v>
      </c>
      <c r="B206" s="4" t="s">
        <v>39</v>
      </c>
      <c r="C206" s="4" t="s">
        <v>40</v>
      </c>
      <c r="D206" s="4" t="s">
        <v>43</v>
      </c>
      <c r="E206" s="4" t="s">
        <v>25</v>
      </c>
      <c r="F206" s="4" t="s">
        <v>25</v>
      </c>
      <c r="G206" s="4" t="s">
        <v>25</v>
      </c>
      <c r="H206" s="4" t="s">
        <v>34</v>
      </c>
      <c r="I206" s="5">
        <v>44531</v>
      </c>
      <c r="J206" s="6">
        <v>0</v>
      </c>
      <c r="K206" s="6">
        <v>0</v>
      </c>
      <c r="L206" s="6">
        <v>0.20300000000000001</v>
      </c>
      <c r="M206" s="6">
        <v>0.19488</v>
      </c>
      <c r="N206" s="6">
        <v>0.20300000000000001</v>
      </c>
      <c r="O206" s="6">
        <v>0.19488</v>
      </c>
      <c r="P206" s="6">
        <v>0</v>
      </c>
      <c r="Q206" s="4" t="s">
        <v>26</v>
      </c>
      <c r="R206" s="4">
        <v>0</v>
      </c>
      <c r="S206" s="4" t="s">
        <v>87</v>
      </c>
      <c r="T206" s="4" t="s">
        <v>280</v>
      </c>
      <c r="U206" s="4">
        <v>0</v>
      </c>
      <c r="V206" s="4">
        <v>23</v>
      </c>
      <c r="W206" s="4">
        <v>25</v>
      </c>
    </row>
    <row r="207" spans="1:23" ht="11.25" customHeight="1" x14ac:dyDescent="0.3">
      <c r="A207" s="4" t="s">
        <v>21</v>
      </c>
      <c r="B207" s="4" t="s">
        <v>39</v>
      </c>
      <c r="C207" s="4" t="s">
        <v>40</v>
      </c>
      <c r="D207" s="4" t="s">
        <v>43</v>
      </c>
      <c r="E207" s="4" t="s">
        <v>25</v>
      </c>
      <c r="F207" s="4" t="s">
        <v>25</v>
      </c>
      <c r="G207" s="4" t="s">
        <v>25</v>
      </c>
      <c r="H207" s="4" t="s">
        <v>34</v>
      </c>
      <c r="I207" s="5">
        <v>44562</v>
      </c>
      <c r="J207" s="6">
        <v>0</v>
      </c>
      <c r="K207" s="6">
        <v>0</v>
      </c>
      <c r="L207" s="6">
        <v>0.16</v>
      </c>
      <c r="M207" s="6">
        <v>0.15359999999999999</v>
      </c>
      <c r="N207" s="6">
        <v>0.16</v>
      </c>
      <c r="O207" s="6">
        <v>0.15359999999999999</v>
      </c>
      <c r="P207" s="6">
        <v>0</v>
      </c>
      <c r="Q207" s="4" t="s">
        <v>26</v>
      </c>
      <c r="R207" s="4">
        <v>0</v>
      </c>
      <c r="S207" s="4" t="s">
        <v>88</v>
      </c>
      <c r="T207" s="4" t="s">
        <v>281</v>
      </c>
      <c r="U207" s="4">
        <v>0</v>
      </c>
      <c r="V207" s="4">
        <v>23</v>
      </c>
      <c r="W207" s="4">
        <v>25</v>
      </c>
    </row>
    <row r="208" spans="1:23" ht="11.25" customHeight="1" x14ac:dyDescent="0.3">
      <c r="A208" s="4" t="s">
        <v>21</v>
      </c>
      <c r="B208" s="4" t="s">
        <v>39</v>
      </c>
      <c r="C208" s="4" t="s">
        <v>40</v>
      </c>
      <c r="D208" s="4" t="s">
        <v>43</v>
      </c>
      <c r="E208" s="4" t="s">
        <v>25</v>
      </c>
      <c r="F208" s="4" t="s">
        <v>25</v>
      </c>
      <c r="G208" s="4" t="s">
        <v>25</v>
      </c>
      <c r="H208" s="4" t="s">
        <v>34</v>
      </c>
      <c r="I208" s="5">
        <v>44593</v>
      </c>
      <c r="J208" s="6">
        <v>0</v>
      </c>
      <c r="K208" s="6">
        <v>0</v>
      </c>
      <c r="L208" s="6">
        <v>0.64700000000000002</v>
      </c>
      <c r="M208" s="6">
        <v>0.62112000000000001</v>
      </c>
      <c r="N208" s="6">
        <v>0.64700000000000002</v>
      </c>
      <c r="O208" s="6">
        <v>0.62112000000000001</v>
      </c>
      <c r="P208" s="6">
        <v>0</v>
      </c>
      <c r="Q208" s="4" t="s">
        <v>26</v>
      </c>
      <c r="R208" s="4">
        <v>0</v>
      </c>
      <c r="S208" s="4" t="s">
        <v>89</v>
      </c>
      <c r="T208" s="4" t="s">
        <v>282</v>
      </c>
      <c r="U208" s="4">
        <v>0</v>
      </c>
      <c r="V208" s="4">
        <v>23</v>
      </c>
      <c r="W208" s="4">
        <v>25</v>
      </c>
    </row>
    <row r="209" spans="1:23" ht="11.25" customHeight="1" x14ac:dyDescent="0.3">
      <c r="A209" s="4" t="s">
        <v>21</v>
      </c>
      <c r="B209" s="4" t="s">
        <v>39</v>
      </c>
      <c r="C209" s="4" t="s">
        <v>40</v>
      </c>
      <c r="D209" s="4" t="s">
        <v>43</v>
      </c>
      <c r="E209" s="4" t="s">
        <v>25</v>
      </c>
      <c r="F209" s="4" t="s">
        <v>25</v>
      </c>
      <c r="G209" s="4" t="s">
        <v>25</v>
      </c>
      <c r="H209" s="4" t="s">
        <v>34</v>
      </c>
      <c r="I209" s="5">
        <v>44621</v>
      </c>
      <c r="J209" s="6">
        <v>0</v>
      </c>
      <c r="K209" s="6">
        <v>0</v>
      </c>
      <c r="L209" s="6">
        <v>0.501</v>
      </c>
      <c r="M209" s="6">
        <v>0.48096</v>
      </c>
      <c r="N209" s="6">
        <v>0.501</v>
      </c>
      <c r="O209" s="6">
        <v>0.48096</v>
      </c>
      <c r="P209" s="6">
        <v>0</v>
      </c>
      <c r="Q209" s="4" t="s">
        <v>26</v>
      </c>
      <c r="R209" s="4">
        <v>0</v>
      </c>
      <c r="S209" s="4" t="s">
        <v>90</v>
      </c>
      <c r="T209" s="4" t="s">
        <v>283</v>
      </c>
      <c r="U209" s="4">
        <v>0</v>
      </c>
      <c r="V209" s="4">
        <v>23</v>
      </c>
      <c r="W209" s="4">
        <v>25</v>
      </c>
    </row>
    <row r="210" spans="1:23" ht="11.25" customHeight="1" x14ac:dyDescent="0.3">
      <c r="A210" s="4" t="s">
        <v>21</v>
      </c>
      <c r="B210" s="4" t="s">
        <v>39</v>
      </c>
      <c r="C210" s="4" t="s">
        <v>40</v>
      </c>
      <c r="D210" s="4" t="s">
        <v>43</v>
      </c>
      <c r="E210" s="4" t="s">
        <v>25</v>
      </c>
      <c r="F210" s="4" t="s">
        <v>25</v>
      </c>
      <c r="G210" s="4" t="s">
        <v>25</v>
      </c>
      <c r="H210" s="4" t="s">
        <v>34</v>
      </c>
      <c r="I210" s="5">
        <v>44652</v>
      </c>
      <c r="J210" s="6">
        <v>0</v>
      </c>
      <c r="K210" s="6">
        <v>0</v>
      </c>
      <c r="L210" s="6">
        <v>0.442</v>
      </c>
      <c r="M210" s="6">
        <v>0.42431999999999997</v>
      </c>
      <c r="N210" s="6">
        <v>0.442</v>
      </c>
      <c r="O210" s="6">
        <v>0.42431999999999997</v>
      </c>
      <c r="P210" s="6">
        <v>0</v>
      </c>
      <c r="Q210" s="4" t="s">
        <v>26</v>
      </c>
      <c r="R210" s="4">
        <v>0</v>
      </c>
      <c r="S210" s="4" t="s">
        <v>91</v>
      </c>
      <c r="T210" s="4" t="s">
        <v>284</v>
      </c>
      <c r="U210" s="4">
        <v>0</v>
      </c>
      <c r="V210" s="4">
        <v>23</v>
      </c>
      <c r="W210" s="4">
        <v>25</v>
      </c>
    </row>
    <row r="211" spans="1:23" ht="11.25" customHeight="1" x14ac:dyDescent="0.3">
      <c r="A211" s="4" t="s">
        <v>21</v>
      </c>
      <c r="B211" s="4" t="s">
        <v>39</v>
      </c>
      <c r="C211" s="4" t="s">
        <v>40</v>
      </c>
      <c r="D211" s="4" t="s">
        <v>43</v>
      </c>
      <c r="E211" s="4" t="s">
        <v>25</v>
      </c>
      <c r="F211" s="4" t="s">
        <v>25</v>
      </c>
      <c r="G211" s="4" t="s">
        <v>25</v>
      </c>
      <c r="H211" s="4" t="s">
        <v>34</v>
      </c>
      <c r="I211" s="5">
        <v>44682</v>
      </c>
      <c r="J211" s="6">
        <v>0</v>
      </c>
      <c r="K211" s="6">
        <v>0</v>
      </c>
      <c r="L211" s="6">
        <v>0.17</v>
      </c>
      <c r="M211" s="6">
        <v>0.16320000000000001</v>
      </c>
      <c r="N211" s="6">
        <v>0.17</v>
      </c>
      <c r="O211" s="6">
        <v>0.16320000000000001</v>
      </c>
      <c r="P211" s="6">
        <v>0</v>
      </c>
      <c r="Q211" s="4" t="s">
        <v>26</v>
      </c>
      <c r="R211" s="4">
        <v>0</v>
      </c>
      <c r="S211" s="4" t="s">
        <v>92</v>
      </c>
      <c r="T211" s="4" t="s">
        <v>285</v>
      </c>
      <c r="U211" s="4">
        <v>0</v>
      </c>
      <c r="V211" s="4">
        <v>23</v>
      </c>
      <c r="W211" s="4">
        <v>25</v>
      </c>
    </row>
    <row r="212" spans="1:23" ht="11.25" customHeight="1" x14ac:dyDescent="0.3">
      <c r="A212" s="4" t="s">
        <v>21</v>
      </c>
      <c r="B212" s="4" t="s">
        <v>39</v>
      </c>
      <c r="C212" s="4" t="s">
        <v>40</v>
      </c>
      <c r="D212" s="4" t="s">
        <v>43</v>
      </c>
      <c r="E212" s="4" t="s">
        <v>25</v>
      </c>
      <c r="F212" s="4" t="s">
        <v>25</v>
      </c>
      <c r="G212" s="4" t="s">
        <v>25</v>
      </c>
      <c r="H212" s="4" t="s">
        <v>34</v>
      </c>
      <c r="I212" s="5">
        <v>44713</v>
      </c>
      <c r="J212" s="6">
        <v>0</v>
      </c>
      <c r="K212" s="6">
        <v>0</v>
      </c>
      <c r="L212" s="6">
        <v>0.159</v>
      </c>
      <c r="M212" s="6">
        <v>0.15264</v>
      </c>
      <c r="N212" s="6">
        <v>0.159</v>
      </c>
      <c r="O212" s="6">
        <v>0.15264</v>
      </c>
      <c r="P212" s="6">
        <v>0</v>
      </c>
      <c r="Q212" s="4" t="s">
        <v>26</v>
      </c>
      <c r="R212" s="4">
        <v>0</v>
      </c>
      <c r="S212" s="4" t="s">
        <v>93</v>
      </c>
      <c r="T212" s="4" t="s">
        <v>286</v>
      </c>
      <c r="U212" s="4">
        <v>0</v>
      </c>
      <c r="V212" s="4">
        <v>23</v>
      </c>
      <c r="W212" s="4">
        <v>25</v>
      </c>
    </row>
    <row r="213" spans="1:23" ht="11.25" customHeight="1" x14ac:dyDescent="0.3">
      <c r="A213" s="4" t="s">
        <v>21</v>
      </c>
      <c r="B213" s="4" t="s">
        <v>39</v>
      </c>
      <c r="C213" s="4" t="s">
        <v>40</v>
      </c>
      <c r="D213" s="4" t="s">
        <v>43</v>
      </c>
      <c r="E213" s="4" t="s">
        <v>25</v>
      </c>
      <c r="F213" s="4" t="s">
        <v>25</v>
      </c>
      <c r="G213" s="4" t="s">
        <v>25</v>
      </c>
      <c r="H213" s="4" t="s">
        <v>34</v>
      </c>
      <c r="I213" s="5">
        <v>44743</v>
      </c>
      <c r="J213" s="6">
        <v>0</v>
      </c>
      <c r="K213" s="6">
        <v>0</v>
      </c>
      <c r="L213" s="6">
        <v>0.14599999999999999</v>
      </c>
      <c r="M213" s="6">
        <v>0.14016000000000001</v>
      </c>
      <c r="N213" s="6">
        <v>0.14599999999999999</v>
      </c>
      <c r="O213" s="6">
        <v>0.14016000000000001</v>
      </c>
      <c r="P213" s="6">
        <v>0</v>
      </c>
      <c r="Q213" s="4" t="s">
        <v>26</v>
      </c>
      <c r="R213" s="4">
        <v>0</v>
      </c>
      <c r="S213" s="4" t="s">
        <v>94</v>
      </c>
      <c r="T213" s="4" t="s">
        <v>287</v>
      </c>
      <c r="U213" s="4">
        <v>0</v>
      </c>
      <c r="V213" s="4">
        <v>23</v>
      </c>
      <c r="W213" s="4">
        <v>25</v>
      </c>
    </row>
    <row r="214" spans="1:23" ht="11.25" customHeight="1" x14ac:dyDescent="0.3">
      <c r="A214" s="4" t="s">
        <v>21</v>
      </c>
      <c r="B214" s="4" t="s">
        <v>39</v>
      </c>
      <c r="C214" s="4" t="s">
        <v>40</v>
      </c>
      <c r="D214" s="4" t="s">
        <v>43</v>
      </c>
      <c r="E214" s="4" t="s">
        <v>25</v>
      </c>
      <c r="F214" s="4" t="s">
        <v>25</v>
      </c>
      <c r="G214" s="4" t="s">
        <v>25</v>
      </c>
      <c r="H214" s="4" t="s">
        <v>34</v>
      </c>
      <c r="I214" s="5">
        <v>44774</v>
      </c>
      <c r="J214" s="6">
        <v>0</v>
      </c>
      <c r="K214" s="6">
        <v>0</v>
      </c>
      <c r="L214" s="6">
        <v>0.14099999999999999</v>
      </c>
      <c r="M214" s="6">
        <v>0.13536000000000001</v>
      </c>
      <c r="N214" s="6">
        <v>0.14099999999999999</v>
      </c>
      <c r="O214" s="6">
        <v>0.13536000000000001</v>
      </c>
      <c r="P214" s="6">
        <v>0</v>
      </c>
      <c r="Q214" s="4" t="s">
        <v>26</v>
      </c>
      <c r="R214" s="4">
        <v>0</v>
      </c>
      <c r="S214" s="4" t="s">
        <v>95</v>
      </c>
      <c r="T214" s="4" t="s">
        <v>288</v>
      </c>
      <c r="U214" s="4">
        <v>0</v>
      </c>
      <c r="V214" s="4">
        <v>23</v>
      </c>
      <c r="W214" s="4">
        <v>25</v>
      </c>
    </row>
    <row r="215" spans="1:23" ht="11.25" customHeight="1" x14ac:dyDescent="0.3">
      <c r="A215" s="4" t="s">
        <v>21</v>
      </c>
      <c r="B215" s="4" t="s">
        <v>39</v>
      </c>
      <c r="C215" s="4" t="s">
        <v>40</v>
      </c>
      <c r="D215" s="4" t="s">
        <v>48</v>
      </c>
      <c r="E215" s="4" t="s">
        <v>49</v>
      </c>
      <c r="F215" s="4" t="s">
        <v>25</v>
      </c>
      <c r="G215" s="4" t="s">
        <v>25</v>
      </c>
      <c r="H215" s="4" t="s">
        <v>35</v>
      </c>
      <c r="I215" s="5">
        <v>44440</v>
      </c>
      <c r="J215" s="6">
        <v>0</v>
      </c>
      <c r="K215" s="6">
        <v>0</v>
      </c>
      <c r="L215" s="6">
        <v>138.11699999999999</v>
      </c>
      <c r="M215" s="6">
        <v>129.82998000000001</v>
      </c>
      <c r="N215" s="6">
        <v>138.11699999999999</v>
      </c>
      <c r="O215" s="6">
        <v>129.82998000000001</v>
      </c>
      <c r="P215" s="6">
        <v>0</v>
      </c>
      <c r="Q215" s="4" t="s">
        <v>26</v>
      </c>
      <c r="R215" s="4">
        <v>0</v>
      </c>
      <c r="S215" s="4" t="s">
        <v>60</v>
      </c>
      <c r="T215" s="4" t="s">
        <v>265</v>
      </c>
      <c r="U215" s="4">
        <v>0</v>
      </c>
      <c r="V215" s="4">
        <v>6</v>
      </c>
      <c r="W215" s="4">
        <v>50</v>
      </c>
    </row>
    <row r="216" spans="1:23" ht="11.25" customHeight="1" x14ac:dyDescent="0.3">
      <c r="A216" s="4" t="s">
        <v>21</v>
      </c>
      <c r="B216" s="4" t="s">
        <v>39</v>
      </c>
      <c r="C216" s="4" t="s">
        <v>40</v>
      </c>
      <c r="D216" s="4" t="s">
        <v>48</v>
      </c>
      <c r="E216" s="4" t="s">
        <v>49</v>
      </c>
      <c r="F216" s="4" t="s">
        <v>25</v>
      </c>
      <c r="G216" s="4" t="s">
        <v>25</v>
      </c>
      <c r="H216" s="4" t="s">
        <v>35</v>
      </c>
      <c r="I216" s="5">
        <v>44470</v>
      </c>
      <c r="J216" s="6">
        <v>0</v>
      </c>
      <c r="K216" s="6">
        <v>0</v>
      </c>
      <c r="L216" s="6">
        <v>152.06100000000001</v>
      </c>
      <c r="M216" s="6">
        <v>142.93734000000001</v>
      </c>
      <c r="N216" s="6">
        <v>152.06100000000001</v>
      </c>
      <c r="O216" s="6">
        <v>142.93734000000001</v>
      </c>
      <c r="P216" s="6">
        <v>0</v>
      </c>
      <c r="Q216" s="4" t="s">
        <v>26</v>
      </c>
      <c r="R216" s="4">
        <v>0</v>
      </c>
      <c r="S216" s="4" t="s">
        <v>61</v>
      </c>
      <c r="T216" s="4" t="s">
        <v>266</v>
      </c>
      <c r="U216" s="4">
        <v>0</v>
      </c>
      <c r="V216" s="4">
        <v>6</v>
      </c>
      <c r="W216" s="4">
        <v>50</v>
      </c>
    </row>
    <row r="217" spans="1:23" ht="11.25" customHeight="1" x14ac:dyDescent="0.3">
      <c r="A217" s="4" t="s">
        <v>21</v>
      </c>
      <c r="B217" s="4" t="s">
        <v>39</v>
      </c>
      <c r="C217" s="4" t="s">
        <v>40</v>
      </c>
      <c r="D217" s="4" t="s">
        <v>48</v>
      </c>
      <c r="E217" s="4" t="s">
        <v>49</v>
      </c>
      <c r="F217" s="4" t="s">
        <v>25</v>
      </c>
      <c r="G217" s="4" t="s">
        <v>25</v>
      </c>
      <c r="H217" s="4" t="s">
        <v>35</v>
      </c>
      <c r="I217" s="5">
        <v>44501</v>
      </c>
      <c r="J217" s="6">
        <v>0</v>
      </c>
      <c r="K217" s="6">
        <v>0</v>
      </c>
      <c r="L217" s="6">
        <v>155.066</v>
      </c>
      <c r="M217" s="6">
        <v>145.76204000000001</v>
      </c>
      <c r="N217" s="6">
        <v>155.066</v>
      </c>
      <c r="O217" s="6">
        <v>145.76204000000001</v>
      </c>
      <c r="P217" s="6">
        <v>0</v>
      </c>
      <c r="Q217" s="4" t="s">
        <v>26</v>
      </c>
      <c r="R217" s="4">
        <v>0</v>
      </c>
      <c r="S217" s="4" t="s">
        <v>62</v>
      </c>
      <c r="T217" s="4" t="s">
        <v>267</v>
      </c>
      <c r="U217" s="4">
        <v>0</v>
      </c>
      <c r="V217" s="4">
        <v>6</v>
      </c>
      <c r="W217" s="4">
        <v>50</v>
      </c>
    </row>
    <row r="218" spans="1:23" ht="11.25" customHeight="1" x14ac:dyDescent="0.3">
      <c r="A218" s="4" t="s">
        <v>21</v>
      </c>
      <c r="B218" s="4" t="s">
        <v>39</v>
      </c>
      <c r="C218" s="4" t="s">
        <v>40</v>
      </c>
      <c r="D218" s="4" t="s">
        <v>48</v>
      </c>
      <c r="E218" s="4" t="s">
        <v>49</v>
      </c>
      <c r="F218" s="4" t="s">
        <v>25</v>
      </c>
      <c r="G218" s="4" t="s">
        <v>25</v>
      </c>
      <c r="H218" s="4" t="s">
        <v>35</v>
      </c>
      <c r="I218" s="5">
        <v>44531</v>
      </c>
      <c r="J218" s="6">
        <v>0</v>
      </c>
      <c r="K218" s="6">
        <v>0</v>
      </c>
      <c r="L218" s="6">
        <v>180.202</v>
      </c>
      <c r="M218" s="6">
        <v>169.38988000000001</v>
      </c>
      <c r="N218" s="6">
        <v>180.202</v>
      </c>
      <c r="O218" s="6">
        <v>169.38988000000001</v>
      </c>
      <c r="P218" s="6">
        <v>0</v>
      </c>
      <c r="Q218" s="4" t="s">
        <v>26</v>
      </c>
      <c r="R218" s="4">
        <v>0</v>
      </c>
      <c r="S218" s="4" t="s">
        <v>63</v>
      </c>
      <c r="T218" s="4" t="s">
        <v>268</v>
      </c>
      <c r="U218" s="4">
        <v>0</v>
      </c>
      <c r="V218" s="4">
        <v>6</v>
      </c>
      <c r="W218" s="4">
        <v>50</v>
      </c>
    </row>
    <row r="219" spans="1:23" ht="11.25" customHeight="1" x14ac:dyDescent="0.3">
      <c r="A219" s="4" t="s">
        <v>21</v>
      </c>
      <c r="B219" s="4" t="s">
        <v>39</v>
      </c>
      <c r="C219" s="4" t="s">
        <v>40</v>
      </c>
      <c r="D219" s="4" t="s">
        <v>48</v>
      </c>
      <c r="E219" s="4" t="s">
        <v>49</v>
      </c>
      <c r="F219" s="4" t="s">
        <v>25</v>
      </c>
      <c r="G219" s="4" t="s">
        <v>25</v>
      </c>
      <c r="H219" s="4" t="s">
        <v>35</v>
      </c>
      <c r="I219" s="5">
        <v>44562</v>
      </c>
      <c r="J219" s="6">
        <v>0</v>
      </c>
      <c r="K219" s="6">
        <v>0</v>
      </c>
      <c r="L219" s="6">
        <v>222.1</v>
      </c>
      <c r="M219" s="6">
        <v>208.774</v>
      </c>
      <c r="N219" s="6">
        <v>222.1</v>
      </c>
      <c r="O219" s="6">
        <v>208.774</v>
      </c>
      <c r="P219" s="6">
        <v>0</v>
      </c>
      <c r="Q219" s="4" t="s">
        <v>26</v>
      </c>
      <c r="R219" s="4">
        <v>0</v>
      </c>
      <c r="S219" s="4" t="s">
        <v>64</v>
      </c>
      <c r="T219" s="4" t="s">
        <v>269</v>
      </c>
      <c r="U219" s="4">
        <v>0</v>
      </c>
      <c r="V219" s="4">
        <v>6</v>
      </c>
      <c r="W219" s="4">
        <v>50</v>
      </c>
    </row>
    <row r="220" spans="1:23" ht="11.25" customHeight="1" x14ac:dyDescent="0.3">
      <c r="A220" s="4" t="s">
        <v>21</v>
      </c>
      <c r="B220" s="4" t="s">
        <v>39</v>
      </c>
      <c r="C220" s="4" t="s">
        <v>40</v>
      </c>
      <c r="D220" s="4" t="s">
        <v>48</v>
      </c>
      <c r="E220" s="4" t="s">
        <v>49</v>
      </c>
      <c r="F220" s="4" t="s">
        <v>25</v>
      </c>
      <c r="G220" s="4" t="s">
        <v>25</v>
      </c>
      <c r="H220" s="4" t="s">
        <v>35</v>
      </c>
      <c r="I220" s="5">
        <v>44593</v>
      </c>
      <c r="J220" s="6">
        <v>0</v>
      </c>
      <c r="K220" s="6">
        <v>0</v>
      </c>
      <c r="L220" s="6">
        <v>190.614</v>
      </c>
      <c r="M220" s="6">
        <v>179.17715999999999</v>
      </c>
      <c r="N220" s="6">
        <v>190.614</v>
      </c>
      <c r="O220" s="6">
        <v>179.17715999999999</v>
      </c>
      <c r="P220" s="6">
        <v>0</v>
      </c>
      <c r="Q220" s="4" t="s">
        <v>26</v>
      </c>
      <c r="R220" s="4">
        <v>0</v>
      </c>
      <c r="S220" s="4" t="s">
        <v>65</v>
      </c>
      <c r="T220" s="4" t="s">
        <v>270</v>
      </c>
      <c r="U220" s="4">
        <v>0</v>
      </c>
      <c r="V220" s="4">
        <v>6</v>
      </c>
      <c r="W220" s="4">
        <v>50</v>
      </c>
    </row>
    <row r="221" spans="1:23" ht="11.25" customHeight="1" x14ac:dyDescent="0.3">
      <c r="A221" s="4" t="s">
        <v>21</v>
      </c>
      <c r="B221" s="4" t="s">
        <v>39</v>
      </c>
      <c r="C221" s="4" t="s">
        <v>40</v>
      </c>
      <c r="D221" s="4" t="s">
        <v>48</v>
      </c>
      <c r="E221" s="4" t="s">
        <v>49</v>
      </c>
      <c r="F221" s="4" t="s">
        <v>25</v>
      </c>
      <c r="G221" s="4" t="s">
        <v>25</v>
      </c>
      <c r="H221" s="4" t="s">
        <v>35</v>
      </c>
      <c r="I221" s="5">
        <v>44621</v>
      </c>
      <c r="J221" s="6">
        <v>0</v>
      </c>
      <c r="K221" s="6">
        <v>0</v>
      </c>
      <c r="L221" s="6">
        <v>182.78899999999999</v>
      </c>
      <c r="M221" s="6">
        <v>171.82166000000001</v>
      </c>
      <c r="N221" s="6">
        <v>182.78899999999999</v>
      </c>
      <c r="O221" s="6">
        <v>171.82166000000001</v>
      </c>
      <c r="P221" s="6">
        <v>0</v>
      </c>
      <c r="Q221" s="4" t="s">
        <v>26</v>
      </c>
      <c r="R221" s="4">
        <v>0</v>
      </c>
      <c r="S221" s="4" t="s">
        <v>66</v>
      </c>
      <c r="T221" s="4" t="s">
        <v>271</v>
      </c>
      <c r="U221" s="4">
        <v>0</v>
      </c>
      <c r="V221" s="4">
        <v>6</v>
      </c>
      <c r="W221" s="4">
        <v>50</v>
      </c>
    </row>
    <row r="222" spans="1:23" ht="11.25" customHeight="1" x14ac:dyDescent="0.3">
      <c r="A222" s="4" t="s">
        <v>21</v>
      </c>
      <c r="B222" s="4" t="s">
        <v>39</v>
      </c>
      <c r="C222" s="4" t="s">
        <v>40</v>
      </c>
      <c r="D222" s="4" t="s">
        <v>48</v>
      </c>
      <c r="E222" s="4" t="s">
        <v>49</v>
      </c>
      <c r="F222" s="4" t="s">
        <v>25</v>
      </c>
      <c r="G222" s="4" t="s">
        <v>25</v>
      </c>
      <c r="H222" s="4" t="s">
        <v>35</v>
      </c>
      <c r="I222" s="5">
        <v>44652</v>
      </c>
      <c r="J222" s="6">
        <v>0</v>
      </c>
      <c r="K222" s="6">
        <v>0</v>
      </c>
      <c r="L222" s="6">
        <v>182.22300000000001</v>
      </c>
      <c r="M222" s="6">
        <v>171.28962000000001</v>
      </c>
      <c r="N222" s="6">
        <v>182.22300000000001</v>
      </c>
      <c r="O222" s="6">
        <v>171.28962000000001</v>
      </c>
      <c r="P222" s="6">
        <v>0</v>
      </c>
      <c r="Q222" s="4" t="s">
        <v>26</v>
      </c>
      <c r="R222" s="4">
        <v>0</v>
      </c>
      <c r="S222" s="4" t="s">
        <v>67</v>
      </c>
      <c r="T222" s="4" t="s">
        <v>272</v>
      </c>
      <c r="U222" s="4">
        <v>0</v>
      </c>
      <c r="V222" s="4">
        <v>6</v>
      </c>
      <c r="W222" s="4">
        <v>50</v>
      </c>
    </row>
    <row r="223" spans="1:23" ht="11.25" customHeight="1" x14ac:dyDescent="0.3">
      <c r="A223" s="4" t="s">
        <v>21</v>
      </c>
      <c r="B223" s="4" t="s">
        <v>39</v>
      </c>
      <c r="C223" s="4" t="s">
        <v>40</v>
      </c>
      <c r="D223" s="4" t="s">
        <v>48</v>
      </c>
      <c r="E223" s="4" t="s">
        <v>49</v>
      </c>
      <c r="F223" s="4" t="s">
        <v>25</v>
      </c>
      <c r="G223" s="4" t="s">
        <v>25</v>
      </c>
      <c r="H223" s="4" t="s">
        <v>35</v>
      </c>
      <c r="I223" s="5">
        <v>44682</v>
      </c>
      <c r="J223" s="6">
        <v>0</v>
      </c>
      <c r="K223" s="6">
        <v>0</v>
      </c>
      <c r="L223" s="6">
        <v>172.721</v>
      </c>
      <c r="M223" s="6">
        <v>162.35774000000001</v>
      </c>
      <c r="N223" s="6">
        <v>172.721</v>
      </c>
      <c r="O223" s="6">
        <v>162.35774000000001</v>
      </c>
      <c r="P223" s="6">
        <v>0</v>
      </c>
      <c r="Q223" s="4" t="s">
        <v>26</v>
      </c>
      <c r="R223" s="4">
        <v>0</v>
      </c>
      <c r="S223" s="4" t="s">
        <v>68</v>
      </c>
      <c r="T223" s="4" t="s">
        <v>273</v>
      </c>
      <c r="U223" s="4">
        <v>0</v>
      </c>
      <c r="V223" s="4">
        <v>6</v>
      </c>
      <c r="W223" s="4">
        <v>50</v>
      </c>
    </row>
    <row r="224" spans="1:23" ht="11.25" customHeight="1" x14ac:dyDescent="0.3">
      <c r="A224" s="4" t="s">
        <v>21</v>
      </c>
      <c r="B224" s="4" t="s">
        <v>39</v>
      </c>
      <c r="C224" s="4" t="s">
        <v>40</v>
      </c>
      <c r="D224" s="4" t="s">
        <v>48</v>
      </c>
      <c r="E224" s="4" t="s">
        <v>49</v>
      </c>
      <c r="F224" s="4" t="s">
        <v>25</v>
      </c>
      <c r="G224" s="4" t="s">
        <v>25</v>
      </c>
      <c r="H224" s="4" t="s">
        <v>35</v>
      </c>
      <c r="I224" s="5">
        <v>44713</v>
      </c>
      <c r="J224" s="6">
        <v>0</v>
      </c>
      <c r="K224" s="6">
        <v>0</v>
      </c>
      <c r="L224" s="6">
        <v>150.96</v>
      </c>
      <c r="M224" s="6">
        <v>141.9024</v>
      </c>
      <c r="N224" s="6">
        <v>150.96</v>
      </c>
      <c r="O224" s="6">
        <v>141.9024</v>
      </c>
      <c r="P224" s="6">
        <v>0</v>
      </c>
      <c r="Q224" s="4" t="s">
        <v>26</v>
      </c>
      <c r="R224" s="4">
        <v>0</v>
      </c>
      <c r="S224" s="4" t="s">
        <v>69</v>
      </c>
      <c r="T224" s="4" t="s">
        <v>274</v>
      </c>
      <c r="U224" s="4">
        <v>0</v>
      </c>
      <c r="V224" s="4">
        <v>6</v>
      </c>
      <c r="W224" s="4">
        <v>50</v>
      </c>
    </row>
    <row r="225" spans="1:23" ht="11.25" customHeight="1" x14ac:dyDescent="0.3">
      <c r="A225" s="4" t="s">
        <v>21</v>
      </c>
      <c r="B225" s="4" t="s">
        <v>39</v>
      </c>
      <c r="C225" s="4" t="s">
        <v>40</v>
      </c>
      <c r="D225" s="4" t="s">
        <v>48</v>
      </c>
      <c r="E225" s="4" t="s">
        <v>49</v>
      </c>
      <c r="F225" s="4" t="s">
        <v>25</v>
      </c>
      <c r="G225" s="4" t="s">
        <v>25</v>
      </c>
      <c r="H225" s="4" t="s">
        <v>35</v>
      </c>
      <c r="I225" s="5">
        <v>44743</v>
      </c>
      <c r="J225" s="6">
        <v>0</v>
      </c>
      <c r="K225" s="6">
        <v>0</v>
      </c>
      <c r="L225" s="6">
        <v>167.42699999999999</v>
      </c>
      <c r="M225" s="6">
        <v>157.38138000000001</v>
      </c>
      <c r="N225" s="6">
        <v>167.42699999999999</v>
      </c>
      <c r="O225" s="6">
        <v>157.38138000000001</v>
      </c>
      <c r="P225" s="6">
        <v>0</v>
      </c>
      <c r="Q225" s="4" t="s">
        <v>26</v>
      </c>
      <c r="R225" s="4">
        <v>0</v>
      </c>
      <c r="S225" s="4" t="s">
        <v>70</v>
      </c>
      <c r="T225" s="4" t="s">
        <v>275</v>
      </c>
      <c r="U225" s="4">
        <v>0</v>
      </c>
      <c r="V225" s="4">
        <v>6</v>
      </c>
      <c r="W225" s="4">
        <v>50</v>
      </c>
    </row>
    <row r="226" spans="1:23" ht="11.25" customHeight="1" x14ac:dyDescent="0.3">
      <c r="A226" s="4" t="s">
        <v>21</v>
      </c>
      <c r="B226" s="4" t="s">
        <v>39</v>
      </c>
      <c r="C226" s="4" t="s">
        <v>40</v>
      </c>
      <c r="D226" s="4" t="s">
        <v>48</v>
      </c>
      <c r="E226" s="4" t="s">
        <v>49</v>
      </c>
      <c r="F226" s="4" t="s">
        <v>25</v>
      </c>
      <c r="G226" s="4" t="s">
        <v>25</v>
      </c>
      <c r="H226" s="4" t="s">
        <v>35</v>
      </c>
      <c r="I226" s="5">
        <v>44774</v>
      </c>
      <c r="J226" s="6">
        <v>0</v>
      </c>
      <c r="K226" s="6">
        <v>0</v>
      </c>
      <c r="L226" s="6">
        <v>161.76599999999999</v>
      </c>
      <c r="M226" s="6">
        <v>152.06003999999999</v>
      </c>
      <c r="N226" s="6">
        <v>161.76599999999999</v>
      </c>
      <c r="O226" s="6">
        <v>152.06003999999999</v>
      </c>
      <c r="P226" s="6">
        <v>0</v>
      </c>
      <c r="Q226" s="4" t="s">
        <v>26</v>
      </c>
      <c r="R226" s="4">
        <v>0</v>
      </c>
      <c r="S226" s="4" t="s">
        <v>71</v>
      </c>
      <c r="T226" s="4" t="s">
        <v>276</v>
      </c>
      <c r="U226" s="4">
        <v>0</v>
      </c>
      <c r="V226" s="4">
        <v>6</v>
      </c>
      <c r="W226" s="4">
        <v>50</v>
      </c>
    </row>
    <row r="227" spans="1:23" ht="11.25" customHeight="1" x14ac:dyDescent="0.3">
      <c r="A227" s="4" t="s">
        <v>21</v>
      </c>
      <c r="B227" s="4" t="s">
        <v>39</v>
      </c>
      <c r="C227" s="4" t="s">
        <v>40</v>
      </c>
      <c r="D227" s="4" t="s">
        <v>48</v>
      </c>
      <c r="E227" s="4" t="s">
        <v>49</v>
      </c>
      <c r="F227" s="4" t="s">
        <v>25</v>
      </c>
      <c r="G227" s="4" t="s">
        <v>25</v>
      </c>
      <c r="H227" s="4" t="s">
        <v>25</v>
      </c>
      <c r="I227" s="5">
        <v>44440</v>
      </c>
      <c r="J227" s="6">
        <v>325</v>
      </c>
      <c r="K227" s="6">
        <v>305.5</v>
      </c>
      <c r="L227" s="6">
        <v>0</v>
      </c>
      <c r="M227" s="6">
        <v>0</v>
      </c>
      <c r="N227" s="6">
        <v>0</v>
      </c>
      <c r="O227" s="6">
        <v>0</v>
      </c>
      <c r="P227" s="6">
        <v>2</v>
      </c>
      <c r="Q227" s="4" t="s">
        <v>26</v>
      </c>
      <c r="R227" s="4">
        <v>0</v>
      </c>
      <c r="S227" s="4" t="s">
        <v>72</v>
      </c>
      <c r="U227" s="4">
        <v>10</v>
      </c>
      <c r="V227" s="4">
        <v>0</v>
      </c>
      <c r="W227" s="4">
        <v>0</v>
      </c>
    </row>
    <row r="228" spans="1:23" ht="11.25" customHeight="1" x14ac:dyDescent="0.3">
      <c r="A228" s="4" t="s">
        <v>21</v>
      </c>
      <c r="B228" s="4" t="s">
        <v>39</v>
      </c>
      <c r="C228" s="4" t="s">
        <v>40</v>
      </c>
      <c r="D228" s="4" t="s">
        <v>48</v>
      </c>
      <c r="E228" s="4" t="s">
        <v>49</v>
      </c>
      <c r="F228" s="4" t="s">
        <v>25</v>
      </c>
      <c r="G228" s="4" t="s">
        <v>25</v>
      </c>
      <c r="H228" s="4" t="s">
        <v>25</v>
      </c>
      <c r="I228" s="5">
        <v>44470</v>
      </c>
      <c r="J228" s="6">
        <v>333</v>
      </c>
      <c r="K228" s="6">
        <v>313.02</v>
      </c>
      <c r="L228" s="6">
        <v>0</v>
      </c>
      <c r="M228" s="6">
        <v>0</v>
      </c>
      <c r="N228" s="6">
        <v>0</v>
      </c>
      <c r="O228" s="6">
        <v>0</v>
      </c>
      <c r="P228" s="6">
        <v>2</v>
      </c>
      <c r="Q228" s="4" t="s">
        <v>26</v>
      </c>
      <c r="R228" s="4">
        <v>0</v>
      </c>
      <c r="S228" s="4" t="s">
        <v>73</v>
      </c>
      <c r="U228" s="4">
        <v>10</v>
      </c>
      <c r="V228" s="4">
        <v>0</v>
      </c>
      <c r="W228" s="4">
        <v>0</v>
      </c>
    </row>
    <row r="229" spans="1:23" ht="11.25" customHeight="1" x14ac:dyDescent="0.3">
      <c r="A229" s="4" t="s">
        <v>21</v>
      </c>
      <c r="B229" s="4" t="s">
        <v>39</v>
      </c>
      <c r="C229" s="4" t="s">
        <v>40</v>
      </c>
      <c r="D229" s="4" t="s">
        <v>48</v>
      </c>
      <c r="E229" s="4" t="s">
        <v>49</v>
      </c>
      <c r="F229" s="4" t="s">
        <v>25</v>
      </c>
      <c r="G229" s="4" t="s">
        <v>25</v>
      </c>
      <c r="H229" s="4" t="s">
        <v>25</v>
      </c>
      <c r="I229" s="5">
        <v>44501</v>
      </c>
      <c r="J229" s="6">
        <v>330</v>
      </c>
      <c r="K229" s="6">
        <v>310.2</v>
      </c>
      <c r="L229" s="6">
        <v>0</v>
      </c>
      <c r="M229" s="6">
        <v>0</v>
      </c>
      <c r="N229" s="6">
        <v>0</v>
      </c>
      <c r="O229" s="6">
        <v>0</v>
      </c>
      <c r="P229" s="6">
        <v>2</v>
      </c>
      <c r="Q229" s="4" t="s">
        <v>26</v>
      </c>
      <c r="R229" s="4">
        <v>0</v>
      </c>
      <c r="S229" s="4" t="s">
        <v>74</v>
      </c>
      <c r="U229" s="4">
        <v>10</v>
      </c>
      <c r="V229" s="4">
        <v>0</v>
      </c>
      <c r="W229" s="4">
        <v>0</v>
      </c>
    </row>
    <row r="230" spans="1:23" ht="11.25" customHeight="1" x14ac:dyDescent="0.3">
      <c r="A230" s="4" t="s">
        <v>21</v>
      </c>
      <c r="B230" s="4" t="s">
        <v>39</v>
      </c>
      <c r="C230" s="4" t="s">
        <v>40</v>
      </c>
      <c r="D230" s="4" t="s">
        <v>48</v>
      </c>
      <c r="E230" s="4" t="s">
        <v>49</v>
      </c>
      <c r="F230" s="4" t="s">
        <v>25</v>
      </c>
      <c r="G230" s="4" t="s">
        <v>25</v>
      </c>
      <c r="H230" s="4" t="s">
        <v>25</v>
      </c>
      <c r="I230" s="5">
        <v>44531</v>
      </c>
      <c r="J230" s="6">
        <v>381</v>
      </c>
      <c r="K230" s="6">
        <v>358.14</v>
      </c>
      <c r="L230" s="6">
        <v>0</v>
      </c>
      <c r="M230" s="6">
        <v>0</v>
      </c>
      <c r="N230" s="6">
        <v>0</v>
      </c>
      <c r="O230" s="6">
        <v>0</v>
      </c>
      <c r="P230" s="6">
        <v>2</v>
      </c>
      <c r="Q230" s="4" t="s">
        <v>26</v>
      </c>
      <c r="R230" s="4">
        <v>0</v>
      </c>
      <c r="S230" s="4" t="s">
        <v>75</v>
      </c>
      <c r="U230" s="4">
        <v>10</v>
      </c>
      <c r="V230" s="4">
        <v>0</v>
      </c>
      <c r="W230" s="4">
        <v>0</v>
      </c>
    </row>
    <row r="231" spans="1:23" ht="11.25" customHeight="1" x14ac:dyDescent="0.3">
      <c r="A231" s="4" t="s">
        <v>21</v>
      </c>
      <c r="B231" s="4" t="s">
        <v>39</v>
      </c>
      <c r="C231" s="4" t="s">
        <v>40</v>
      </c>
      <c r="D231" s="4" t="s">
        <v>48</v>
      </c>
      <c r="E231" s="4" t="s">
        <v>49</v>
      </c>
      <c r="F231" s="4" t="s">
        <v>25</v>
      </c>
      <c r="G231" s="4" t="s">
        <v>25</v>
      </c>
      <c r="H231" s="4" t="s">
        <v>25</v>
      </c>
      <c r="I231" s="5">
        <v>44562</v>
      </c>
      <c r="J231" s="6">
        <v>381</v>
      </c>
      <c r="K231" s="6">
        <v>358.14</v>
      </c>
      <c r="L231" s="6">
        <v>0</v>
      </c>
      <c r="M231" s="6">
        <v>0</v>
      </c>
      <c r="N231" s="6">
        <v>0</v>
      </c>
      <c r="O231" s="6">
        <v>0</v>
      </c>
      <c r="P231" s="6">
        <v>2</v>
      </c>
      <c r="Q231" s="4" t="s">
        <v>26</v>
      </c>
      <c r="R231" s="4">
        <v>0</v>
      </c>
      <c r="S231" s="4" t="s">
        <v>76</v>
      </c>
      <c r="U231" s="4">
        <v>10</v>
      </c>
      <c r="V231" s="4">
        <v>0</v>
      </c>
      <c r="W231" s="4">
        <v>0</v>
      </c>
    </row>
    <row r="232" spans="1:23" ht="11.25" customHeight="1" x14ac:dyDescent="0.3">
      <c r="A232" s="4" t="s">
        <v>21</v>
      </c>
      <c r="B232" s="4" t="s">
        <v>39</v>
      </c>
      <c r="C232" s="4" t="s">
        <v>40</v>
      </c>
      <c r="D232" s="4" t="s">
        <v>48</v>
      </c>
      <c r="E232" s="4" t="s">
        <v>49</v>
      </c>
      <c r="F232" s="4" t="s">
        <v>25</v>
      </c>
      <c r="G232" s="4" t="s">
        <v>25</v>
      </c>
      <c r="H232" s="4" t="s">
        <v>25</v>
      </c>
      <c r="I232" s="5">
        <v>44593</v>
      </c>
      <c r="J232" s="6">
        <v>392</v>
      </c>
      <c r="K232" s="6">
        <v>368.48</v>
      </c>
      <c r="L232" s="6">
        <v>0</v>
      </c>
      <c r="M232" s="6">
        <v>0</v>
      </c>
      <c r="N232" s="6">
        <v>0</v>
      </c>
      <c r="O232" s="6">
        <v>0</v>
      </c>
      <c r="P232" s="6">
        <v>2</v>
      </c>
      <c r="Q232" s="4" t="s">
        <v>26</v>
      </c>
      <c r="R232" s="4">
        <v>0</v>
      </c>
      <c r="S232" s="4" t="s">
        <v>77</v>
      </c>
      <c r="U232" s="4">
        <v>10</v>
      </c>
      <c r="V232" s="4">
        <v>0</v>
      </c>
      <c r="W232" s="4">
        <v>0</v>
      </c>
    </row>
    <row r="233" spans="1:23" ht="11.25" customHeight="1" x14ac:dyDescent="0.3">
      <c r="A233" s="4" t="s">
        <v>21</v>
      </c>
      <c r="B233" s="4" t="s">
        <v>39</v>
      </c>
      <c r="C233" s="4" t="s">
        <v>40</v>
      </c>
      <c r="D233" s="4" t="s">
        <v>48</v>
      </c>
      <c r="E233" s="4" t="s">
        <v>49</v>
      </c>
      <c r="F233" s="4" t="s">
        <v>25</v>
      </c>
      <c r="G233" s="4" t="s">
        <v>25</v>
      </c>
      <c r="H233" s="4" t="s">
        <v>25</v>
      </c>
      <c r="I233" s="5">
        <v>44621</v>
      </c>
      <c r="J233" s="6">
        <v>379</v>
      </c>
      <c r="K233" s="6">
        <v>356.26</v>
      </c>
      <c r="L233" s="6">
        <v>0</v>
      </c>
      <c r="M233" s="6">
        <v>0</v>
      </c>
      <c r="N233" s="6">
        <v>0</v>
      </c>
      <c r="O233" s="6">
        <v>0</v>
      </c>
      <c r="P233" s="6">
        <v>2</v>
      </c>
      <c r="Q233" s="4" t="s">
        <v>26</v>
      </c>
      <c r="R233" s="4">
        <v>0</v>
      </c>
      <c r="S233" s="4" t="s">
        <v>78</v>
      </c>
      <c r="U233" s="4">
        <v>10</v>
      </c>
      <c r="V233" s="4">
        <v>0</v>
      </c>
      <c r="W233" s="4">
        <v>0</v>
      </c>
    </row>
    <row r="234" spans="1:23" ht="11.25" customHeight="1" x14ac:dyDescent="0.3">
      <c r="A234" s="4" t="s">
        <v>21</v>
      </c>
      <c r="B234" s="4" t="s">
        <v>39</v>
      </c>
      <c r="C234" s="4" t="s">
        <v>40</v>
      </c>
      <c r="D234" s="4" t="s">
        <v>48</v>
      </c>
      <c r="E234" s="4" t="s">
        <v>49</v>
      </c>
      <c r="F234" s="4" t="s">
        <v>25</v>
      </c>
      <c r="G234" s="4" t="s">
        <v>25</v>
      </c>
      <c r="H234" s="4" t="s">
        <v>25</v>
      </c>
      <c r="I234" s="5">
        <v>44652</v>
      </c>
      <c r="J234" s="6">
        <v>374</v>
      </c>
      <c r="K234" s="6">
        <v>351.56</v>
      </c>
      <c r="L234" s="6">
        <v>0</v>
      </c>
      <c r="M234" s="6">
        <v>0</v>
      </c>
      <c r="N234" s="6">
        <v>0</v>
      </c>
      <c r="O234" s="6">
        <v>0</v>
      </c>
      <c r="P234" s="6">
        <v>2</v>
      </c>
      <c r="Q234" s="4" t="s">
        <v>26</v>
      </c>
      <c r="R234" s="4">
        <v>0</v>
      </c>
      <c r="S234" s="4" t="s">
        <v>79</v>
      </c>
      <c r="U234" s="4">
        <v>10</v>
      </c>
      <c r="V234" s="4">
        <v>0</v>
      </c>
      <c r="W234" s="4">
        <v>0</v>
      </c>
    </row>
    <row r="235" spans="1:23" ht="11.25" customHeight="1" x14ac:dyDescent="0.3">
      <c r="A235" s="4" t="s">
        <v>21</v>
      </c>
      <c r="B235" s="4" t="s">
        <v>39</v>
      </c>
      <c r="C235" s="4" t="s">
        <v>40</v>
      </c>
      <c r="D235" s="4" t="s">
        <v>48</v>
      </c>
      <c r="E235" s="4" t="s">
        <v>49</v>
      </c>
      <c r="F235" s="4" t="s">
        <v>25</v>
      </c>
      <c r="G235" s="4" t="s">
        <v>25</v>
      </c>
      <c r="H235" s="4" t="s">
        <v>25</v>
      </c>
      <c r="I235" s="5">
        <v>44682</v>
      </c>
      <c r="J235" s="6">
        <v>382</v>
      </c>
      <c r="K235" s="6">
        <v>359.08</v>
      </c>
      <c r="L235" s="6">
        <v>0</v>
      </c>
      <c r="M235" s="6">
        <v>0</v>
      </c>
      <c r="N235" s="6">
        <v>0</v>
      </c>
      <c r="O235" s="6">
        <v>0</v>
      </c>
      <c r="P235" s="6">
        <v>2</v>
      </c>
      <c r="Q235" s="4" t="s">
        <v>26</v>
      </c>
      <c r="R235" s="4">
        <v>0</v>
      </c>
      <c r="S235" s="4" t="s">
        <v>80</v>
      </c>
      <c r="U235" s="4">
        <v>10</v>
      </c>
      <c r="V235" s="4">
        <v>0</v>
      </c>
      <c r="W235" s="4">
        <v>0</v>
      </c>
    </row>
    <row r="236" spans="1:23" ht="11.25" customHeight="1" x14ac:dyDescent="0.3">
      <c r="A236" s="4" t="s">
        <v>21</v>
      </c>
      <c r="B236" s="4" t="s">
        <v>39</v>
      </c>
      <c r="C236" s="4" t="s">
        <v>40</v>
      </c>
      <c r="D236" s="4" t="s">
        <v>48</v>
      </c>
      <c r="E236" s="4" t="s">
        <v>49</v>
      </c>
      <c r="F236" s="4" t="s">
        <v>25</v>
      </c>
      <c r="G236" s="4" t="s">
        <v>25</v>
      </c>
      <c r="H236" s="4" t="s">
        <v>25</v>
      </c>
      <c r="I236" s="5">
        <v>44713</v>
      </c>
      <c r="J236" s="6">
        <v>365</v>
      </c>
      <c r="K236" s="6">
        <v>343.1</v>
      </c>
      <c r="L236" s="6">
        <v>0</v>
      </c>
      <c r="M236" s="6">
        <v>0</v>
      </c>
      <c r="N236" s="6">
        <v>0</v>
      </c>
      <c r="O236" s="6">
        <v>0</v>
      </c>
      <c r="P236" s="6">
        <v>2</v>
      </c>
      <c r="Q236" s="4" t="s">
        <v>26</v>
      </c>
      <c r="R236" s="4">
        <v>0</v>
      </c>
      <c r="S236" s="4" t="s">
        <v>81</v>
      </c>
      <c r="U236" s="4">
        <v>10</v>
      </c>
      <c r="V236" s="4">
        <v>0</v>
      </c>
      <c r="W236" s="4">
        <v>0</v>
      </c>
    </row>
    <row r="237" spans="1:23" ht="11.25" customHeight="1" x14ac:dyDescent="0.3">
      <c r="A237" s="4" t="s">
        <v>21</v>
      </c>
      <c r="B237" s="4" t="s">
        <v>39</v>
      </c>
      <c r="C237" s="4" t="s">
        <v>40</v>
      </c>
      <c r="D237" s="4" t="s">
        <v>48</v>
      </c>
      <c r="E237" s="4" t="s">
        <v>49</v>
      </c>
      <c r="F237" s="4" t="s">
        <v>25</v>
      </c>
      <c r="G237" s="4" t="s">
        <v>25</v>
      </c>
      <c r="H237" s="4" t="s">
        <v>25</v>
      </c>
      <c r="I237" s="5">
        <v>44743</v>
      </c>
      <c r="J237" s="6">
        <v>372</v>
      </c>
      <c r="K237" s="6">
        <v>349.68</v>
      </c>
      <c r="L237" s="6">
        <v>0</v>
      </c>
      <c r="M237" s="6">
        <v>0</v>
      </c>
      <c r="N237" s="6">
        <v>0</v>
      </c>
      <c r="O237" s="6">
        <v>0</v>
      </c>
      <c r="P237" s="6">
        <v>2</v>
      </c>
      <c r="Q237" s="4" t="s">
        <v>26</v>
      </c>
      <c r="R237" s="4">
        <v>0</v>
      </c>
      <c r="S237" s="4" t="s">
        <v>82</v>
      </c>
      <c r="U237" s="4">
        <v>10</v>
      </c>
      <c r="V237" s="4">
        <v>0</v>
      </c>
      <c r="W237" s="4">
        <v>0</v>
      </c>
    </row>
    <row r="238" spans="1:23" ht="11.25" customHeight="1" x14ac:dyDescent="0.3">
      <c r="A238" s="4" t="s">
        <v>21</v>
      </c>
      <c r="B238" s="4" t="s">
        <v>39</v>
      </c>
      <c r="C238" s="4" t="s">
        <v>40</v>
      </c>
      <c r="D238" s="4" t="s">
        <v>48</v>
      </c>
      <c r="E238" s="4" t="s">
        <v>49</v>
      </c>
      <c r="F238" s="4" t="s">
        <v>25</v>
      </c>
      <c r="G238" s="4" t="s">
        <v>25</v>
      </c>
      <c r="H238" s="4" t="s">
        <v>25</v>
      </c>
      <c r="I238" s="5">
        <v>44774</v>
      </c>
      <c r="J238" s="6">
        <v>424</v>
      </c>
      <c r="K238" s="6">
        <v>398.56</v>
      </c>
      <c r="L238" s="6">
        <v>0</v>
      </c>
      <c r="M238" s="6">
        <v>0</v>
      </c>
      <c r="N238" s="6">
        <v>0</v>
      </c>
      <c r="O238" s="6">
        <v>0</v>
      </c>
      <c r="P238" s="6">
        <v>2</v>
      </c>
      <c r="Q238" s="4" t="s">
        <v>26</v>
      </c>
      <c r="R238" s="4">
        <v>0</v>
      </c>
      <c r="S238" s="4" t="s">
        <v>83</v>
      </c>
      <c r="U238" s="4">
        <v>10</v>
      </c>
      <c r="V238" s="4">
        <v>0</v>
      </c>
      <c r="W238" s="4">
        <v>0</v>
      </c>
    </row>
    <row r="239" spans="1:23" ht="11.25" customHeight="1" x14ac:dyDescent="0.3">
      <c r="A239" s="4" t="s">
        <v>21</v>
      </c>
      <c r="B239" s="4" t="s">
        <v>39</v>
      </c>
      <c r="C239" s="4" t="s">
        <v>40</v>
      </c>
      <c r="D239" s="4" t="s">
        <v>48</v>
      </c>
      <c r="E239" s="4" t="s">
        <v>49</v>
      </c>
      <c r="F239" s="4" t="s">
        <v>25</v>
      </c>
      <c r="G239" s="4" t="s">
        <v>25</v>
      </c>
      <c r="H239" s="4" t="s">
        <v>34</v>
      </c>
      <c r="I239" s="5">
        <v>44440</v>
      </c>
      <c r="J239" s="6">
        <v>0</v>
      </c>
      <c r="K239" s="6">
        <v>0</v>
      </c>
      <c r="L239" s="6">
        <v>14.760999999999999</v>
      </c>
      <c r="M239" s="6">
        <v>13.87534</v>
      </c>
      <c r="N239" s="6">
        <v>14.760999999999999</v>
      </c>
      <c r="O239" s="6">
        <v>13.87534</v>
      </c>
      <c r="P239" s="6">
        <v>0</v>
      </c>
      <c r="Q239" s="4" t="s">
        <v>26</v>
      </c>
      <c r="R239" s="4">
        <v>0</v>
      </c>
      <c r="S239" s="4" t="s">
        <v>84</v>
      </c>
      <c r="T239" s="4" t="s">
        <v>277</v>
      </c>
      <c r="U239" s="4">
        <v>0</v>
      </c>
      <c r="V239" s="4">
        <v>23</v>
      </c>
      <c r="W239" s="4">
        <v>25</v>
      </c>
    </row>
    <row r="240" spans="1:23" ht="11.25" customHeight="1" x14ac:dyDescent="0.3">
      <c r="A240" s="4" t="s">
        <v>21</v>
      </c>
      <c r="B240" s="4" t="s">
        <v>39</v>
      </c>
      <c r="C240" s="4" t="s">
        <v>40</v>
      </c>
      <c r="D240" s="4" t="s">
        <v>48</v>
      </c>
      <c r="E240" s="4" t="s">
        <v>49</v>
      </c>
      <c r="F240" s="4" t="s">
        <v>25</v>
      </c>
      <c r="G240" s="4" t="s">
        <v>25</v>
      </c>
      <c r="H240" s="4" t="s">
        <v>34</v>
      </c>
      <c r="I240" s="5">
        <v>44470</v>
      </c>
      <c r="J240" s="6">
        <v>0</v>
      </c>
      <c r="K240" s="6">
        <v>0</v>
      </c>
      <c r="L240" s="6">
        <v>15.125</v>
      </c>
      <c r="M240" s="6">
        <v>14.217499999999999</v>
      </c>
      <c r="N240" s="6">
        <v>15.125</v>
      </c>
      <c r="O240" s="6">
        <v>14.217499999999999</v>
      </c>
      <c r="P240" s="6">
        <v>0</v>
      </c>
      <c r="Q240" s="4" t="s">
        <v>26</v>
      </c>
      <c r="R240" s="4">
        <v>0</v>
      </c>
      <c r="S240" s="4" t="s">
        <v>85</v>
      </c>
      <c r="T240" s="4" t="s">
        <v>278</v>
      </c>
      <c r="U240" s="4">
        <v>0</v>
      </c>
      <c r="V240" s="4">
        <v>23</v>
      </c>
      <c r="W240" s="4">
        <v>25</v>
      </c>
    </row>
    <row r="241" spans="1:23" ht="11.25" customHeight="1" x14ac:dyDescent="0.3">
      <c r="A241" s="4" t="s">
        <v>21</v>
      </c>
      <c r="B241" s="4" t="s">
        <v>39</v>
      </c>
      <c r="C241" s="4" t="s">
        <v>40</v>
      </c>
      <c r="D241" s="4" t="s">
        <v>48</v>
      </c>
      <c r="E241" s="4" t="s">
        <v>49</v>
      </c>
      <c r="F241" s="4" t="s">
        <v>25</v>
      </c>
      <c r="G241" s="4" t="s">
        <v>25</v>
      </c>
      <c r="H241" s="4" t="s">
        <v>34</v>
      </c>
      <c r="I241" s="5">
        <v>44501</v>
      </c>
      <c r="J241" s="6">
        <v>0</v>
      </c>
      <c r="K241" s="6">
        <v>0</v>
      </c>
      <c r="L241" s="6">
        <v>13.497</v>
      </c>
      <c r="M241" s="6">
        <v>12.68718</v>
      </c>
      <c r="N241" s="6">
        <v>13.497</v>
      </c>
      <c r="O241" s="6">
        <v>12.68718</v>
      </c>
      <c r="P241" s="6">
        <v>0</v>
      </c>
      <c r="Q241" s="4" t="s">
        <v>26</v>
      </c>
      <c r="R241" s="4">
        <v>0</v>
      </c>
      <c r="S241" s="4" t="s">
        <v>86</v>
      </c>
      <c r="T241" s="4" t="s">
        <v>279</v>
      </c>
      <c r="U241" s="4">
        <v>0</v>
      </c>
      <c r="V241" s="4">
        <v>23</v>
      </c>
      <c r="W241" s="4">
        <v>25</v>
      </c>
    </row>
    <row r="242" spans="1:23" ht="11.25" customHeight="1" x14ac:dyDescent="0.3">
      <c r="A242" s="4" t="s">
        <v>21</v>
      </c>
      <c r="B242" s="4" t="s">
        <v>39</v>
      </c>
      <c r="C242" s="4" t="s">
        <v>40</v>
      </c>
      <c r="D242" s="4" t="s">
        <v>48</v>
      </c>
      <c r="E242" s="4" t="s">
        <v>49</v>
      </c>
      <c r="F242" s="4" t="s">
        <v>25</v>
      </c>
      <c r="G242" s="4" t="s">
        <v>25</v>
      </c>
      <c r="H242" s="4" t="s">
        <v>34</v>
      </c>
      <c r="I242" s="5">
        <v>44531</v>
      </c>
      <c r="J242" s="6">
        <v>0</v>
      </c>
      <c r="K242" s="6">
        <v>0</v>
      </c>
      <c r="L242" s="6">
        <v>19.161000000000001</v>
      </c>
      <c r="M242" s="6">
        <v>18.011340000000001</v>
      </c>
      <c r="N242" s="6">
        <v>19.161000000000001</v>
      </c>
      <c r="O242" s="6">
        <v>18.011340000000001</v>
      </c>
      <c r="P242" s="6">
        <v>0</v>
      </c>
      <c r="Q242" s="4" t="s">
        <v>26</v>
      </c>
      <c r="R242" s="4">
        <v>0</v>
      </c>
      <c r="S242" s="4" t="s">
        <v>87</v>
      </c>
      <c r="T242" s="4" t="s">
        <v>280</v>
      </c>
      <c r="U242" s="4">
        <v>0</v>
      </c>
      <c r="V242" s="4">
        <v>23</v>
      </c>
      <c r="W242" s="4">
        <v>25</v>
      </c>
    </row>
    <row r="243" spans="1:23" ht="11.25" customHeight="1" x14ac:dyDescent="0.3">
      <c r="A243" s="4" t="s">
        <v>21</v>
      </c>
      <c r="B243" s="4" t="s">
        <v>39</v>
      </c>
      <c r="C243" s="4" t="s">
        <v>40</v>
      </c>
      <c r="D243" s="4" t="s">
        <v>48</v>
      </c>
      <c r="E243" s="4" t="s">
        <v>49</v>
      </c>
      <c r="F243" s="4" t="s">
        <v>25</v>
      </c>
      <c r="G243" s="4" t="s">
        <v>25</v>
      </c>
      <c r="H243" s="4" t="s">
        <v>34</v>
      </c>
      <c r="I243" s="5">
        <v>44562</v>
      </c>
      <c r="J243" s="6">
        <v>0</v>
      </c>
      <c r="K243" s="6">
        <v>0</v>
      </c>
      <c r="L243" s="6">
        <v>22.17</v>
      </c>
      <c r="M243" s="6">
        <v>20.8398</v>
      </c>
      <c r="N243" s="6">
        <v>22.17</v>
      </c>
      <c r="O243" s="6">
        <v>20.8398</v>
      </c>
      <c r="P243" s="6">
        <v>0</v>
      </c>
      <c r="Q243" s="4" t="s">
        <v>26</v>
      </c>
      <c r="R243" s="4">
        <v>0</v>
      </c>
      <c r="S243" s="4" t="s">
        <v>88</v>
      </c>
      <c r="T243" s="4" t="s">
        <v>281</v>
      </c>
      <c r="U243" s="4">
        <v>0</v>
      </c>
      <c r="V243" s="4">
        <v>23</v>
      </c>
      <c r="W243" s="4">
        <v>25</v>
      </c>
    </row>
    <row r="244" spans="1:23" ht="11.25" customHeight="1" x14ac:dyDescent="0.3">
      <c r="A244" s="4" t="s">
        <v>21</v>
      </c>
      <c r="B244" s="4" t="s">
        <v>39</v>
      </c>
      <c r="C244" s="4" t="s">
        <v>40</v>
      </c>
      <c r="D244" s="4" t="s">
        <v>48</v>
      </c>
      <c r="E244" s="4" t="s">
        <v>49</v>
      </c>
      <c r="F244" s="4" t="s">
        <v>25</v>
      </c>
      <c r="G244" s="4" t="s">
        <v>25</v>
      </c>
      <c r="H244" s="4" t="s">
        <v>34</v>
      </c>
      <c r="I244" s="5">
        <v>44593</v>
      </c>
      <c r="J244" s="6">
        <v>0</v>
      </c>
      <c r="K244" s="6">
        <v>0</v>
      </c>
      <c r="L244" s="6">
        <v>21.122</v>
      </c>
      <c r="M244" s="6">
        <v>19.854679999999998</v>
      </c>
      <c r="N244" s="6">
        <v>21.122</v>
      </c>
      <c r="O244" s="6">
        <v>19.854679999999998</v>
      </c>
      <c r="P244" s="6">
        <v>0</v>
      </c>
      <c r="Q244" s="4" t="s">
        <v>26</v>
      </c>
      <c r="R244" s="4">
        <v>0</v>
      </c>
      <c r="S244" s="4" t="s">
        <v>89</v>
      </c>
      <c r="T244" s="4" t="s">
        <v>282</v>
      </c>
      <c r="U244" s="4">
        <v>0</v>
      </c>
      <c r="V244" s="4">
        <v>23</v>
      </c>
      <c r="W244" s="4">
        <v>25</v>
      </c>
    </row>
    <row r="245" spans="1:23" ht="11.25" customHeight="1" x14ac:dyDescent="0.3">
      <c r="A245" s="4" t="s">
        <v>21</v>
      </c>
      <c r="B245" s="4" t="s">
        <v>39</v>
      </c>
      <c r="C245" s="4" t="s">
        <v>40</v>
      </c>
      <c r="D245" s="4" t="s">
        <v>48</v>
      </c>
      <c r="E245" s="4" t="s">
        <v>49</v>
      </c>
      <c r="F245" s="4" t="s">
        <v>25</v>
      </c>
      <c r="G245" s="4" t="s">
        <v>25</v>
      </c>
      <c r="H245" s="4" t="s">
        <v>34</v>
      </c>
      <c r="I245" s="5">
        <v>44621</v>
      </c>
      <c r="J245" s="6">
        <v>0</v>
      </c>
      <c r="K245" s="6">
        <v>0</v>
      </c>
      <c r="L245" s="6">
        <v>19.91</v>
      </c>
      <c r="M245" s="6">
        <v>18.715399999999999</v>
      </c>
      <c r="N245" s="6">
        <v>19.91</v>
      </c>
      <c r="O245" s="6">
        <v>18.715399999999999</v>
      </c>
      <c r="P245" s="6">
        <v>0</v>
      </c>
      <c r="Q245" s="4" t="s">
        <v>26</v>
      </c>
      <c r="R245" s="4">
        <v>0</v>
      </c>
      <c r="S245" s="4" t="s">
        <v>90</v>
      </c>
      <c r="T245" s="4" t="s">
        <v>283</v>
      </c>
      <c r="U245" s="4">
        <v>0</v>
      </c>
      <c r="V245" s="4">
        <v>23</v>
      </c>
      <c r="W245" s="4">
        <v>25</v>
      </c>
    </row>
    <row r="246" spans="1:23" ht="11.25" customHeight="1" x14ac:dyDescent="0.3">
      <c r="A246" s="4" t="s">
        <v>21</v>
      </c>
      <c r="B246" s="4" t="s">
        <v>39</v>
      </c>
      <c r="C246" s="4" t="s">
        <v>40</v>
      </c>
      <c r="D246" s="4" t="s">
        <v>48</v>
      </c>
      <c r="E246" s="4" t="s">
        <v>49</v>
      </c>
      <c r="F246" s="4" t="s">
        <v>25</v>
      </c>
      <c r="G246" s="4" t="s">
        <v>25</v>
      </c>
      <c r="H246" s="4" t="s">
        <v>34</v>
      </c>
      <c r="I246" s="5">
        <v>44652</v>
      </c>
      <c r="J246" s="6">
        <v>0</v>
      </c>
      <c r="K246" s="6">
        <v>0</v>
      </c>
      <c r="L246" s="6">
        <v>17.25</v>
      </c>
      <c r="M246" s="6">
        <v>16.215</v>
      </c>
      <c r="N246" s="6">
        <v>17.25</v>
      </c>
      <c r="O246" s="6">
        <v>16.215</v>
      </c>
      <c r="P246" s="6">
        <v>0</v>
      </c>
      <c r="Q246" s="4" t="s">
        <v>26</v>
      </c>
      <c r="R246" s="4">
        <v>0</v>
      </c>
      <c r="S246" s="4" t="s">
        <v>91</v>
      </c>
      <c r="T246" s="4" t="s">
        <v>284</v>
      </c>
      <c r="U246" s="4">
        <v>0</v>
      </c>
      <c r="V246" s="4">
        <v>23</v>
      </c>
      <c r="W246" s="4">
        <v>25</v>
      </c>
    </row>
    <row r="247" spans="1:23" ht="11.25" customHeight="1" x14ac:dyDescent="0.3">
      <c r="A247" s="4" t="s">
        <v>21</v>
      </c>
      <c r="B247" s="4" t="s">
        <v>39</v>
      </c>
      <c r="C247" s="4" t="s">
        <v>40</v>
      </c>
      <c r="D247" s="4" t="s">
        <v>48</v>
      </c>
      <c r="E247" s="4" t="s">
        <v>49</v>
      </c>
      <c r="F247" s="4" t="s">
        <v>25</v>
      </c>
      <c r="G247" s="4" t="s">
        <v>25</v>
      </c>
      <c r="H247" s="4" t="s">
        <v>34</v>
      </c>
      <c r="I247" s="5">
        <v>44682</v>
      </c>
      <c r="J247" s="6">
        <v>0</v>
      </c>
      <c r="K247" s="6">
        <v>0</v>
      </c>
      <c r="L247" s="6">
        <v>17.478000000000002</v>
      </c>
      <c r="M247" s="6">
        <v>16.429320000000001</v>
      </c>
      <c r="N247" s="6">
        <v>17.478000000000002</v>
      </c>
      <c r="O247" s="6">
        <v>16.429320000000001</v>
      </c>
      <c r="P247" s="6">
        <v>0</v>
      </c>
      <c r="Q247" s="4" t="s">
        <v>26</v>
      </c>
      <c r="R247" s="4">
        <v>0</v>
      </c>
      <c r="S247" s="4" t="s">
        <v>92</v>
      </c>
      <c r="T247" s="4" t="s">
        <v>285</v>
      </c>
      <c r="U247" s="4">
        <v>0</v>
      </c>
      <c r="V247" s="4">
        <v>23</v>
      </c>
      <c r="W247" s="4">
        <v>25</v>
      </c>
    </row>
    <row r="248" spans="1:23" ht="11.25" customHeight="1" x14ac:dyDescent="0.3">
      <c r="A248" s="4" t="s">
        <v>21</v>
      </c>
      <c r="B248" s="4" t="s">
        <v>39</v>
      </c>
      <c r="C248" s="4" t="s">
        <v>40</v>
      </c>
      <c r="D248" s="4" t="s">
        <v>48</v>
      </c>
      <c r="E248" s="4" t="s">
        <v>49</v>
      </c>
      <c r="F248" s="4" t="s">
        <v>25</v>
      </c>
      <c r="G248" s="4" t="s">
        <v>25</v>
      </c>
      <c r="H248" s="4" t="s">
        <v>34</v>
      </c>
      <c r="I248" s="5">
        <v>44713</v>
      </c>
      <c r="J248" s="6">
        <v>0</v>
      </c>
      <c r="K248" s="6">
        <v>0</v>
      </c>
      <c r="L248" s="6">
        <v>16.527000000000001</v>
      </c>
      <c r="M248" s="6">
        <v>15.53538</v>
      </c>
      <c r="N248" s="6">
        <v>16.527000000000001</v>
      </c>
      <c r="O248" s="6">
        <v>15.53538</v>
      </c>
      <c r="P248" s="6">
        <v>0</v>
      </c>
      <c r="Q248" s="4" t="s">
        <v>26</v>
      </c>
      <c r="R248" s="4">
        <v>0</v>
      </c>
      <c r="S248" s="4" t="s">
        <v>93</v>
      </c>
      <c r="T248" s="4" t="s">
        <v>286</v>
      </c>
      <c r="U248" s="4">
        <v>0</v>
      </c>
      <c r="V248" s="4">
        <v>23</v>
      </c>
      <c r="W248" s="4">
        <v>25</v>
      </c>
    </row>
    <row r="249" spans="1:23" ht="11.25" customHeight="1" x14ac:dyDescent="0.3">
      <c r="A249" s="4" t="s">
        <v>21</v>
      </c>
      <c r="B249" s="4" t="s">
        <v>39</v>
      </c>
      <c r="C249" s="4" t="s">
        <v>40</v>
      </c>
      <c r="D249" s="4" t="s">
        <v>48</v>
      </c>
      <c r="E249" s="4" t="s">
        <v>49</v>
      </c>
      <c r="F249" s="4" t="s">
        <v>25</v>
      </c>
      <c r="G249" s="4" t="s">
        <v>25</v>
      </c>
      <c r="H249" s="4" t="s">
        <v>34</v>
      </c>
      <c r="I249" s="5">
        <v>44743</v>
      </c>
      <c r="J249" s="6">
        <v>0</v>
      </c>
      <c r="K249" s="6">
        <v>0</v>
      </c>
      <c r="L249" s="6">
        <v>17.495000000000001</v>
      </c>
      <c r="M249" s="6">
        <v>16.4453</v>
      </c>
      <c r="N249" s="6">
        <v>17.495000000000001</v>
      </c>
      <c r="O249" s="6">
        <v>16.4453</v>
      </c>
      <c r="P249" s="6">
        <v>0</v>
      </c>
      <c r="Q249" s="4" t="s">
        <v>26</v>
      </c>
      <c r="R249" s="4">
        <v>0</v>
      </c>
      <c r="S249" s="4" t="s">
        <v>94</v>
      </c>
      <c r="T249" s="4" t="s">
        <v>287</v>
      </c>
      <c r="U249" s="4">
        <v>0</v>
      </c>
      <c r="V249" s="4">
        <v>23</v>
      </c>
      <c r="W249" s="4">
        <v>25</v>
      </c>
    </row>
    <row r="250" spans="1:23" ht="11.25" customHeight="1" x14ac:dyDescent="0.3">
      <c r="A250" s="4" t="s">
        <v>21</v>
      </c>
      <c r="B250" s="4" t="s">
        <v>39</v>
      </c>
      <c r="C250" s="4" t="s">
        <v>40</v>
      </c>
      <c r="D250" s="4" t="s">
        <v>48</v>
      </c>
      <c r="E250" s="4" t="s">
        <v>49</v>
      </c>
      <c r="F250" s="4" t="s">
        <v>25</v>
      </c>
      <c r="G250" s="4" t="s">
        <v>25</v>
      </c>
      <c r="H250" s="4" t="s">
        <v>34</v>
      </c>
      <c r="I250" s="5">
        <v>44774</v>
      </c>
      <c r="J250" s="6">
        <v>0</v>
      </c>
      <c r="K250" s="6">
        <v>0</v>
      </c>
      <c r="L250" s="6">
        <v>17.931000000000001</v>
      </c>
      <c r="M250" s="6">
        <v>16.855139999999999</v>
      </c>
      <c r="N250" s="6">
        <v>17.931000000000001</v>
      </c>
      <c r="O250" s="6">
        <v>16.855139999999999</v>
      </c>
      <c r="P250" s="6">
        <v>0</v>
      </c>
      <c r="Q250" s="4" t="s">
        <v>26</v>
      </c>
      <c r="R250" s="4">
        <v>0</v>
      </c>
      <c r="S250" s="4" t="s">
        <v>95</v>
      </c>
      <c r="T250" s="4" t="s">
        <v>288</v>
      </c>
      <c r="U250" s="4">
        <v>0</v>
      </c>
      <c r="V250" s="4">
        <v>23</v>
      </c>
      <c r="W250" s="4">
        <v>25</v>
      </c>
    </row>
    <row r="251" spans="1:23" ht="11.25" customHeight="1" x14ac:dyDescent="0.3">
      <c r="A251" s="4" t="s">
        <v>21</v>
      </c>
      <c r="B251" s="4" t="s">
        <v>22</v>
      </c>
      <c r="C251" s="4" t="s">
        <v>33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35</v>
      </c>
      <c r="I251" s="5">
        <v>44440</v>
      </c>
      <c r="J251" s="6">
        <v>0</v>
      </c>
      <c r="K251" s="6">
        <v>0</v>
      </c>
      <c r="L251" s="6">
        <v>0.65800000000000003</v>
      </c>
      <c r="M251" s="6">
        <v>0.65800000000000003</v>
      </c>
      <c r="N251" s="6">
        <v>0.65800000000000003</v>
      </c>
      <c r="O251" s="6">
        <v>0.65800000000000003</v>
      </c>
      <c r="P251" s="6">
        <v>0</v>
      </c>
      <c r="Q251" s="4" t="s">
        <v>26</v>
      </c>
      <c r="R251" s="4">
        <v>0</v>
      </c>
      <c r="S251" s="4" t="s">
        <v>96</v>
      </c>
      <c r="T251" s="4" t="s">
        <v>289</v>
      </c>
      <c r="U251" s="4">
        <v>0</v>
      </c>
      <c r="V251" s="4">
        <v>22</v>
      </c>
      <c r="W251" s="4">
        <v>32</v>
      </c>
    </row>
    <row r="252" spans="1:23" ht="11.25" customHeight="1" x14ac:dyDescent="0.3">
      <c r="A252" s="4" t="s">
        <v>21</v>
      </c>
      <c r="B252" s="4" t="s">
        <v>22</v>
      </c>
      <c r="C252" s="4" t="s">
        <v>33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35</v>
      </c>
      <c r="I252" s="5">
        <v>44470</v>
      </c>
      <c r="J252" s="6">
        <v>0</v>
      </c>
      <c r="K252" s="6">
        <v>0</v>
      </c>
      <c r="L252" s="6">
        <v>0.63500000000000001</v>
      </c>
      <c r="M252" s="6">
        <v>0.63500000000000001</v>
      </c>
      <c r="N252" s="6">
        <v>0.63500000000000001</v>
      </c>
      <c r="O252" s="6">
        <v>0.63500000000000001</v>
      </c>
      <c r="P252" s="6">
        <v>0</v>
      </c>
      <c r="Q252" s="4" t="s">
        <v>26</v>
      </c>
      <c r="R252" s="4">
        <v>0</v>
      </c>
      <c r="S252" s="4" t="s">
        <v>97</v>
      </c>
      <c r="T252" s="4" t="s">
        <v>290</v>
      </c>
      <c r="U252" s="4">
        <v>0</v>
      </c>
      <c r="V252" s="4">
        <v>22</v>
      </c>
      <c r="W252" s="4">
        <v>32</v>
      </c>
    </row>
    <row r="253" spans="1:23" ht="11.25" customHeight="1" x14ac:dyDescent="0.3">
      <c r="A253" s="4" t="s">
        <v>21</v>
      </c>
      <c r="B253" s="4" t="s">
        <v>22</v>
      </c>
      <c r="C253" s="4" t="s">
        <v>33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35</v>
      </c>
      <c r="I253" s="5">
        <v>44501</v>
      </c>
      <c r="J253" s="6">
        <v>0</v>
      </c>
      <c r="K253" s="6">
        <v>0</v>
      </c>
      <c r="L253" s="6">
        <v>0.67700000000000005</v>
      </c>
      <c r="M253" s="6">
        <v>0.67700000000000005</v>
      </c>
      <c r="N253" s="6">
        <v>0.67700000000000005</v>
      </c>
      <c r="O253" s="6">
        <v>0.67700000000000005</v>
      </c>
      <c r="P253" s="6">
        <v>0</v>
      </c>
      <c r="Q253" s="4" t="s">
        <v>26</v>
      </c>
      <c r="R253" s="4">
        <v>0</v>
      </c>
      <c r="S253" s="4" t="s">
        <v>98</v>
      </c>
      <c r="T253" s="4" t="s">
        <v>291</v>
      </c>
      <c r="U253" s="4">
        <v>0</v>
      </c>
      <c r="V253" s="4">
        <v>22</v>
      </c>
      <c r="W253" s="4">
        <v>32</v>
      </c>
    </row>
    <row r="254" spans="1:23" ht="11.25" customHeight="1" x14ac:dyDescent="0.3">
      <c r="A254" s="4" t="s">
        <v>21</v>
      </c>
      <c r="B254" s="4" t="s">
        <v>22</v>
      </c>
      <c r="C254" s="4" t="s">
        <v>33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35</v>
      </c>
      <c r="I254" s="5">
        <v>44531</v>
      </c>
      <c r="J254" s="6">
        <v>0</v>
      </c>
      <c r="K254" s="6">
        <v>0</v>
      </c>
      <c r="L254" s="6">
        <v>0.71799999999999997</v>
      </c>
      <c r="M254" s="6">
        <v>0.71799999999999997</v>
      </c>
      <c r="N254" s="6">
        <v>0.71799999999999997</v>
      </c>
      <c r="O254" s="6">
        <v>0.71799999999999997</v>
      </c>
      <c r="P254" s="6">
        <v>0</v>
      </c>
      <c r="Q254" s="4" t="s">
        <v>26</v>
      </c>
      <c r="R254" s="4">
        <v>0</v>
      </c>
      <c r="S254" s="4" t="s">
        <v>99</v>
      </c>
      <c r="T254" s="4" t="s">
        <v>292</v>
      </c>
      <c r="U254" s="4">
        <v>0</v>
      </c>
      <c r="V254" s="4">
        <v>22</v>
      </c>
      <c r="W254" s="4">
        <v>32</v>
      </c>
    </row>
    <row r="255" spans="1:23" ht="11.25" customHeight="1" x14ac:dyDescent="0.3">
      <c r="A255" s="4" t="s">
        <v>21</v>
      </c>
      <c r="B255" s="4" t="s">
        <v>22</v>
      </c>
      <c r="C255" s="4" t="s">
        <v>33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35</v>
      </c>
      <c r="I255" s="5">
        <v>44562</v>
      </c>
      <c r="J255" s="6">
        <v>0</v>
      </c>
      <c r="K255" s="6">
        <v>0</v>
      </c>
      <c r="L255" s="6">
        <v>0.748</v>
      </c>
      <c r="M255" s="6">
        <v>0.748</v>
      </c>
      <c r="N255" s="6">
        <v>0.748</v>
      </c>
      <c r="O255" s="6">
        <v>0.748</v>
      </c>
      <c r="P255" s="6">
        <v>0</v>
      </c>
      <c r="Q255" s="4" t="s">
        <v>26</v>
      </c>
      <c r="R255" s="4">
        <v>0</v>
      </c>
      <c r="S255" s="4" t="s">
        <v>100</v>
      </c>
      <c r="T255" s="4" t="s">
        <v>293</v>
      </c>
      <c r="U255" s="4">
        <v>0</v>
      </c>
      <c r="V255" s="4">
        <v>22</v>
      </c>
      <c r="W255" s="4">
        <v>32</v>
      </c>
    </row>
    <row r="256" spans="1:23" ht="11.25" customHeight="1" x14ac:dyDescent="0.3">
      <c r="A256" s="4" t="s">
        <v>21</v>
      </c>
      <c r="B256" s="4" t="s">
        <v>22</v>
      </c>
      <c r="C256" s="4" t="s">
        <v>33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35</v>
      </c>
      <c r="I256" s="5">
        <v>44593</v>
      </c>
      <c r="J256" s="6">
        <v>0</v>
      </c>
      <c r="K256" s="6">
        <v>0</v>
      </c>
      <c r="L256" s="6">
        <v>0.68100000000000005</v>
      </c>
      <c r="M256" s="6">
        <v>0.68100000000000005</v>
      </c>
      <c r="N256" s="6">
        <v>0.68100000000000005</v>
      </c>
      <c r="O256" s="6">
        <v>0.68100000000000005</v>
      </c>
      <c r="P256" s="6">
        <v>0</v>
      </c>
      <c r="Q256" s="4" t="s">
        <v>26</v>
      </c>
      <c r="R256" s="4">
        <v>0</v>
      </c>
      <c r="S256" s="4" t="s">
        <v>101</v>
      </c>
      <c r="T256" s="4" t="s">
        <v>294</v>
      </c>
      <c r="U256" s="4">
        <v>0</v>
      </c>
      <c r="V256" s="4">
        <v>22</v>
      </c>
      <c r="W256" s="4">
        <v>32</v>
      </c>
    </row>
    <row r="257" spans="1:23" ht="11.25" customHeight="1" x14ac:dyDescent="0.3">
      <c r="A257" s="4" t="s">
        <v>21</v>
      </c>
      <c r="B257" s="4" t="s">
        <v>22</v>
      </c>
      <c r="C257" s="4" t="s">
        <v>33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35</v>
      </c>
      <c r="I257" s="5">
        <v>44621</v>
      </c>
      <c r="J257" s="6">
        <v>0</v>
      </c>
      <c r="K257" s="6">
        <v>0</v>
      </c>
      <c r="L257" s="6">
        <v>0.78400000000000003</v>
      </c>
      <c r="M257" s="6">
        <v>0.78400000000000003</v>
      </c>
      <c r="N257" s="6">
        <v>0.78400000000000003</v>
      </c>
      <c r="O257" s="6">
        <v>0.78400000000000003</v>
      </c>
      <c r="P257" s="6">
        <v>0</v>
      </c>
      <c r="Q257" s="4" t="s">
        <v>26</v>
      </c>
      <c r="R257" s="4">
        <v>0</v>
      </c>
      <c r="S257" s="4" t="s">
        <v>102</v>
      </c>
      <c r="T257" s="4" t="s">
        <v>295</v>
      </c>
      <c r="U257" s="4">
        <v>0</v>
      </c>
      <c r="V257" s="4">
        <v>22</v>
      </c>
      <c r="W257" s="4">
        <v>32</v>
      </c>
    </row>
    <row r="258" spans="1:23" ht="11.25" customHeight="1" x14ac:dyDescent="0.3">
      <c r="A258" s="4" t="s">
        <v>21</v>
      </c>
      <c r="B258" s="4" t="s">
        <v>22</v>
      </c>
      <c r="C258" s="4" t="s">
        <v>33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35</v>
      </c>
      <c r="I258" s="5">
        <v>44652</v>
      </c>
      <c r="J258" s="6">
        <v>0</v>
      </c>
      <c r="K258" s="6">
        <v>0</v>
      </c>
      <c r="L258" s="6">
        <v>0.44600000000000001</v>
      </c>
      <c r="M258" s="6">
        <v>0.44600000000000001</v>
      </c>
      <c r="N258" s="6">
        <v>0.44600000000000001</v>
      </c>
      <c r="O258" s="6">
        <v>0.44600000000000001</v>
      </c>
      <c r="P258" s="6">
        <v>0</v>
      </c>
      <c r="Q258" s="4" t="s">
        <v>26</v>
      </c>
      <c r="R258" s="4">
        <v>0</v>
      </c>
      <c r="S258" s="4" t="s">
        <v>103</v>
      </c>
      <c r="T258" s="4" t="s">
        <v>296</v>
      </c>
      <c r="U258" s="4">
        <v>0</v>
      </c>
      <c r="V258" s="4">
        <v>22</v>
      </c>
      <c r="W258" s="4">
        <v>32</v>
      </c>
    </row>
    <row r="259" spans="1:23" ht="11.25" customHeight="1" x14ac:dyDescent="0.3">
      <c r="A259" s="4" t="s">
        <v>21</v>
      </c>
      <c r="B259" s="4" t="s">
        <v>22</v>
      </c>
      <c r="C259" s="4" t="s">
        <v>33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35</v>
      </c>
      <c r="I259" s="5">
        <v>44682</v>
      </c>
      <c r="J259" s="6">
        <v>0</v>
      </c>
      <c r="K259" s="6">
        <v>0</v>
      </c>
      <c r="L259" s="6">
        <v>0.29599999999999999</v>
      </c>
      <c r="M259" s="6">
        <v>0.29599999999999999</v>
      </c>
      <c r="N259" s="6">
        <v>0.29599999999999999</v>
      </c>
      <c r="O259" s="6">
        <v>0.29599999999999999</v>
      </c>
      <c r="P259" s="6">
        <v>0</v>
      </c>
      <c r="Q259" s="4" t="s">
        <v>26</v>
      </c>
      <c r="R259" s="4">
        <v>0</v>
      </c>
      <c r="S259" s="4" t="s">
        <v>104</v>
      </c>
      <c r="T259" s="4" t="s">
        <v>297</v>
      </c>
      <c r="U259" s="4">
        <v>0</v>
      </c>
      <c r="V259" s="4">
        <v>22</v>
      </c>
      <c r="W259" s="4">
        <v>32</v>
      </c>
    </row>
    <row r="260" spans="1:23" ht="11.25" customHeight="1" x14ac:dyDescent="0.3">
      <c r="A260" s="4" t="s">
        <v>21</v>
      </c>
      <c r="B260" s="4" t="s">
        <v>22</v>
      </c>
      <c r="C260" s="4" t="s">
        <v>33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35</v>
      </c>
      <c r="I260" s="5">
        <v>44713</v>
      </c>
      <c r="J260" s="6">
        <v>0</v>
      </c>
      <c r="K260" s="6">
        <v>0</v>
      </c>
      <c r="L260" s="6">
        <v>0.28299999999999997</v>
      </c>
      <c r="M260" s="6">
        <v>0.28299999999999997</v>
      </c>
      <c r="N260" s="6">
        <v>0.28299999999999997</v>
      </c>
      <c r="O260" s="6">
        <v>0.28299999999999997</v>
      </c>
      <c r="P260" s="6">
        <v>0</v>
      </c>
      <c r="Q260" s="4" t="s">
        <v>26</v>
      </c>
      <c r="R260" s="4">
        <v>0</v>
      </c>
      <c r="S260" s="4" t="s">
        <v>105</v>
      </c>
      <c r="T260" s="4" t="s">
        <v>298</v>
      </c>
      <c r="U260" s="4">
        <v>0</v>
      </c>
      <c r="V260" s="4">
        <v>22</v>
      </c>
      <c r="W260" s="4">
        <v>32</v>
      </c>
    </row>
    <row r="261" spans="1:23" ht="11.25" customHeight="1" x14ac:dyDescent="0.3">
      <c r="A261" s="4" t="s">
        <v>21</v>
      </c>
      <c r="B261" s="4" t="s">
        <v>22</v>
      </c>
      <c r="C261" s="4" t="s">
        <v>33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35</v>
      </c>
      <c r="I261" s="5">
        <v>44743</v>
      </c>
      <c r="J261" s="6">
        <v>0</v>
      </c>
      <c r="K261" s="6">
        <v>0</v>
      </c>
      <c r="L261" s="6">
        <v>0.26400000000000001</v>
      </c>
      <c r="M261" s="6">
        <v>0.26400000000000001</v>
      </c>
      <c r="N261" s="6">
        <v>0.26400000000000001</v>
      </c>
      <c r="O261" s="6">
        <v>0.26400000000000001</v>
      </c>
      <c r="P261" s="6">
        <v>0</v>
      </c>
      <c r="Q261" s="4" t="s">
        <v>26</v>
      </c>
      <c r="R261" s="4">
        <v>0</v>
      </c>
      <c r="S261" s="4" t="s">
        <v>106</v>
      </c>
      <c r="T261" s="4" t="s">
        <v>299</v>
      </c>
      <c r="U261" s="4">
        <v>0</v>
      </c>
      <c r="V261" s="4">
        <v>22</v>
      </c>
      <c r="W261" s="4">
        <v>32</v>
      </c>
    </row>
    <row r="262" spans="1:23" ht="11.25" customHeight="1" x14ac:dyDescent="0.3">
      <c r="A262" s="4" t="s">
        <v>21</v>
      </c>
      <c r="B262" s="4" t="s">
        <v>22</v>
      </c>
      <c r="C262" s="4" t="s">
        <v>33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35</v>
      </c>
      <c r="I262" s="5">
        <v>44774</v>
      </c>
      <c r="J262" s="6">
        <v>0</v>
      </c>
      <c r="K262" s="6">
        <v>0</v>
      </c>
      <c r="L262" s="6">
        <v>0.35499999999999998</v>
      </c>
      <c r="M262" s="6">
        <v>0.35499999999999998</v>
      </c>
      <c r="N262" s="6">
        <v>0.35499999999999998</v>
      </c>
      <c r="O262" s="6">
        <v>0.35499999999999998</v>
      </c>
      <c r="P262" s="6">
        <v>0</v>
      </c>
      <c r="Q262" s="4" t="s">
        <v>26</v>
      </c>
      <c r="R262" s="4">
        <v>0</v>
      </c>
      <c r="S262" s="4" t="s">
        <v>107</v>
      </c>
      <c r="T262" s="4" t="s">
        <v>300</v>
      </c>
      <c r="U262" s="4">
        <v>0</v>
      </c>
      <c r="V262" s="4">
        <v>22</v>
      </c>
      <c r="W262" s="4">
        <v>32</v>
      </c>
    </row>
    <row r="263" spans="1:23" ht="11.25" customHeight="1" x14ac:dyDescent="0.3">
      <c r="A263" s="4" t="s">
        <v>21</v>
      </c>
      <c r="B263" s="4" t="s">
        <v>22</v>
      </c>
      <c r="C263" s="4" t="s">
        <v>33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36</v>
      </c>
      <c r="I263" s="5">
        <v>44440</v>
      </c>
      <c r="J263" s="6">
        <v>0</v>
      </c>
      <c r="K263" s="6">
        <v>0</v>
      </c>
      <c r="L263" s="6">
        <v>1.9E-2</v>
      </c>
      <c r="M263" s="6">
        <v>1.9E-2</v>
      </c>
      <c r="N263" s="6">
        <v>1.9E-2</v>
      </c>
      <c r="O263" s="6">
        <v>1.9E-2</v>
      </c>
      <c r="P263" s="6">
        <v>0</v>
      </c>
      <c r="Q263" s="4" t="s">
        <v>26</v>
      </c>
      <c r="R263" s="4">
        <v>0</v>
      </c>
      <c r="S263" s="4" t="s">
        <v>108</v>
      </c>
      <c r="T263" s="4" t="s">
        <v>301</v>
      </c>
      <c r="U263" s="4">
        <v>0</v>
      </c>
      <c r="V263" s="4">
        <v>26</v>
      </c>
      <c r="W263" s="4">
        <v>38</v>
      </c>
    </row>
    <row r="264" spans="1:23" ht="11.25" customHeight="1" x14ac:dyDescent="0.3">
      <c r="A264" s="4" t="s">
        <v>21</v>
      </c>
      <c r="B264" s="4" t="s">
        <v>22</v>
      </c>
      <c r="C264" s="4" t="s">
        <v>33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36</v>
      </c>
      <c r="I264" s="5">
        <v>44470</v>
      </c>
      <c r="J264" s="6">
        <v>0</v>
      </c>
      <c r="K264" s="6">
        <v>0</v>
      </c>
      <c r="L264" s="6">
        <v>1.6E-2</v>
      </c>
      <c r="M264" s="6">
        <v>1.6E-2</v>
      </c>
      <c r="N264" s="6">
        <v>1.6E-2</v>
      </c>
      <c r="O264" s="6">
        <v>1.6E-2</v>
      </c>
      <c r="P264" s="6">
        <v>0</v>
      </c>
      <c r="Q264" s="4" t="s">
        <v>26</v>
      </c>
      <c r="R264" s="4">
        <v>0</v>
      </c>
      <c r="S264" s="4" t="s">
        <v>109</v>
      </c>
      <c r="T264" s="4" t="s">
        <v>302</v>
      </c>
      <c r="U264" s="4">
        <v>0</v>
      </c>
      <c r="V264" s="4">
        <v>26</v>
      </c>
      <c r="W264" s="4">
        <v>38</v>
      </c>
    </row>
    <row r="265" spans="1:23" ht="11.25" customHeight="1" x14ac:dyDescent="0.3">
      <c r="A265" s="4" t="s">
        <v>21</v>
      </c>
      <c r="B265" s="4" t="s">
        <v>22</v>
      </c>
      <c r="C265" s="4" t="s">
        <v>33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36</v>
      </c>
      <c r="I265" s="5">
        <v>44501</v>
      </c>
      <c r="J265" s="6">
        <v>0</v>
      </c>
      <c r="K265" s="6">
        <v>0</v>
      </c>
      <c r="L265" s="6">
        <v>2.4E-2</v>
      </c>
      <c r="M265" s="6">
        <v>2.4E-2</v>
      </c>
      <c r="N265" s="6">
        <v>2.4E-2</v>
      </c>
      <c r="O265" s="6">
        <v>2.4E-2</v>
      </c>
      <c r="P265" s="6">
        <v>0</v>
      </c>
      <c r="Q265" s="4" t="s">
        <v>26</v>
      </c>
      <c r="R265" s="4">
        <v>0</v>
      </c>
      <c r="S265" s="4" t="s">
        <v>110</v>
      </c>
      <c r="T265" s="4" t="s">
        <v>303</v>
      </c>
      <c r="U265" s="4">
        <v>0</v>
      </c>
      <c r="V265" s="4">
        <v>26</v>
      </c>
      <c r="W265" s="4">
        <v>38</v>
      </c>
    </row>
    <row r="266" spans="1:23" ht="11.25" customHeight="1" x14ac:dyDescent="0.3">
      <c r="A266" s="4" t="s">
        <v>21</v>
      </c>
      <c r="B266" s="4" t="s">
        <v>22</v>
      </c>
      <c r="C266" s="4" t="s">
        <v>33</v>
      </c>
      <c r="D266" s="4" t="s">
        <v>24</v>
      </c>
      <c r="E266" s="4" t="s">
        <v>24</v>
      </c>
      <c r="F266" s="4" t="s">
        <v>25</v>
      </c>
      <c r="G266" s="4" t="s">
        <v>25</v>
      </c>
      <c r="H266" s="4" t="s">
        <v>36</v>
      </c>
      <c r="I266" s="5">
        <v>44531</v>
      </c>
      <c r="J266" s="6">
        <v>0</v>
      </c>
      <c r="K266" s="6">
        <v>0</v>
      </c>
      <c r="L266" s="6">
        <v>1.4999999999999999E-2</v>
      </c>
      <c r="M266" s="6">
        <v>1.4999999999999999E-2</v>
      </c>
      <c r="N266" s="6">
        <v>1.4999999999999999E-2</v>
      </c>
      <c r="O266" s="6">
        <v>1.4999999999999999E-2</v>
      </c>
      <c r="P266" s="6">
        <v>0</v>
      </c>
      <c r="Q266" s="4" t="s">
        <v>26</v>
      </c>
      <c r="R266" s="4">
        <v>0</v>
      </c>
      <c r="S266" s="4" t="s">
        <v>111</v>
      </c>
      <c r="T266" s="4" t="s">
        <v>304</v>
      </c>
      <c r="U266" s="4">
        <v>0</v>
      </c>
      <c r="V266" s="4">
        <v>26</v>
      </c>
      <c r="W266" s="4">
        <v>38</v>
      </c>
    </row>
    <row r="267" spans="1:23" ht="11.25" customHeight="1" x14ac:dyDescent="0.3">
      <c r="A267" s="4" t="s">
        <v>21</v>
      </c>
      <c r="B267" s="4" t="s">
        <v>22</v>
      </c>
      <c r="C267" s="4" t="s">
        <v>33</v>
      </c>
      <c r="D267" s="4" t="s">
        <v>24</v>
      </c>
      <c r="E267" s="4" t="s">
        <v>24</v>
      </c>
      <c r="F267" s="4" t="s">
        <v>25</v>
      </c>
      <c r="G267" s="4" t="s">
        <v>25</v>
      </c>
      <c r="H267" s="4" t="s">
        <v>36</v>
      </c>
      <c r="I267" s="5">
        <v>44562</v>
      </c>
      <c r="J267" s="6">
        <v>0</v>
      </c>
      <c r="K267" s="6">
        <v>0</v>
      </c>
      <c r="L267" s="6">
        <v>3.4000000000000002E-2</v>
      </c>
      <c r="M267" s="6">
        <v>3.4000000000000002E-2</v>
      </c>
      <c r="N267" s="6">
        <v>3.4000000000000002E-2</v>
      </c>
      <c r="O267" s="6">
        <v>3.4000000000000002E-2</v>
      </c>
      <c r="P267" s="6">
        <v>0</v>
      </c>
      <c r="Q267" s="4" t="s">
        <v>26</v>
      </c>
      <c r="R267" s="4">
        <v>0</v>
      </c>
      <c r="S267" s="4" t="s">
        <v>112</v>
      </c>
      <c r="T267" s="4" t="s">
        <v>305</v>
      </c>
      <c r="U267" s="4">
        <v>0</v>
      </c>
      <c r="V267" s="4">
        <v>26</v>
      </c>
      <c r="W267" s="4">
        <v>38</v>
      </c>
    </row>
    <row r="268" spans="1:23" ht="11.25" customHeight="1" x14ac:dyDescent="0.3">
      <c r="A268" s="4" t="s">
        <v>21</v>
      </c>
      <c r="B268" s="4" t="s">
        <v>22</v>
      </c>
      <c r="C268" s="4" t="s">
        <v>33</v>
      </c>
      <c r="D268" s="4" t="s">
        <v>24</v>
      </c>
      <c r="E268" s="4" t="s">
        <v>24</v>
      </c>
      <c r="F268" s="4" t="s">
        <v>25</v>
      </c>
      <c r="G268" s="4" t="s">
        <v>25</v>
      </c>
      <c r="H268" s="4" t="s">
        <v>36</v>
      </c>
      <c r="I268" s="5">
        <v>44593</v>
      </c>
      <c r="J268" s="6">
        <v>0</v>
      </c>
      <c r="K268" s="6">
        <v>0</v>
      </c>
      <c r="L268" s="6">
        <v>2.1999999999999999E-2</v>
      </c>
      <c r="M268" s="6">
        <v>2.1999999999999999E-2</v>
      </c>
      <c r="N268" s="6">
        <v>2.1999999999999999E-2</v>
      </c>
      <c r="O268" s="6">
        <v>2.1999999999999999E-2</v>
      </c>
      <c r="P268" s="6">
        <v>0</v>
      </c>
      <c r="Q268" s="4" t="s">
        <v>26</v>
      </c>
      <c r="R268" s="4">
        <v>0</v>
      </c>
      <c r="S268" s="4" t="s">
        <v>113</v>
      </c>
      <c r="T268" s="4" t="s">
        <v>306</v>
      </c>
      <c r="U268" s="4">
        <v>0</v>
      </c>
      <c r="V268" s="4">
        <v>26</v>
      </c>
      <c r="W268" s="4">
        <v>38</v>
      </c>
    </row>
    <row r="269" spans="1:23" ht="11.25" customHeight="1" x14ac:dyDescent="0.3">
      <c r="A269" s="4" t="s">
        <v>21</v>
      </c>
      <c r="B269" s="4" t="s">
        <v>22</v>
      </c>
      <c r="C269" s="4" t="s">
        <v>33</v>
      </c>
      <c r="D269" s="4" t="s">
        <v>24</v>
      </c>
      <c r="E269" s="4" t="s">
        <v>24</v>
      </c>
      <c r="F269" s="4" t="s">
        <v>25</v>
      </c>
      <c r="G269" s="4" t="s">
        <v>25</v>
      </c>
      <c r="H269" s="4" t="s">
        <v>36</v>
      </c>
      <c r="I269" s="5">
        <v>44621</v>
      </c>
      <c r="J269" s="6">
        <v>0</v>
      </c>
      <c r="K269" s="6">
        <v>0</v>
      </c>
      <c r="L269" s="6">
        <v>3.6999999999999998E-2</v>
      </c>
      <c r="M269" s="6">
        <v>3.6999999999999998E-2</v>
      </c>
      <c r="N269" s="6">
        <v>3.6999999999999998E-2</v>
      </c>
      <c r="O269" s="6">
        <v>3.6999999999999998E-2</v>
      </c>
      <c r="P269" s="6">
        <v>0</v>
      </c>
      <c r="Q269" s="4" t="s">
        <v>26</v>
      </c>
      <c r="R269" s="4">
        <v>0</v>
      </c>
      <c r="S269" s="4" t="s">
        <v>114</v>
      </c>
      <c r="T269" s="4" t="s">
        <v>307</v>
      </c>
      <c r="U269" s="4">
        <v>0</v>
      </c>
      <c r="V269" s="4">
        <v>26</v>
      </c>
      <c r="W269" s="4">
        <v>38</v>
      </c>
    </row>
    <row r="270" spans="1:23" ht="11.25" customHeight="1" x14ac:dyDescent="0.3">
      <c r="A270" s="4" t="s">
        <v>21</v>
      </c>
      <c r="B270" s="4" t="s">
        <v>22</v>
      </c>
      <c r="C270" s="4" t="s">
        <v>33</v>
      </c>
      <c r="D270" s="4" t="s">
        <v>24</v>
      </c>
      <c r="E270" s="4" t="s">
        <v>24</v>
      </c>
      <c r="F270" s="4" t="s">
        <v>25</v>
      </c>
      <c r="G270" s="4" t="s">
        <v>25</v>
      </c>
      <c r="H270" s="4" t="s">
        <v>36</v>
      </c>
      <c r="I270" s="5">
        <v>44652</v>
      </c>
      <c r="J270" s="6">
        <v>0</v>
      </c>
      <c r="K270" s="6">
        <v>0</v>
      </c>
      <c r="L270" s="6">
        <v>2.1999999999999999E-2</v>
      </c>
      <c r="M270" s="6">
        <v>2.1999999999999999E-2</v>
      </c>
      <c r="N270" s="6">
        <v>2.1999999999999999E-2</v>
      </c>
      <c r="O270" s="6">
        <v>2.1999999999999999E-2</v>
      </c>
      <c r="P270" s="6">
        <v>0</v>
      </c>
      <c r="Q270" s="4" t="s">
        <v>26</v>
      </c>
      <c r="R270" s="4">
        <v>0</v>
      </c>
      <c r="S270" s="4" t="s">
        <v>115</v>
      </c>
      <c r="T270" s="4" t="s">
        <v>308</v>
      </c>
      <c r="U270" s="4">
        <v>0</v>
      </c>
      <c r="V270" s="4">
        <v>26</v>
      </c>
      <c r="W270" s="4">
        <v>38</v>
      </c>
    </row>
    <row r="271" spans="1:23" ht="11.25" customHeight="1" x14ac:dyDescent="0.3">
      <c r="A271" s="4" t="s">
        <v>21</v>
      </c>
      <c r="B271" s="4" t="s">
        <v>22</v>
      </c>
      <c r="C271" s="4" t="s">
        <v>33</v>
      </c>
      <c r="D271" s="4" t="s">
        <v>24</v>
      </c>
      <c r="E271" s="4" t="s">
        <v>24</v>
      </c>
      <c r="F271" s="4" t="s">
        <v>25</v>
      </c>
      <c r="G271" s="4" t="s">
        <v>25</v>
      </c>
      <c r="H271" s="4" t="s">
        <v>36</v>
      </c>
      <c r="I271" s="5">
        <v>44682</v>
      </c>
      <c r="J271" s="6">
        <v>0</v>
      </c>
      <c r="K271" s="6">
        <v>0</v>
      </c>
      <c r="L271" s="6">
        <v>1.2E-2</v>
      </c>
      <c r="M271" s="6">
        <v>1.2E-2</v>
      </c>
      <c r="N271" s="6">
        <v>1.2E-2</v>
      </c>
      <c r="O271" s="6">
        <v>1.2E-2</v>
      </c>
      <c r="P271" s="6">
        <v>0</v>
      </c>
      <c r="Q271" s="4" t="s">
        <v>26</v>
      </c>
      <c r="R271" s="4">
        <v>0</v>
      </c>
      <c r="S271" s="4" t="s">
        <v>116</v>
      </c>
      <c r="T271" s="4" t="s">
        <v>309</v>
      </c>
      <c r="U271" s="4">
        <v>0</v>
      </c>
      <c r="V271" s="4">
        <v>26</v>
      </c>
      <c r="W271" s="4">
        <v>38</v>
      </c>
    </row>
    <row r="272" spans="1:23" ht="11.25" customHeight="1" x14ac:dyDescent="0.3">
      <c r="A272" s="4" t="s">
        <v>21</v>
      </c>
      <c r="B272" s="4" t="s">
        <v>22</v>
      </c>
      <c r="C272" s="4" t="s">
        <v>33</v>
      </c>
      <c r="D272" s="4" t="s">
        <v>24</v>
      </c>
      <c r="E272" s="4" t="s">
        <v>24</v>
      </c>
      <c r="F272" s="4" t="s">
        <v>25</v>
      </c>
      <c r="G272" s="4" t="s">
        <v>25</v>
      </c>
      <c r="H272" s="4" t="s">
        <v>36</v>
      </c>
      <c r="I272" s="5">
        <v>44713</v>
      </c>
      <c r="J272" s="6">
        <v>0</v>
      </c>
      <c r="K272" s="6">
        <v>0</v>
      </c>
      <c r="L272" s="6">
        <v>1.4999999999999999E-2</v>
      </c>
      <c r="M272" s="6">
        <v>1.4999999999999999E-2</v>
      </c>
      <c r="N272" s="6">
        <v>1.4999999999999999E-2</v>
      </c>
      <c r="O272" s="6">
        <v>1.4999999999999999E-2</v>
      </c>
      <c r="P272" s="6">
        <v>0</v>
      </c>
      <c r="Q272" s="4" t="s">
        <v>26</v>
      </c>
      <c r="R272" s="4">
        <v>0</v>
      </c>
      <c r="S272" s="4" t="s">
        <v>117</v>
      </c>
      <c r="T272" s="4" t="s">
        <v>310</v>
      </c>
      <c r="U272" s="4">
        <v>0</v>
      </c>
      <c r="V272" s="4">
        <v>26</v>
      </c>
      <c r="W272" s="4">
        <v>38</v>
      </c>
    </row>
    <row r="273" spans="1:23" ht="11.25" customHeight="1" x14ac:dyDescent="0.3">
      <c r="A273" s="4" t="s">
        <v>21</v>
      </c>
      <c r="B273" s="4" t="s">
        <v>22</v>
      </c>
      <c r="C273" s="4" t="s">
        <v>33</v>
      </c>
      <c r="D273" s="4" t="s">
        <v>24</v>
      </c>
      <c r="E273" s="4" t="s">
        <v>24</v>
      </c>
      <c r="F273" s="4" t="s">
        <v>25</v>
      </c>
      <c r="G273" s="4" t="s">
        <v>25</v>
      </c>
      <c r="H273" s="4" t="s">
        <v>36</v>
      </c>
      <c r="I273" s="5">
        <v>44743</v>
      </c>
      <c r="J273" s="6">
        <v>0</v>
      </c>
      <c r="K273" s="6">
        <v>0</v>
      </c>
      <c r="L273" s="6">
        <v>1.2999999999999999E-2</v>
      </c>
      <c r="M273" s="6">
        <v>1.2999999999999999E-2</v>
      </c>
      <c r="N273" s="6">
        <v>1.2999999999999999E-2</v>
      </c>
      <c r="O273" s="6">
        <v>1.2999999999999999E-2</v>
      </c>
      <c r="P273" s="6">
        <v>0</v>
      </c>
      <c r="Q273" s="4" t="s">
        <v>26</v>
      </c>
      <c r="R273" s="4">
        <v>0</v>
      </c>
      <c r="S273" s="4" t="s">
        <v>118</v>
      </c>
      <c r="T273" s="4" t="s">
        <v>311</v>
      </c>
      <c r="U273" s="4">
        <v>0</v>
      </c>
      <c r="V273" s="4">
        <v>26</v>
      </c>
      <c r="W273" s="4">
        <v>38</v>
      </c>
    </row>
    <row r="274" spans="1:23" ht="11.25" customHeight="1" x14ac:dyDescent="0.3">
      <c r="A274" s="4" t="s">
        <v>21</v>
      </c>
      <c r="B274" s="4" t="s">
        <v>22</v>
      </c>
      <c r="C274" s="4" t="s">
        <v>33</v>
      </c>
      <c r="D274" s="4" t="s">
        <v>24</v>
      </c>
      <c r="E274" s="4" t="s">
        <v>24</v>
      </c>
      <c r="F274" s="4" t="s">
        <v>25</v>
      </c>
      <c r="G274" s="4" t="s">
        <v>25</v>
      </c>
      <c r="H274" s="4" t="s">
        <v>36</v>
      </c>
      <c r="I274" s="5">
        <v>44774</v>
      </c>
      <c r="J274" s="6">
        <v>0</v>
      </c>
      <c r="K274" s="6">
        <v>0</v>
      </c>
      <c r="L274" s="6">
        <v>1.9E-2</v>
      </c>
      <c r="M274" s="6">
        <v>1.9E-2</v>
      </c>
      <c r="N274" s="6">
        <v>1.9E-2</v>
      </c>
      <c r="O274" s="6">
        <v>1.9E-2</v>
      </c>
      <c r="P274" s="6">
        <v>0</v>
      </c>
      <c r="Q274" s="4" t="s">
        <v>26</v>
      </c>
      <c r="R274" s="4">
        <v>0</v>
      </c>
      <c r="S274" s="4" t="s">
        <v>119</v>
      </c>
      <c r="T274" s="4" t="s">
        <v>312</v>
      </c>
      <c r="U274" s="4">
        <v>0</v>
      </c>
      <c r="V274" s="4">
        <v>26</v>
      </c>
      <c r="W274" s="4">
        <v>38</v>
      </c>
    </row>
    <row r="275" spans="1:23" ht="11.25" customHeight="1" x14ac:dyDescent="0.3">
      <c r="A275" s="4" t="s">
        <v>21</v>
      </c>
      <c r="B275" s="4" t="s">
        <v>22</v>
      </c>
      <c r="C275" s="4" t="s">
        <v>33</v>
      </c>
      <c r="D275" s="4" t="s">
        <v>24</v>
      </c>
      <c r="E275" s="4" t="s">
        <v>24</v>
      </c>
      <c r="F275" s="4" t="s">
        <v>25</v>
      </c>
      <c r="G275" s="4" t="s">
        <v>25</v>
      </c>
      <c r="H275" s="4" t="s">
        <v>34</v>
      </c>
      <c r="I275" s="5">
        <v>44440</v>
      </c>
      <c r="J275" s="6">
        <v>0</v>
      </c>
      <c r="K275" s="6">
        <v>0</v>
      </c>
      <c r="L275" s="6">
        <v>0.03</v>
      </c>
      <c r="M275" s="6">
        <v>0.03</v>
      </c>
      <c r="N275" s="6">
        <v>0.03</v>
      </c>
      <c r="O275" s="6">
        <v>0.03</v>
      </c>
      <c r="P275" s="6">
        <v>0</v>
      </c>
      <c r="Q275" s="4" t="s">
        <v>26</v>
      </c>
      <c r="R275" s="4">
        <v>0</v>
      </c>
      <c r="S275" s="4" t="s">
        <v>120</v>
      </c>
      <c r="T275" s="4" t="s">
        <v>313</v>
      </c>
      <c r="U275" s="4">
        <v>0</v>
      </c>
      <c r="V275" s="4">
        <v>1</v>
      </c>
      <c r="W275" s="4">
        <v>29</v>
      </c>
    </row>
    <row r="276" spans="1:23" ht="11.25" customHeight="1" x14ac:dyDescent="0.3">
      <c r="A276" s="4" t="s">
        <v>21</v>
      </c>
      <c r="B276" s="4" t="s">
        <v>22</v>
      </c>
      <c r="C276" s="4" t="s">
        <v>33</v>
      </c>
      <c r="D276" s="4" t="s">
        <v>24</v>
      </c>
      <c r="E276" s="4" t="s">
        <v>24</v>
      </c>
      <c r="F276" s="4" t="s">
        <v>25</v>
      </c>
      <c r="G276" s="4" t="s">
        <v>25</v>
      </c>
      <c r="H276" s="4" t="s">
        <v>34</v>
      </c>
      <c r="I276" s="5">
        <v>44470</v>
      </c>
      <c r="J276" s="6">
        <v>0</v>
      </c>
      <c r="K276" s="6">
        <v>0</v>
      </c>
      <c r="L276" s="6">
        <v>2.1000000000000001E-2</v>
      </c>
      <c r="M276" s="6">
        <v>2.1000000000000001E-2</v>
      </c>
      <c r="N276" s="6">
        <v>2.1000000000000001E-2</v>
      </c>
      <c r="O276" s="6">
        <v>2.1000000000000001E-2</v>
      </c>
      <c r="P276" s="6">
        <v>0</v>
      </c>
      <c r="Q276" s="4" t="s">
        <v>26</v>
      </c>
      <c r="R276" s="4">
        <v>0</v>
      </c>
      <c r="S276" s="4" t="s">
        <v>121</v>
      </c>
      <c r="T276" s="4" t="s">
        <v>314</v>
      </c>
      <c r="U276" s="4">
        <v>0</v>
      </c>
      <c r="V276" s="4">
        <v>1</v>
      </c>
      <c r="W276" s="4">
        <v>29</v>
      </c>
    </row>
    <row r="277" spans="1:23" ht="11.25" customHeight="1" x14ac:dyDescent="0.3">
      <c r="A277" s="4" t="s">
        <v>21</v>
      </c>
      <c r="B277" s="4" t="s">
        <v>22</v>
      </c>
      <c r="C277" s="4" t="s">
        <v>33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34</v>
      </c>
      <c r="I277" s="5">
        <v>44501</v>
      </c>
      <c r="J277" s="6">
        <v>0</v>
      </c>
      <c r="K277" s="6">
        <v>0</v>
      </c>
      <c r="L277" s="6">
        <v>0.11600000000000001</v>
      </c>
      <c r="M277" s="6">
        <v>0.11600000000000001</v>
      </c>
      <c r="N277" s="6">
        <v>0.11600000000000001</v>
      </c>
      <c r="O277" s="6">
        <v>0.11600000000000001</v>
      </c>
      <c r="P277" s="6">
        <v>0</v>
      </c>
      <c r="Q277" s="4" t="s">
        <v>26</v>
      </c>
      <c r="R277" s="4">
        <v>0</v>
      </c>
      <c r="S277" s="4" t="s">
        <v>122</v>
      </c>
      <c r="T277" s="4" t="s">
        <v>315</v>
      </c>
      <c r="U277" s="4">
        <v>0</v>
      </c>
      <c r="V277" s="4">
        <v>1</v>
      </c>
      <c r="W277" s="4">
        <v>29</v>
      </c>
    </row>
    <row r="278" spans="1:23" ht="11.25" customHeight="1" x14ac:dyDescent="0.3">
      <c r="A278" s="4" t="s">
        <v>21</v>
      </c>
      <c r="B278" s="4" t="s">
        <v>22</v>
      </c>
      <c r="C278" s="4" t="s">
        <v>33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34</v>
      </c>
      <c r="I278" s="5">
        <v>44531</v>
      </c>
      <c r="J278" s="6">
        <v>0</v>
      </c>
      <c r="K278" s="6">
        <v>0</v>
      </c>
      <c r="L278" s="6">
        <v>0.03</v>
      </c>
      <c r="M278" s="6">
        <v>0.03</v>
      </c>
      <c r="N278" s="6">
        <v>0.03</v>
      </c>
      <c r="O278" s="6">
        <v>0.03</v>
      </c>
      <c r="P278" s="6">
        <v>0</v>
      </c>
      <c r="Q278" s="4" t="s">
        <v>26</v>
      </c>
      <c r="R278" s="4">
        <v>0</v>
      </c>
      <c r="S278" s="4" t="s">
        <v>123</v>
      </c>
      <c r="T278" s="4" t="s">
        <v>316</v>
      </c>
      <c r="U278" s="4">
        <v>0</v>
      </c>
      <c r="V278" s="4">
        <v>1</v>
      </c>
      <c r="W278" s="4">
        <v>29</v>
      </c>
    </row>
    <row r="279" spans="1:23" ht="11.25" customHeight="1" x14ac:dyDescent="0.3">
      <c r="A279" s="4" t="s">
        <v>21</v>
      </c>
      <c r="B279" s="4" t="s">
        <v>22</v>
      </c>
      <c r="C279" s="4" t="s">
        <v>33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34</v>
      </c>
      <c r="I279" s="5">
        <v>44562</v>
      </c>
      <c r="J279" s="6">
        <v>0</v>
      </c>
      <c r="K279" s="6">
        <v>0</v>
      </c>
      <c r="L279" s="6">
        <v>4.7E-2</v>
      </c>
      <c r="M279" s="6">
        <v>4.7E-2</v>
      </c>
      <c r="N279" s="6">
        <v>4.7E-2</v>
      </c>
      <c r="O279" s="6">
        <v>4.7E-2</v>
      </c>
      <c r="P279" s="6">
        <v>0</v>
      </c>
      <c r="Q279" s="4" t="s">
        <v>26</v>
      </c>
      <c r="R279" s="4">
        <v>0</v>
      </c>
      <c r="S279" s="4" t="s">
        <v>124</v>
      </c>
      <c r="T279" s="4" t="s">
        <v>317</v>
      </c>
      <c r="U279" s="4">
        <v>0</v>
      </c>
      <c r="V279" s="4">
        <v>1</v>
      </c>
      <c r="W279" s="4">
        <v>29</v>
      </c>
    </row>
    <row r="280" spans="1:23" ht="11.25" customHeight="1" x14ac:dyDescent="0.3">
      <c r="A280" s="4" t="s">
        <v>21</v>
      </c>
      <c r="B280" s="4" t="s">
        <v>22</v>
      </c>
      <c r="C280" s="4" t="s">
        <v>33</v>
      </c>
      <c r="D280" s="4" t="s">
        <v>24</v>
      </c>
      <c r="E280" s="4" t="s">
        <v>24</v>
      </c>
      <c r="F280" s="4" t="s">
        <v>25</v>
      </c>
      <c r="G280" s="4" t="s">
        <v>25</v>
      </c>
      <c r="H280" s="4" t="s">
        <v>34</v>
      </c>
      <c r="I280" s="5">
        <v>44593</v>
      </c>
      <c r="J280" s="6">
        <v>0</v>
      </c>
      <c r="K280" s="6">
        <v>0</v>
      </c>
      <c r="L280" s="6">
        <v>4.2000000000000003E-2</v>
      </c>
      <c r="M280" s="6">
        <v>4.2000000000000003E-2</v>
      </c>
      <c r="N280" s="6">
        <v>4.2000000000000003E-2</v>
      </c>
      <c r="O280" s="6">
        <v>4.2000000000000003E-2</v>
      </c>
      <c r="P280" s="6">
        <v>0</v>
      </c>
      <c r="Q280" s="4" t="s">
        <v>26</v>
      </c>
      <c r="R280" s="4">
        <v>0</v>
      </c>
      <c r="S280" s="4" t="s">
        <v>125</v>
      </c>
      <c r="T280" s="4" t="s">
        <v>318</v>
      </c>
      <c r="U280" s="4">
        <v>0</v>
      </c>
      <c r="V280" s="4">
        <v>1</v>
      </c>
      <c r="W280" s="4">
        <v>29</v>
      </c>
    </row>
    <row r="281" spans="1:23" ht="11.25" customHeight="1" x14ac:dyDescent="0.3">
      <c r="A281" s="4" t="s">
        <v>21</v>
      </c>
      <c r="B281" s="4" t="s">
        <v>22</v>
      </c>
      <c r="C281" s="4" t="s">
        <v>33</v>
      </c>
      <c r="D281" s="4" t="s">
        <v>24</v>
      </c>
      <c r="E281" s="4" t="s">
        <v>24</v>
      </c>
      <c r="F281" s="4" t="s">
        <v>25</v>
      </c>
      <c r="G281" s="4" t="s">
        <v>25</v>
      </c>
      <c r="H281" s="4" t="s">
        <v>34</v>
      </c>
      <c r="I281" s="5">
        <v>44621</v>
      </c>
      <c r="J281" s="6">
        <v>0</v>
      </c>
      <c r="K281" s="6">
        <v>0</v>
      </c>
      <c r="L281" s="6">
        <v>5.7000000000000002E-2</v>
      </c>
      <c r="M281" s="6">
        <v>5.7000000000000002E-2</v>
      </c>
      <c r="N281" s="6">
        <v>5.7000000000000002E-2</v>
      </c>
      <c r="O281" s="6">
        <v>5.7000000000000002E-2</v>
      </c>
      <c r="P281" s="6">
        <v>0</v>
      </c>
      <c r="Q281" s="4" t="s">
        <v>26</v>
      </c>
      <c r="R281" s="4">
        <v>0</v>
      </c>
      <c r="S281" s="4" t="s">
        <v>126</v>
      </c>
      <c r="T281" s="4" t="s">
        <v>319</v>
      </c>
      <c r="U281" s="4">
        <v>0</v>
      </c>
      <c r="V281" s="4">
        <v>1</v>
      </c>
      <c r="W281" s="4">
        <v>29</v>
      </c>
    </row>
    <row r="282" spans="1:23" ht="11.25" customHeight="1" x14ac:dyDescent="0.3">
      <c r="A282" s="4" t="s">
        <v>21</v>
      </c>
      <c r="B282" s="4" t="s">
        <v>22</v>
      </c>
      <c r="C282" s="4" t="s">
        <v>33</v>
      </c>
      <c r="D282" s="4" t="s">
        <v>24</v>
      </c>
      <c r="E282" s="4" t="s">
        <v>24</v>
      </c>
      <c r="F282" s="4" t="s">
        <v>25</v>
      </c>
      <c r="G282" s="4" t="s">
        <v>25</v>
      </c>
      <c r="H282" s="4" t="s">
        <v>34</v>
      </c>
      <c r="I282" s="5">
        <v>44652</v>
      </c>
      <c r="J282" s="6">
        <v>0</v>
      </c>
      <c r="K282" s="6">
        <v>0</v>
      </c>
      <c r="L282" s="6">
        <v>3.9E-2</v>
      </c>
      <c r="M282" s="6">
        <v>3.9E-2</v>
      </c>
      <c r="N282" s="6">
        <v>3.9E-2</v>
      </c>
      <c r="O282" s="6">
        <v>3.9E-2</v>
      </c>
      <c r="P282" s="6">
        <v>0</v>
      </c>
      <c r="Q282" s="4" t="s">
        <v>26</v>
      </c>
      <c r="R282" s="4">
        <v>0</v>
      </c>
      <c r="S282" s="4" t="s">
        <v>127</v>
      </c>
      <c r="T282" s="4" t="s">
        <v>320</v>
      </c>
      <c r="U282" s="4">
        <v>0</v>
      </c>
      <c r="V282" s="4">
        <v>1</v>
      </c>
      <c r="W282" s="4">
        <v>29</v>
      </c>
    </row>
    <row r="283" spans="1:23" ht="11.25" customHeight="1" x14ac:dyDescent="0.3">
      <c r="A283" s="4" t="s">
        <v>21</v>
      </c>
      <c r="B283" s="4" t="s">
        <v>22</v>
      </c>
      <c r="C283" s="4" t="s">
        <v>33</v>
      </c>
      <c r="D283" s="4" t="s">
        <v>24</v>
      </c>
      <c r="E283" s="4" t="s">
        <v>24</v>
      </c>
      <c r="F283" s="4" t="s">
        <v>25</v>
      </c>
      <c r="G283" s="4" t="s">
        <v>25</v>
      </c>
      <c r="H283" s="4" t="s">
        <v>34</v>
      </c>
      <c r="I283" s="5">
        <v>44682</v>
      </c>
      <c r="J283" s="6">
        <v>0</v>
      </c>
      <c r="K283" s="6">
        <v>0</v>
      </c>
      <c r="L283" s="6">
        <v>2.3E-2</v>
      </c>
      <c r="M283" s="6">
        <v>2.3E-2</v>
      </c>
      <c r="N283" s="6">
        <v>2.3E-2</v>
      </c>
      <c r="O283" s="6">
        <v>2.3E-2</v>
      </c>
      <c r="P283" s="6">
        <v>0</v>
      </c>
      <c r="Q283" s="4" t="s">
        <v>26</v>
      </c>
      <c r="R283" s="4">
        <v>0</v>
      </c>
      <c r="S283" s="4" t="s">
        <v>128</v>
      </c>
      <c r="T283" s="4" t="s">
        <v>321</v>
      </c>
      <c r="U283" s="4">
        <v>0</v>
      </c>
      <c r="V283" s="4">
        <v>1</v>
      </c>
      <c r="W283" s="4">
        <v>29</v>
      </c>
    </row>
    <row r="284" spans="1:23" ht="11.25" customHeight="1" x14ac:dyDescent="0.3">
      <c r="A284" s="4" t="s">
        <v>21</v>
      </c>
      <c r="B284" s="4" t="s">
        <v>22</v>
      </c>
      <c r="C284" s="4" t="s">
        <v>33</v>
      </c>
      <c r="D284" s="4" t="s">
        <v>24</v>
      </c>
      <c r="E284" s="4" t="s">
        <v>24</v>
      </c>
      <c r="F284" s="4" t="s">
        <v>25</v>
      </c>
      <c r="G284" s="4" t="s">
        <v>25</v>
      </c>
      <c r="H284" s="4" t="s">
        <v>34</v>
      </c>
      <c r="I284" s="5">
        <v>44713</v>
      </c>
      <c r="J284" s="6">
        <v>0</v>
      </c>
      <c r="K284" s="6">
        <v>0</v>
      </c>
      <c r="L284" s="6">
        <v>2.5999999999999999E-2</v>
      </c>
      <c r="M284" s="6">
        <v>2.5999999999999999E-2</v>
      </c>
      <c r="N284" s="6">
        <v>2.5999999999999999E-2</v>
      </c>
      <c r="O284" s="6">
        <v>2.5999999999999999E-2</v>
      </c>
      <c r="P284" s="6">
        <v>0</v>
      </c>
      <c r="Q284" s="4" t="s">
        <v>26</v>
      </c>
      <c r="R284" s="4">
        <v>0</v>
      </c>
      <c r="S284" s="4" t="s">
        <v>129</v>
      </c>
      <c r="T284" s="4" t="s">
        <v>322</v>
      </c>
      <c r="U284" s="4">
        <v>0</v>
      </c>
      <c r="V284" s="4">
        <v>1</v>
      </c>
      <c r="W284" s="4">
        <v>29</v>
      </c>
    </row>
    <row r="285" spans="1:23" ht="11.25" customHeight="1" x14ac:dyDescent="0.3">
      <c r="A285" s="4" t="s">
        <v>21</v>
      </c>
      <c r="B285" s="4" t="s">
        <v>22</v>
      </c>
      <c r="C285" s="4" t="s">
        <v>33</v>
      </c>
      <c r="D285" s="4" t="s">
        <v>24</v>
      </c>
      <c r="E285" s="4" t="s">
        <v>24</v>
      </c>
      <c r="F285" s="4" t="s">
        <v>25</v>
      </c>
      <c r="G285" s="4" t="s">
        <v>25</v>
      </c>
      <c r="H285" s="4" t="s">
        <v>34</v>
      </c>
      <c r="I285" s="5">
        <v>44743</v>
      </c>
      <c r="J285" s="6">
        <v>0</v>
      </c>
      <c r="K285" s="6">
        <v>0</v>
      </c>
      <c r="L285" s="6">
        <v>2.5000000000000001E-2</v>
      </c>
      <c r="M285" s="6">
        <v>2.5000000000000001E-2</v>
      </c>
      <c r="N285" s="6">
        <v>2.5000000000000001E-2</v>
      </c>
      <c r="O285" s="6">
        <v>2.5000000000000001E-2</v>
      </c>
      <c r="P285" s="6">
        <v>0</v>
      </c>
      <c r="Q285" s="4" t="s">
        <v>26</v>
      </c>
      <c r="R285" s="4">
        <v>0</v>
      </c>
      <c r="S285" s="4" t="s">
        <v>130</v>
      </c>
      <c r="T285" s="4" t="s">
        <v>323</v>
      </c>
      <c r="U285" s="4">
        <v>0</v>
      </c>
      <c r="V285" s="4">
        <v>1</v>
      </c>
      <c r="W285" s="4">
        <v>29</v>
      </c>
    </row>
    <row r="286" spans="1:23" ht="11.25" customHeight="1" x14ac:dyDescent="0.3">
      <c r="A286" s="4" t="s">
        <v>21</v>
      </c>
      <c r="B286" s="4" t="s">
        <v>22</v>
      </c>
      <c r="C286" s="4" t="s">
        <v>33</v>
      </c>
      <c r="D286" s="4" t="s">
        <v>24</v>
      </c>
      <c r="E286" s="4" t="s">
        <v>24</v>
      </c>
      <c r="F286" s="4" t="s">
        <v>25</v>
      </c>
      <c r="G286" s="4" t="s">
        <v>25</v>
      </c>
      <c r="H286" s="4" t="s">
        <v>34</v>
      </c>
      <c r="I286" s="5">
        <v>44774</v>
      </c>
      <c r="J286" s="6">
        <v>0</v>
      </c>
      <c r="K286" s="6">
        <v>0</v>
      </c>
      <c r="L286" s="6">
        <v>3.9E-2</v>
      </c>
      <c r="M286" s="6">
        <v>3.9E-2</v>
      </c>
      <c r="N286" s="6">
        <v>3.9E-2</v>
      </c>
      <c r="O286" s="6">
        <v>3.9E-2</v>
      </c>
      <c r="P286" s="6">
        <v>0</v>
      </c>
      <c r="Q286" s="4" t="s">
        <v>26</v>
      </c>
      <c r="R286" s="4">
        <v>0</v>
      </c>
      <c r="S286" s="4" t="s">
        <v>131</v>
      </c>
      <c r="T286" s="4" t="s">
        <v>324</v>
      </c>
      <c r="U286" s="4">
        <v>0</v>
      </c>
      <c r="V286" s="4">
        <v>1</v>
      </c>
      <c r="W286" s="4">
        <v>29</v>
      </c>
    </row>
    <row r="287" spans="1:23" ht="11.25" customHeight="1" x14ac:dyDescent="0.3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24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2217.5830000000001</v>
      </c>
      <c r="M287" s="6">
        <v>2217.5830000000001</v>
      </c>
      <c r="N287" s="6">
        <v>2217.5830000000001</v>
      </c>
      <c r="O287" s="6">
        <v>2217.5830000000001</v>
      </c>
      <c r="P287" s="6">
        <v>13311</v>
      </c>
      <c r="Q287" s="4" t="s">
        <v>26</v>
      </c>
      <c r="R287" s="4">
        <v>0</v>
      </c>
      <c r="S287" s="4" t="s">
        <v>132</v>
      </c>
      <c r="T287" s="4" t="s">
        <v>325</v>
      </c>
      <c r="U287" s="4">
        <v>0</v>
      </c>
      <c r="V287" s="4">
        <v>18</v>
      </c>
      <c r="W287" s="4">
        <v>42</v>
      </c>
    </row>
    <row r="288" spans="1:23" ht="11.25" customHeight="1" x14ac:dyDescent="0.3">
      <c r="A288" s="4" t="s">
        <v>27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44440</v>
      </c>
      <c r="J288" s="6">
        <v>0</v>
      </c>
      <c r="K288" s="6">
        <v>0</v>
      </c>
      <c r="L288" s="6">
        <v>-0.09</v>
      </c>
      <c r="M288" s="6">
        <v>-0.09</v>
      </c>
      <c r="N288" s="6">
        <v>-0.09</v>
      </c>
      <c r="O288" s="6">
        <v>-0.09</v>
      </c>
      <c r="P288" s="6">
        <v>0</v>
      </c>
      <c r="Q288" s="4" t="s">
        <v>26</v>
      </c>
      <c r="R288" s="4">
        <v>0</v>
      </c>
      <c r="S288" s="4" t="s">
        <v>132</v>
      </c>
      <c r="T288" s="4" t="s">
        <v>325</v>
      </c>
      <c r="U288" s="4">
        <v>0</v>
      </c>
      <c r="V288" s="4">
        <v>18</v>
      </c>
      <c r="W288" s="4">
        <v>42</v>
      </c>
    </row>
    <row r="289" spans="1:23" ht="11.25" customHeight="1" x14ac:dyDescent="0.3">
      <c r="A289" s="4" t="s">
        <v>28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44440</v>
      </c>
      <c r="J289" s="6">
        <v>0</v>
      </c>
      <c r="K289" s="6">
        <v>0</v>
      </c>
      <c r="L289" s="6">
        <v>29.766999999999999</v>
      </c>
      <c r="M289" s="6">
        <v>29.766999999999999</v>
      </c>
      <c r="N289" s="6">
        <v>29.766999999999999</v>
      </c>
      <c r="O289" s="6">
        <v>29.766999999999999</v>
      </c>
      <c r="P289" s="6">
        <v>173</v>
      </c>
      <c r="Q289" s="4" t="s">
        <v>26</v>
      </c>
      <c r="R289" s="4">
        <v>0</v>
      </c>
      <c r="S289" s="4" t="s">
        <v>132</v>
      </c>
      <c r="T289" s="4" t="s">
        <v>325</v>
      </c>
      <c r="U289" s="4">
        <v>0</v>
      </c>
      <c r="V289" s="4">
        <v>18</v>
      </c>
      <c r="W289" s="4">
        <v>42</v>
      </c>
    </row>
    <row r="290" spans="1:23" ht="11.25" customHeight="1" x14ac:dyDescent="0.3">
      <c r="A290" s="4" t="s">
        <v>28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44440</v>
      </c>
      <c r="J290" s="6">
        <v>0</v>
      </c>
      <c r="K290" s="6">
        <v>0</v>
      </c>
      <c r="L290" s="6">
        <v>-0.23400000000000001</v>
      </c>
      <c r="M290" s="6">
        <v>-0.23400000000000001</v>
      </c>
      <c r="N290" s="6">
        <v>-0.23400000000000001</v>
      </c>
      <c r="O290" s="6">
        <v>-0.23400000000000001</v>
      </c>
      <c r="P290" s="6">
        <v>2</v>
      </c>
      <c r="Q290" s="4" t="s">
        <v>26</v>
      </c>
      <c r="R290" s="4">
        <v>0</v>
      </c>
      <c r="S290" s="4" t="s">
        <v>132</v>
      </c>
      <c r="T290" s="4" t="s">
        <v>325</v>
      </c>
      <c r="U290" s="4">
        <v>0</v>
      </c>
      <c r="V290" s="4">
        <v>18</v>
      </c>
      <c r="W290" s="4">
        <v>42</v>
      </c>
    </row>
    <row r="291" spans="1:23" ht="11.25" customHeight="1" x14ac:dyDescent="0.3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44470</v>
      </c>
      <c r="J291" s="6">
        <v>0</v>
      </c>
      <c r="K291" s="6">
        <v>0</v>
      </c>
      <c r="L291" s="6">
        <v>2158.1280000000002</v>
      </c>
      <c r="M291" s="6">
        <v>2158.1280000000002</v>
      </c>
      <c r="N291" s="6">
        <v>2158.1280000000002</v>
      </c>
      <c r="O291" s="6">
        <v>2158.1280000000002</v>
      </c>
      <c r="P291" s="6">
        <v>13363</v>
      </c>
      <c r="Q291" s="4" t="s">
        <v>26</v>
      </c>
      <c r="R291" s="4">
        <v>0</v>
      </c>
      <c r="S291" s="4" t="s">
        <v>133</v>
      </c>
      <c r="T291" s="4" t="s">
        <v>326</v>
      </c>
      <c r="U291" s="4">
        <v>0</v>
      </c>
      <c r="V291" s="4">
        <v>18</v>
      </c>
      <c r="W291" s="4">
        <v>42</v>
      </c>
    </row>
    <row r="292" spans="1:23" ht="11.25" customHeight="1" x14ac:dyDescent="0.3">
      <c r="A292" s="4" t="s">
        <v>27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44470</v>
      </c>
      <c r="J292" s="6">
        <v>0</v>
      </c>
      <c r="K292" s="6">
        <v>0</v>
      </c>
      <c r="L292" s="6">
        <v>-1.913</v>
      </c>
      <c r="M292" s="6">
        <v>-1.913</v>
      </c>
      <c r="N292" s="6">
        <v>-1.913</v>
      </c>
      <c r="O292" s="6">
        <v>-1.913</v>
      </c>
      <c r="P292" s="6">
        <v>0</v>
      </c>
      <c r="Q292" s="4" t="s">
        <v>26</v>
      </c>
      <c r="R292" s="4">
        <v>0</v>
      </c>
      <c r="S292" s="4" t="s">
        <v>133</v>
      </c>
      <c r="T292" s="4" t="s">
        <v>326</v>
      </c>
      <c r="U292" s="4">
        <v>0</v>
      </c>
      <c r="V292" s="4">
        <v>18</v>
      </c>
      <c r="W292" s="4">
        <v>42</v>
      </c>
    </row>
    <row r="293" spans="1:23" ht="11.25" customHeight="1" x14ac:dyDescent="0.3">
      <c r="A293" s="4" t="s">
        <v>28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44470</v>
      </c>
      <c r="J293" s="6">
        <v>0</v>
      </c>
      <c r="K293" s="6">
        <v>0</v>
      </c>
      <c r="L293" s="6">
        <v>33.496000000000002</v>
      </c>
      <c r="M293" s="6">
        <v>33.496000000000002</v>
      </c>
      <c r="N293" s="6">
        <v>33.496000000000002</v>
      </c>
      <c r="O293" s="6">
        <v>33.496000000000002</v>
      </c>
      <c r="P293" s="6">
        <v>192</v>
      </c>
      <c r="Q293" s="4" t="s">
        <v>26</v>
      </c>
      <c r="R293" s="4">
        <v>0</v>
      </c>
      <c r="S293" s="4" t="s">
        <v>133</v>
      </c>
      <c r="T293" s="4" t="s">
        <v>326</v>
      </c>
      <c r="U293" s="4">
        <v>0</v>
      </c>
      <c r="V293" s="4">
        <v>18</v>
      </c>
      <c r="W293" s="4">
        <v>42</v>
      </c>
    </row>
    <row r="294" spans="1:23" ht="11.25" customHeight="1" x14ac:dyDescent="0.3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44501</v>
      </c>
      <c r="J294" s="6">
        <v>0</v>
      </c>
      <c r="K294" s="6">
        <v>0</v>
      </c>
      <c r="L294" s="6">
        <v>2260.319</v>
      </c>
      <c r="M294" s="6">
        <v>2260.319</v>
      </c>
      <c r="N294" s="6">
        <v>2260.319</v>
      </c>
      <c r="O294" s="6">
        <v>2260.319</v>
      </c>
      <c r="P294" s="6">
        <v>13411</v>
      </c>
      <c r="Q294" s="4" t="s">
        <v>26</v>
      </c>
      <c r="R294" s="4">
        <v>0</v>
      </c>
      <c r="S294" s="4" t="s">
        <v>134</v>
      </c>
      <c r="T294" s="4" t="s">
        <v>327</v>
      </c>
      <c r="U294" s="4">
        <v>0</v>
      </c>
      <c r="V294" s="4">
        <v>18</v>
      </c>
      <c r="W294" s="4">
        <v>42</v>
      </c>
    </row>
    <row r="295" spans="1:23" ht="11.25" customHeight="1" x14ac:dyDescent="0.3">
      <c r="A295" s="4" t="s">
        <v>27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44501</v>
      </c>
      <c r="J295" s="6">
        <v>0</v>
      </c>
      <c r="K295" s="6">
        <v>0</v>
      </c>
      <c r="L295" s="6">
        <v>-1.266</v>
      </c>
      <c r="M295" s="6">
        <v>-1.266</v>
      </c>
      <c r="N295" s="6">
        <v>-1.266</v>
      </c>
      <c r="O295" s="6">
        <v>-1.266</v>
      </c>
      <c r="P295" s="6">
        <v>0</v>
      </c>
      <c r="Q295" s="4" t="s">
        <v>26</v>
      </c>
      <c r="R295" s="4">
        <v>0</v>
      </c>
      <c r="S295" s="4" t="s">
        <v>134</v>
      </c>
      <c r="T295" s="4" t="s">
        <v>327</v>
      </c>
      <c r="U295" s="4">
        <v>0</v>
      </c>
      <c r="V295" s="4">
        <v>18</v>
      </c>
      <c r="W295" s="4">
        <v>42</v>
      </c>
    </row>
    <row r="296" spans="1:23" ht="11.25" customHeight="1" x14ac:dyDescent="0.3">
      <c r="A296" s="4" t="s">
        <v>28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44501</v>
      </c>
      <c r="J296" s="6">
        <v>0</v>
      </c>
      <c r="K296" s="6">
        <v>0</v>
      </c>
      <c r="L296" s="6">
        <v>27.536999999999999</v>
      </c>
      <c r="M296" s="6">
        <v>27.536999999999999</v>
      </c>
      <c r="N296" s="6">
        <v>27.536999999999999</v>
      </c>
      <c r="O296" s="6">
        <v>27.536999999999999</v>
      </c>
      <c r="P296" s="6">
        <v>213</v>
      </c>
      <c r="Q296" s="4" t="s">
        <v>26</v>
      </c>
      <c r="R296" s="4">
        <v>0</v>
      </c>
      <c r="S296" s="4" t="s">
        <v>134</v>
      </c>
      <c r="T296" s="4" t="s">
        <v>327</v>
      </c>
      <c r="U296" s="4">
        <v>0</v>
      </c>
      <c r="V296" s="4">
        <v>18</v>
      </c>
      <c r="W296" s="4">
        <v>42</v>
      </c>
    </row>
    <row r="297" spans="1:23" ht="11.25" customHeight="1" x14ac:dyDescent="0.3">
      <c r="A297" s="4" t="s">
        <v>21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44531</v>
      </c>
      <c r="J297" s="6">
        <v>0</v>
      </c>
      <c r="K297" s="6">
        <v>0</v>
      </c>
      <c r="L297" s="6">
        <v>2234.596</v>
      </c>
      <c r="M297" s="6">
        <v>2234.596</v>
      </c>
      <c r="N297" s="6">
        <v>2234.596</v>
      </c>
      <c r="O297" s="6">
        <v>2234.596</v>
      </c>
      <c r="P297" s="6">
        <v>13510</v>
      </c>
      <c r="Q297" s="4" t="s">
        <v>26</v>
      </c>
      <c r="R297" s="4">
        <v>0</v>
      </c>
      <c r="S297" s="4" t="s">
        <v>135</v>
      </c>
      <c r="T297" s="4" t="s">
        <v>328</v>
      </c>
      <c r="U297" s="4">
        <v>0</v>
      </c>
      <c r="V297" s="4">
        <v>18</v>
      </c>
      <c r="W297" s="4">
        <v>42</v>
      </c>
    </row>
    <row r="298" spans="1:23" ht="11.25" customHeight="1" x14ac:dyDescent="0.3">
      <c r="A298" s="4" t="s">
        <v>27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44531</v>
      </c>
      <c r="J298" s="6">
        <v>0</v>
      </c>
      <c r="K298" s="6">
        <v>0</v>
      </c>
      <c r="L298" s="6">
        <v>-109.896</v>
      </c>
      <c r="M298" s="6">
        <v>-109.896</v>
      </c>
      <c r="N298" s="6">
        <v>-109.896</v>
      </c>
      <c r="O298" s="6">
        <v>-109.896</v>
      </c>
      <c r="P298" s="6">
        <v>0</v>
      </c>
      <c r="Q298" s="4" t="s">
        <v>26</v>
      </c>
      <c r="R298" s="4">
        <v>0</v>
      </c>
      <c r="S298" s="4" t="s">
        <v>135</v>
      </c>
      <c r="T298" s="4" t="s">
        <v>328</v>
      </c>
      <c r="U298" s="4">
        <v>0</v>
      </c>
      <c r="V298" s="4">
        <v>18</v>
      </c>
      <c r="W298" s="4">
        <v>42</v>
      </c>
    </row>
    <row r="299" spans="1:23" ht="11.25" customHeight="1" x14ac:dyDescent="0.3">
      <c r="A299" s="4" t="s">
        <v>28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44531</v>
      </c>
      <c r="J299" s="6">
        <v>0</v>
      </c>
      <c r="K299" s="6">
        <v>0</v>
      </c>
      <c r="L299" s="6">
        <v>28.148</v>
      </c>
      <c r="M299" s="6">
        <v>28.148</v>
      </c>
      <c r="N299" s="6">
        <v>28.148</v>
      </c>
      <c r="O299" s="6">
        <v>28.148</v>
      </c>
      <c r="P299" s="6">
        <v>228</v>
      </c>
      <c r="Q299" s="4" t="s">
        <v>26</v>
      </c>
      <c r="R299" s="4">
        <v>0</v>
      </c>
      <c r="S299" s="4" t="s">
        <v>135</v>
      </c>
      <c r="T299" s="4" t="s">
        <v>328</v>
      </c>
      <c r="U299" s="4">
        <v>0</v>
      </c>
      <c r="V299" s="4">
        <v>18</v>
      </c>
      <c r="W299" s="4">
        <v>42</v>
      </c>
    </row>
    <row r="300" spans="1:23" ht="11.25" customHeight="1" x14ac:dyDescent="0.3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44562</v>
      </c>
      <c r="J300" s="6">
        <v>0</v>
      </c>
      <c r="K300" s="6">
        <v>0</v>
      </c>
      <c r="L300" s="6">
        <v>3119.2469999999998</v>
      </c>
      <c r="M300" s="6">
        <v>3119.2469999999998</v>
      </c>
      <c r="N300" s="6">
        <v>3119.2469999999998</v>
      </c>
      <c r="O300" s="6">
        <v>3119.2469999999998</v>
      </c>
      <c r="P300" s="6">
        <v>13518</v>
      </c>
      <c r="Q300" s="4" t="s">
        <v>26</v>
      </c>
      <c r="R300" s="4">
        <v>0</v>
      </c>
      <c r="S300" s="4" t="s">
        <v>136</v>
      </c>
      <c r="T300" s="4" t="s">
        <v>329</v>
      </c>
      <c r="U300" s="4">
        <v>0</v>
      </c>
      <c r="V300" s="4">
        <v>18</v>
      </c>
      <c r="W300" s="4">
        <v>42</v>
      </c>
    </row>
    <row r="301" spans="1:23" ht="11.25" customHeight="1" x14ac:dyDescent="0.3">
      <c r="A301" s="4" t="s">
        <v>27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44562</v>
      </c>
      <c r="J301" s="6">
        <v>0</v>
      </c>
      <c r="K301" s="6">
        <v>0</v>
      </c>
      <c r="L301" s="6">
        <v>-0.78500000000000003</v>
      </c>
      <c r="M301" s="6">
        <v>-0.78500000000000003</v>
      </c>
      <c r="N301" s="6">
        <v>-0.78500000000000003</v>
      </c>
      <c r="O301" s="6">
        <v>-0.78500000000000003</v>
      </c>
      <c r="P301" s="6">
        <v>0</v>
      </c>
      <c r="Q301" s="4" t="s">
        <v>26</v>
      </c>
      <c r="R301" s="4">
        <v>0</v>
      </c>
      <c r="S301" s="4" t="s">
        <v>136</v>
      </c>
      <c r="T301" s="4" t="s">
        <v>329</v>
      </c>
      <c r="U301" s="4">
        <v>0</v>
      </c>
      <c r="V301" s="4">
        <v>18</v>
      </c>
      <c r="W301" s="4">
        <v>42</v>
      </c>
    </row>
    <row r="302" spans="1:23" ht="11.25" customHeight="1" x14ac:dyDescent="0.3">
      <c r="A302" s="4" t="s">
        <v>28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44562</v>
      </c>
      <c r="J302" s="6">
        <v>0</v>
      </c>
      <c r="K302" s="6">
        <v>0</v>
      </c>
      <c r="L302" s="6">
        <v>39.787999999999997</v>
      </c>
      <c r="M302" s="6">
        <v>39.787999999999997</v>
      </c>
      <c r="N302" s="6">
        <v>39.787999999999997</v>
      </c>
      <c r="O302" s="6">
        <v>39.787999999999997</v>
      </c>
      <c r="P302" s="6">
        <v>236</v>
      </c>
      <c r="Q302" s="4" t="s">
        <v>26</v>
      </c>
      <c r="R302" s="4">
        <v>0</v>
      </c>
      <c r="S302" s="4" t="s">
        <v>136</v>
      </c>
      <c r="T302" s="4" t="s">
        <v>329</v>
      </c>
      <c r="U302" s="4">
        <v>0</v>
      </c>
      <c r="V302" s="4">
        <v>18</v>
      </c>
      <c r="W302" s="4">
        <v>42</v>
      </c>
    </row>
    <row r="303" spans="1:23" ht="11.25" customHeight="1" x14ac:dyDescent="0.3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44593</v>
      </c>
      <c r="J303" s="6">
        <v>0</v>
      </c>
      <c r="K303" s="6">
        <v>0</v>
      </c>
      <c r="L303" s="6">
        <v>3250.5459999999998</v>
      </c>
      <c r="M303" s="6">
        <v>3250.5459999999998</v>
      </c>
      <c r="N303" s="6">
        <v>3250.5459999999998</v>
      </c>
      <c r="O303" s="6">
        <v>3250.5459999999998</v>
      </c>
      <c r="P303" s="6">
        <v>13567</v>
      </c>
      <c r="Q303" s="4" t="s">
        <v>26</v>
      </c>
      <c r="R303" s="4">
        <v>0</v>
      </c>
      <c r="S303" s="4" t="s">
        <v>137</v>
      </c>
      <c r="T303" s="4" t="s">
        <v>330</v>
      </c>
      <c r="U303" s="4">
        <v>0</v>
      </c>
      <c r="V303" s="4">
        <v>18</v>
      </c>
      <c r="W303" s="4">
        <v>42</v>
      </c>
    </row>
    <row r="304" spans="1:23" ht="11.25" customHeight="1" x14ac:dyDescent="0.3">
      <c r="A304" s="4" t="s">
        <v>27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44593</v>
      </c>
      <c r="J304" s="6">
        <v>0</v>
      </c>
      <c r="K304" s="6">
        <v>0</v>
      </c>
      <c r="L304" s="6">
        <v>-0.84799999999999998</v>
      </c>
      <c r="M304" s="6">
        <v>-0.84799999999999998</v>
      </c>
      <c r="N304" s="6">
        <v>-0.84799999999999998</v>
      </c>
      <c r="O304" s="6">
        <v>-0.84799999999999998</v>
      </c>
      <c r="P304" s="6">
        <v>0</v>
      </c>
      <c r="Q304" s="4" t="s">
        <v>26</v>
      </c>
      <c r="R304" s="4">
        <v>0</v>
      </c>
      <c r="S304" s="4" t="s">
        <v>137</v>
      </c>
      <c r="T304" s="4" t="s">
        <v>330</v>
      </c>
      <c r="U304" s="4">
        <v>0</v>
      </c>
      <c r="V304" s="4">
        <v>18</v>
      </c>
      <c r="W304" s="4">
        <v>42</v>
      </c>
    </row>
    <row r="305" spans="1:23" ht="11.25" customHeight="1" x14ac:dyDescent="0.3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44621</v>
      </c>
      <c r="J305" s="6">
        <v>0</v>
      </c>
      <c r="K305" s="6">
        <v>0</v>
      </c>
      <c r="L305" s="6">
        <v>3087.9009999999998</v>
      </c>
      <c r="M305" s="6">
        <v>3087.9009999999998</v>
      </c>
      <c r="N305" s="6">
        <v>3087.9009999999998</v>
      </c>
      <c r="O305" s="6">
        <v>3087.9009999999998</v>
      </c>
      <c r="P305" s="6">
        <v>13653</v>
      </c>
      <c r="Q305" s="4" t="s">
        <v>26</v>
      </c>
      <c r="R305" s="4">
        <v>0</v>
      </c>
      <c r="S305" s="4" t="s">
        <v>138</v>
      </c>
      <c r="T305" s="4" t="s">
        <v>331</v>
      </c>
      <c r="U305" s="4">
        <v>0</v>
      </c>
      <c r="V305" s="4">
        <v>18</v>
      </c>
      <c r="W305" s="4">
        <v>42</v>
      </c>
    </row>
    <row r="306" spans="1:23" ht="11.25" customHeight="1" x14ac:dyDescent="0.3">
      <c r="A306" s="4" t="s">
        <v>27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44621</v>
      </c>
      <c r="J306" s="6">
        <v>0</v>
      </c>
      <c r="K306" s="6">
        <v>0</v>
      </c>
      <c r="L306" s="6">
        <v>-1.0069999999999999</v>
      </c>
      <c r="M306" s="6">
        <v>-1.0069999999999999</v>
      </c>
      <c r="N306" s="6">
        <v>-1.0069999999999999</v>
      </c>
      <c r="O306" s="6">
        <v>-1.0069999999999999</v>
      </c>
      <c r="P306" s="6">
        <v>0</v>
      </c>
      <c r="Q306" s="4" t="s">
        <v>26</v>
      </c>
      <c r="R306" s="4">
        <v>0</v>
      </c>
      <c r="S306" s="4" t="s">
        <v>138</v>
      </c>
      <c r="T306" s="4" t="s">
        <v>331</v>
      </c>
      <c r="U306" s="4">
        <v>0</v>
      </c>
      <c r="V306" s="4">
        <v>18</v>
      </c>
      <c r="W306" s="4">
        <v>42</v>
      </c>
    </row>
    <row r="307" spans="1:23" ht="11.25" customHeight="1" x14ac:dyDescent="0.3">
      <c r="A307" s="4" t="s">
        <v>28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44621</v>
      </c>
      <c r="J307" s="6">
        <v>0</v>
      </c>
      <c r="K307" s="6">
        <v>0</v>
      </c>
      <c r="L307" s="6">
        <v>53.518999999999998</v>
      </c>
      <c r="M307" s="6">
        <v>53.518999999999998</v>
      </c>
      <c r="N307" s="6">
        <v>53.518999999999998</v>
      </c>
      <c r="O307" s="6">
        <v>53.518999999999998</v>
      </c>
      <c r="P307" s="6">
        <v>261</v>
      </c>
      <c r="Q307" s="4" t="s">
        <v>26</v>
      </c>
      <c r="R307" s="4">
        <v>0</v>
      </c>
      <c r="S307" s="4" t="s">
        <v>138</v>
      </c>
      <c r="T307" s="4" t="s">
        <v>331</v>
      </c>
      <c r="U307" s="4">
        <v>0</v>
      </c>
      <c r="V307" s="4">
        <v>18</v>
      </c>
      <c r="W307" s="4">
        <v>42</v>
      </c>
    </row>
    <row r="308" spans="1:23" ht="11.25" customHeight="1" x14ac:dyDescent="0.3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44652</v>
      </c>
      <c r="J308" s="6">
        <v>0</v>
      </c>
      <c r="K308" s="6">
        <v>0</v>
      </c>
      <c r="L308" s="6">
        <v>2391.2469999999998</v>
      </c>
      <c r="M308" s="6">
        <v>2391.2469999999998</v>
      </c>
      <c r="N308" s="6">
        <v>2391.2469999999998</v>
      </c>
      <c r="O308" s="6">
        <v>2391.2469999999998</v>
      </c>
      <c r="P308" s="6">
        <v>13640</v>
      </c>
      <c r="Q308" s="4" t="s">
        <v>26</v>
      </c>
      <c r="R308" s="4">
        <v>0</v>
      </c>
      <c r="S308" s="4" t="s">
        <v>139</v>
      </c>
      <c r="T308" s="4" t="s">
        <v>332</v>
      </c>
      <c r="U308" s="4">
        <v>0</v>
      </c>
      <c r="V308" s="4">
        <v>18</v>
      </c>
      <c r="W308" s="4">
        <v>42</v>
      </c>
    </row>
    <row r="309" spans="1:23" ht="11.25" customHeight="1" x14ac:dyDescent="0.3">
      <c r="A309" s="4" t="s">
        <v>27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44652</v>
      </c>
      <c r="J309" s="6">
        <v>0</v>
      </c>
      <c r="K309" s="6">
        <v>0</v>
      </c>
      <c r="L309" s="6">
        <v>-1.425</v>
      </c>
      <c r="M309" s="6">
        <v>-1.425</v>
      </c>
      <c r="N309" s="6">
        <v>-1.425</v>
      </c>
      <c r="O309" s="6">
        <v>-1.425</v>
      </c>
      <c r="P309" s="6">
        <v>0</v>
      </c>
      <c r="Q309" s="4" t="s">
        <v>26</v>
      </c>
      <c r="R309" s="4">
        <v>0</v>
      </c>
      <c r="S309" s="4" t="s">
        <v>139</v>
      </c>
      <c r="T309" s="4" t="s">
        <v>332</v>
      </c>
      <c r="U309" s="4">
        <v>0</v>
      </c>
      <c r="V309" s="4">
        <v>18</v>
      </c>
      <c r="W309" s="4">
        <v>42</v>
      </c>
    </row>
    <row r="310" spans="1:23" ht="11.25" customHeight="1" x14ac:dyDescent="0.3">
      <c r="A310" s="4" t="s">
        <v>28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44652</v>
      </c>
      <c r="J310" s="6">
        <v>0</v>
      </c>
      <c r="K310" s="6">
        <v>0</v>
      </c>
      <c r="L310" s="6">
        <v>44.313000000000002</v>
      </c>
      <c r="M310" s="6">
        <v>44.313000000000002</v>
      </c>
      <c r="N310" s="6">
        <v>44.313000000000002</v>
      </c>
      <c r="O310" s="6">
        <v>44.313000000000002</v>
      </c>
      <c r="P310" s="6">
        <v>274</v>
      </c>
      <c r="Q310" s="4" t="s">
        <v>26</v>
      </c>
      <c r="R310" s="4">
        <v>0</v>
      </c>
      <c r="S310" s="4" t="s">
        <v>139</v>
      </c>
      <c r="T310" s="4" t="s">
        <v>332</v>
      </c>
      <c r="U310" s="4">
        <v>0</v>
      </c>
      <c r="V310" s="4">
        <v>18</v>
      </c>
      <c r="W310" s="4">
        <v>42</v>
      </c>
    </row>
    <row r="311" spans="1:23" ht="11.25" customHeight="1" x14ac:dyDescent="0.3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24</v>
      </c>
      <c r="F311" s="4" t="s">
        <v>25</v>
      </c>
      <c r="G311" s="4" t="s">
        <v>25</v>
      </c>
      <c r="H311" s="4" t="s">
        <v>25</v>
      </c>
      <c r="I311" s="5">
        <v>44682</v>
      </c>
      <c r="J311" s="6">
        <v>0</v>
      </c>
      <c r="K311" s="6">
        <v>0</v>
      </c>
      <c r="L311" s="6">
        <v>2203.8879999999999</v>
      </c>
      <c r="M311" s="6">
        <v>2203.8879999999999</v>
      </c>
      <c r="N311" s="6">
        <v>2203.8879999999999</v>
      </c>
      <c r="O311" s="6">
        <v>2203.8879999999999</v>
      </c>
      <c r="P311" s="6">
        <v>13601</v>
      </c>
      <c r="Q311" s="4" t="s">
        <v>26</v>
      </c>
      <c r="R311" s="4">
        <v>0</v>
      </c>
      <c r="S311" s="4" t="s">
        <v>140</v>
      </c>
      <c r="T311" s="4" t="s">
        <v>333</v>
      </c>
      <c r="U311" s="4">
        <v>0</v>
      </c>
      <c r="V311" s="4">
        <v>18</v>
      </c>
      <c r="W311" s="4">
        <v>42</v>
      </c>
    </row>
    <row r="312" spans="1:23" ht="11.25" customHeight="1" x14ac:dyDescent="0.3">
      <c r="A312" s="4" t="s">
        <v>27</v>
      </c>
      <c r="B312" s="4" t="s">
        <v>22</v>
      </c>
      <c r="C312" s="4" t="s">
        <v>23</v>
      </c>
      <c r="D312" s="4" t="s">
        <v>24</v>
      </c>
      <c r="E312" s="4" t="s">
        <v>24</v>
      </c>
      <c r="F312" s="4" t="s">
        <v>25</v>
      </c>
      <c r="G312" s="4" t="s">
        <v>25</v>
      </c>
      <c r="H312" s="4" t="s">
        <v>25</v>
      </c>
      <c r="I312" s="5">
        <v>44682</v>
      </c>
      <c r="J312" s="6">
        <v>0</v>
      </c>
      <c r="K312" s="6">
        <v>0</v>
      </c>
      <c r="L312" s="6">
        <v>-8.6999999999999994E-2</v>
      </c>
      <c r="M312" s="6">
        <v>-8.6999999999999994E-2</v>
      </c>
      <c r="N312" s="6">
        <v>-8.6999999999999994E-2</v>
      </c>
      <c r="O312" s="6">
        <v>-8.6999999999999994E-2</v>
      </c>
      <c r="P312" s="6">
        <v>0</v>
      </c>
      <c r="Q312" s="4" t="s">
        <v>26</v>
      </c>
      <c r="R312" s="4">
        <v>0</v>
      </c>
      <c r="S312" s="4" t="s">
        <v>140</v>
      </c>
      <c r="T312" s="4" t="s">
        <v>333</v>
      </c>
      <c r="U312" s="4">
        <v>0</v>
      </c>
      <c r="V312" s="4">
        <v>18</v>
      </c>
      <c r="W312" s="4">
        <v>42</v>
      </c>
    </row>
    <row r="313" spans="1:23" ht="11.25" customHeight="1" x14ac:dyDescent="0.3">
      <c r="A313" s="4" t="s">
        <v>28</v>
      </c>
      <c r="B313" s="4" t="s">
        <v>22</v>
      </c>
      <c r="C313" s="4" t="s">
        <v>23</v>
      </c>
      <c r="D313" s="4" t="s">
        <v>24</v>
      </c>
      <c r="E313" s="4" t="s">
        <v>24</v>
      </c>
      <c r="F313" s="4" t="s">
        <v>25</v>
      </c>
      <c r="G313" s="4" t="s">
        <v>25</v>
      </c>
      <c r="H313" s="4" t="s">
        <v>25</v>
      </c>
      <c r="I313" s="5">
        <v>44682</v>
      </c>
      <c r="J313" s="6">
        <v>0</v>
      </c>
      <c r="K313" s="6">
        <v>0</v>
      </c>
      <c r="L313" s="6">
        <v>38.017000000000003</v>
      </c>
      <c r="M313" s="6">
        <v>38.017000000000003</v>
      </c>
      <c r="N313" s="6">
        <v>38.017000000000003</v>
      </c>
      <c r="O313" s="6">
        <v>38.017000000000003</v>
      </c>
      <c r="P313" s="6">
        <v>291</v>
      </c>
      <c r="Q313" s="4" t="s">
        <v>26</v>
      </c>
      <c r="R313" s="4">
        <v>0</v>
      </c>
      <c r="S313" s="4" t="s">
        <v>140</v>
      </c>
      <c r="T313" s="4" t="s">
        <v>333</v>
      </c>
      <c r="U313" s="4">
        <v>0</v>
      </c>
      <c r="V313" s="4">
        <v>18</v>
      </c>
      <c r="W313" s="4">
        <v>42</v>
      </c>
    </row>
    <row r="314" spans="1:23" ht="11.25" customHeight="1" x14ac:dyDescent="0.3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24</v>
      </c>
      <c r="F314" s="4" t="s">
        <v>25</v>
      </c>
      <c r="G314" s="4" t="s">
        <v>25</v>
      </c>
      <c r="H314" s="4" t="s">
        <v>25</v>
      </c>
      <c r="I314" s="5">
        <v>44713</v>
      </c>
      <c r="J314" s="6">
        <v>0</v>
      </c>
      <c r="K314" s="6">
        <v>0</v>
      </c>
      <c r="L314" s="6">
        <v>2254.5949999999998</v>
      </c>
      <c r="M314" s="6">
        <v>2254.5949999999998</v>
      </c>
      <c r="N314" s="6">
        <v>2254.5949999999998</v>
      </c>
      <c r="O314" s="6">
        <v>2254.5949999999998</v>
      </c>
      <c r="P314" s="6">
        <v>13596</v>
      </c>
      <c r="Q314" s="4" t="s">
        <v>26</v>
      </c>
      <c r="R314" s="4">
        <v>0</v>
      </c>
      <c r="S314" s="4" t="s">
        <v>141</v>
      </c>
      <c r="T314" s="4" t="s">
        <v>334</v>
      </c>
      <c r="U314" s="4">
        <v>0</v>
      </c>
      <c r="V314" s="4">
        <v>18</v>
      </c>
      <c r="W314" s="4">
        <v>42</v>
      </c>
    </row>
    <row r="315" spans="1:23" ht="11.25" customHeight="1" x14ac:dyDescent="0.3">
      <c r="A315" s="4" t="s">
        <v>27</v>
      </c>
      <c r="B315" s="4" t="s">
        <v>22</v>
      </c>
      <c r="C315" s="4" t="s">
        <v>23</v>
      </c>
      <c r="D315" s="4" t="s">
        <v>24</v>
      </c>
      <c r="E315" s="4" t="s">
        <v>24</v>
      </c>
      <c r="F315" s="4" t="s">
        <v>25</v>
      </c>
      <c r="G315" s="4" t="s">
        <v>25</v>
      </c>
      <c r="H315" s="4" t="s">
        <v>25</v>
      </c>
      <c r="I315" s="5">
        <v>44713</v>
      </c>
      <c r="J315" s="6">
        <v>0</v>
      </c>
      <c r="K315" s="6">
        <v>0</v>
      </c>
      <c r="L315" s="6">
        <v>-1.488</v>
      </c>
      <c r="M315" s="6">
        <v>-1.488</v>
      </c>
      <c r="N315" s="6">
        <v>-1.488</v>
      </c>
      <c r="O315" s="6">
        <v>-1.488</v>
      </c>
      <c r="P315" s="6">
        <v>0</v>
      </c>
      <c r="Q315" s="4" t="s">
        <v>26</v>
      </c>
      <c r="R315" s="4">
        <v>0</v>
      </c>
      <c r="S315" s="4" t="s">
        <v>141</v>
      </c>
      <c r="T315" s="4" t="s">
        <v>334</v>
      </c>
      <c r="U315" s="4">
        <v>0</v>
      </c>
      <c r="V315" s="4">
        <v>18</v>
      </c>
      <c r="W315" s="4">
        <v>42</v>
      </c>
    </row>
    <row r="316" spans="1:23" ht="11.25" customHeight="1" x14ac:dyDescent="0.3">
      <c r="A316" s="4" t="s">
        <v>28</v>
      </c>
      <c r="B316" s="4" t="s">
        <v>22</v>
      </c>
      <c r="C316" s="4" t="s">
        <v>23</v>
      </c>
      <c r="D316" s="4" t="s">
        <v>24</v>
      </c>
      <c r="E316" s="4" t="s">
        <v>24</v>
      </c>
      <c r="F316" s="4" t="s">
        <v>25</v>
      </c>
      <c r="G316" s="4" t="s">
        <v>25</v>
      </c>
      <c r="H316" s="4" t="s">
        <v>25</v>
      </c>
      <c r="I316" s="5">
        <v>44713</v>
      </c>
      <c r="J316" s="6">
        <v>0</v>
      </c>
      <c r="K316" s="6">
        <v>0</v>
      </c>
      <c r="L316" s="6">
        <v>55.933999999999997</v>
      </c>
      <c r="M316" s="6">
        <v>55.933999999999997</v>
      </c>
      <c r="N316" s="6">
        <v>55.933999999999997</v>
      </c>
      <c r="O316" s="6">
        <v>55.933999999999997</v>
      </c>
      <c r="P316" s="6">
        <v>296</v>
      </c>
      <c r="Q316" s="4" t="s">
        <v>26</v>
      </c>
      <c r="R316" s="4">
        <v>0</v>
      </c>
      <c r="S316" s="4" t="s">
        <v>141</v>
      </c>
      <c r="T316" s="4" t="s">
        <v>334</v>
      </c>
      <c r="U316" s="4">
        <v>0</v>
      </c>
      <c r="V316" s="4">
        <v>18</v>
      </c>
      <c r="W316" s="4">
        <v>42</v>
      </c>
    </row>
    <row r="317" spans="1:23" ht="11.25" customHeight="1" x14ac:dyDescent="0.3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24</v>
      </c>
      <c r="F317" s="4" t="s">
        <v>25</v>
      </c>
      <c r="G317" s="4" t="s">
        <v>25</v>
      </c>
      <c r="H317" s="4" t="s">
        <v>25</v>
      </c>
      <c r="I317" s="5">
        <v>44743</v>
      </c>
      <c r="J317" s="6">
        <v>0</v>
      </c>
      <c r="K317" s="6">
        <v>0</v>
      </c>
      <c r="L317" s="6">
        <v>1975.5319999999999</v>
      </c>
      <c r="M317" s="6">
        <v>1975.5319999999999</v>
      </c>
      <c r="N317" s="6">
        <v>1975.5319999999999</v>
      </c>
      <c r="O317" s="6">
        <v>1975.5319999999999</v>
      </c>
      <c r="P317" s="6">
        <v>13580</v>
      </c>
      <c r="Q317" s="4" t="s">
        <v>26</v>
      </c>
      <c r="R317" s="4">
        <v>0</v>
      </c>
      <c r="S317" s="4" t="s">
        <v>142</v>
      </c>
      <c r="T317" s="4" t="s">
        <v>335</v>
      </c>
      <c r="U317" s="4">
        <v>0</v>
      </c>
      <c r="V317" s="4">
        <v>18</v>
      </c>
      <c r="W317" s="4">
        <v>42</v>
      </c>
    </row>
    <row r="318" spans="1:23" ht="11.25" customHeight="1" x14ac:dyDescent="0.3">
      <c r="A318" s="4" t="s">
        <v>27</v>
      </c>
      <c r="B318" s="4" t="s">
        <v>22</v>
      </c>
      <c r="C318" s="4" t="s">
        <v>23</v>
      </c>
      <c r="D318" s="4" t="s">
        <v>24</v>
      </c>
      <c r="E318" s="4" t="s">
        <v>24</v>
      </c>
      <c r="F318" s="4" t="s">
        <v>25</v>
      </c>
      <c r="G318" s="4" t="s">
        <v>25</v>
      </c>
      <c r="H318" s="4" t="s">
        <v>25</v>
      </c>
      <c r="I318" s="5">
        <v>44743</v>
      </c>
      <c r="J318" s="6">
        <v>0</v>
      </c>
      <c r="K318" s="6">
        <v>0</v>
      </c>
      <c r="L318" s="6">
        <v>-0.36</v>
      </c>
      <c r="M318" s="6">
        <v>-0.36</v>
      </c>
      <c r="N318" s="6">
        <v>-0.36</v>
      </c>
      <c r="O318" s="6">
        <v>-0.36</v>
      </c>
      <c r="P318" s="6">
        <v>0</v>
      </c>
      <c r="Q318" s="4" t="s">
        <v>26</v>
      </c>
      <c r="R318" s="4">
        <v>0</v>
      </c>
      <c r="S318" s="4" t="s">
        <v>142</v>
      </c>
      <c r="T318" s="4" t="s">
        <v>335</v>
      </c>
      <c r="U318" s="4">
        <v>0</v>
      </c>
      <c r="V318" s="4">
        <v>18</v>
      </c>
      <c r="W318" s="4">
        <v>42</v>
      </c>
    </row>
    <row r="319" spans="1:23" ht="11.25" customHeight="1" x14ac:dyDescent="0.3">
      <c r="A319" s="4" t="s">
        <v>28</v>
      </c>
      <c r="B319" s="4" t="s">
        <v>22</v>
      </c>
      <c r="C319" s="4" t="s">
        <v>23</v>
      </c>
      <c r="D319" s="4" t="s">
        <v>24</v>
      </c>
      <c r="E319" s="4" t="s">
        <v>24</v>
      </c>
      <c r="F319" s="4" t="s">
        <v>25</v>
      </c>
      <c r="G319" s="4" t="s">
        <v>25</v>
      </c>
      <c r="H319" s="4" t="s">
        <v>25</v>
      </c>
      <c r="I319" s="5">
        <v>44743</v>
      </c>
      <c r="J319" s="6">
        <v>0</v>
      </c>
      <c r="K319" s="6">
        <v>0</v>
      </c>
      <c r="L319" s="6">
        <v>49.317999999999998</v>
      </c>
      <c r="M319" s="6">
        <v>49.317999999999998</v>
      </c>
      <c r="N319" s="6">
        <v>49.317999999999998</v>
      </c>
      <c r="O319" s="6">
        <v>49.317999999999998</v>
      </c>
      <c r="P319" s="6">
        <v>314</v>
      </c>
      <c r="Q319" s="4" t="s">
        <v>26</v>
      </c>
      <c r="R319" s="4">
        <v>0</v>
      </c>
      <c r="S319" s="4" t="s">
        <v>142</v>
      </c>
      <c r="T319" s="4" t="s">
        <v>335</v>
      </c>
      <c r="U319" s="4">
        <v>0</v>
      </c>
      <c r="V319" s="4">
        <v>18</v>
      </c>
      <c r="W319" s="4">
        <v>42</v>
      </c>
    </row>
    <row r="320" spans="1:23" ht="11.25" customHeight="1" x14ac:dyDescent="0.3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24</v>
      </c>
      <c r="F320" s="4" t="s">
        <v>25</v>
      </c>
      <c r="G320" s="4" t="s">
        <v>25</v>
      </c>
      <c r="H320" s="4" t="s">
        <v>25</v>
      </c>
      <c r="I320" s="5">
        <v>44774</v>
      </c>
      <c r="J320" s="6">
        <v>0</v>
      </c>
      <c r="K320" s="6">
        <v>0</v>
      </c>
      <c r="L320" s="6">
        <v>2253.9299999999998</v>
      </c>
      <c r="M320" s="6">
        <v>2253.9299999999998</v>
      </c>
      <c r="N320" s="6">
        <v>2253.9299999999998</v>
      </c>
      <c r="O320" s="6">
        <v>2253.9299999999998</v>
      </c>
      <c r="P320" s="6">
        <v>13661</v>
      </c>
      <c r="Q320" s="4" t="s">
        <v>26</v>
      </c>
      <c r="R320" s="4">
        <v>0</v>
      </c>
      <c r="S320" s="4" t="s">
        <v>143</v>
      </c>
      <c r="T320" s="4" t="s">
        <v>336</v>
      </c>
      <c r="U320" s="4">
        <v>0</v>
      </c>
      <c r="V320" s="4">
        <v>18</v>
      </c>
      <c r="W320" s="4">
        <v>42</v>
      </c>
    </row>
    <row r="321" spans="1:23" ht="11.25" customHeight="1" x14ac:dyDescent="0.3">
      <c r="A321" s="4" t="s">
        <v>28</v>
      </c>
      <c r="B321" s="4" t="s">
        <v>22</v>
      </c>
      <c r="C321" s="4" t="s">
        <v>23</v>
      </c>
      <c r="D321" s="4" t="s">
        <v>24</v>
      </c>
      <c r="E321" s="4" t="s">
        <v>24</v>
      </c>
      <c r="F321" s="4" t="s">
        <v>25</v>
      </c>
      <c r="G321" s="4" t="s">
        <v>25</v>
      </c>
      <c r="H321" s="4" t="s">
        <v>25</v>
      </c>
      <c r="I321" s="5">
        <v>44774</v>
      </c>
      <c r="J321" s="6">
        <v>0</v>
      </c>
      <c r="K321" s="6">
        <v>0</v>
      </c>
      <c r="L321" s="6">
        <v>50.036000000000001</v>
      </c>
      <c r="M321" s="6">
        <v>50.036000000000001</v>
      </c>
      <c r="N321" s="6">
        <v>50.036000000000001</v>
      </c>
      <c r="O321" s="6">
        <v>50.036000000000001</v>
      </c>
      <c r="P321" s="6">
        <v>335</v>
      </c>
      <c r="Q321" s="4" t="s">
        <v>26</v>
      </c>
      <c r="R321" s="4">
        <v>0</v>
      </c>
      <c r="S321" s="4" t="s">
        <v>143</v>
      </c>
      <c r="T321" s="4" t="s">
        <v>336</v>
      </c>
      <c r="U321" s="4">
        <v>0</v>
      </c>
      <c r="V321" s="4">
        <v>18</v>
      </c>
      <c r="W321" s="4">
        <v>42</v>
      </c>
    </row>
    <row r="322" spans="1:23" ht="11.25" customHeight="1" x14ac:dyDescent="0.3">
      <c r="A322" s="4" t="s">
        <v>21</v>
      </c>
      <c r="B322" s="4" t="s">
        <v>22</v>
      </c>
      <c r="C322" s="4" t="s">
        <v>23</v>
      </c>
      <c r="D322" s="4" t="s">
        <v>24</v>
      </c>
      <c r="E322" s="4" t="s">
        <v>29</v>
      </c>
      <c r="F322" s="4" t="s">
        <v>25</v>
      </c>
      <c r="G322" s="4" t="s">
        <v>25</v>
      </c>
      <c r="H322" s="4" t="s">
        <v>25</v>
      </c>
      <c r="I322" s="5">
        <v>44440</v>
      </c>
      <c r="J322" s="6">
        <v>0</v>
      </c>
      <c r="K322" s="6">
        <v>0</v>
      </c>
      <c r="L322" s="6">
        <v>5.7</v>
      </c>
      <c r="M322" s="6">
        <v>5.7</v>
      </c>
      <c r="N322" s="6">
        <v>5.7</v>
      </c>
      <c r="O322" s="6">
        <v>5.7</v>
      </c>
      <c r="P322" s="6">
        <v>11</v>
      </c>
      <c r="Q322" s="4" t="s">
        <v>26</v>
      </c>
      <c r="R322" s="4">
        <v>0</v>
      </c>
      <c r="S322" s="4" t="s">
        <v>144</v>
      </c>
      <c r="T322" s="4" t="s">
        <v>337</v>
      </c>
      <c r="U322" s="4">
        <v>0</v>
      </c>
      <c r="V322" s="4">
        <v>13</v>
      </c>
      <c r="W322" s="4">
        <v>68</v>
      </c>
    </row>
    <row r="323" spans="1:23" ht="11.25" customHeight="1" x14ac:dyDescent="0.3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29</v>
      </c>
      <c r="F323" s="4" t="s">
        <v>25</v>
      </c>
      <c r="G323" s="4" t="s">
        <v>25</v>
      </c>
      <c r="H323" s="4" t="s">
        <v>25</v>
      </c>
      <c r="I323" s="5">
        <v>44470</v>
      </c>
      <c r="J323" s="6">
        <v>0</v>
      </c>
      <c r="K323" s="6">
        <v>0</v>
      </c>
      <c r="L323" s="6">
        <v>5.7</v>
      </c>
      <c r="M323" s="6">
        <v>5.7</v>
      </c>
      <c r="N323" s="6">
        <v>5.7</v>
      </c>
      <c r="O323" s="6">
        <v>5.7</v>
      </c>
      <c r="P323" s="6">
        <v>9</v>
      </c>
      <c r="Q323" s="4" t="s">
        <v>26</v>
      </c>
      <c r="R323" s="4">
        <v>0</v>
      </c>
      <c r="S323" s="4" t="s">
        <v>145</v>
      </c>
      <c r="T323" s="4" t="s">
        <v>338</v>
      </c>
      <c r="U323" s="4">
        <v>0</v>
      </c>
      <c r="V323" s="4">
        <v>13</v>
      </c>
      <c r="W323" s="4">
        <v>68</v>
      </c>
    </row>
    <row r="324" spans="1:23" ht="11.25" customHeight="1" x14ac:dyDescent="0.3">
      <c r="A324" s="4" t="s">
        <v>21</v>
      </c>
      <c r="B324" s="4" t="s">
        <v>22</v>
      </c>
      <c r="C324" s="4" t="s">
        <v>23</v>
      </c>
      <c r="D324" s="4" t="s">
        <v>24</v>
      </c>
      <c r="E324" s="4" t="s">
        <v>29</v>
      </c>
      <c r="F324" s="4" t="s">
        <v>25</v>
      </c>
      <c r="G324" s="4" t="s">
        <v>25</v>
      </c>
      <c r="H324" s="4" t="s">
        <v>25</v>
      </c>
      <c r="I324" s="5">
        <v>44501</v>
      </c>
      <c r="J324" s="6">
        <v>0</v>
      </c>
      <c r="K324" s="6">
        <v>0</v>
      </c>
      <c r="L324" s="6">
        <v>5.82</v>
      </c>
      <c r="M324" s="6">
        <v>5.82</v>
      </c>
      <c r="N324" s="6">
        <v>5.82</v>
      </c>
      <c r="O324" s="6">
        <v>5.82</v>
      </c>
      <c r="P324" s="6">
        <v>6</v>
      </c>
      <c r="Q324" s="4" t="s">
        <v>26</v>
      </c>
      <c r="R324" s="4">
        <v>0</v>
      </c>
      <c r="S324" s="4" t="s">
        <v>146</v>
      </c>
      <c r="T324" s="4" t="s">
        <v>339</v>
      </c>
      <c r="U324" s="4">
        <v>0</v>
      </c>
      <c r="V324" s="4">
        <v>13</v>
      </c>
      <c r="W324" s="4">
        <v>68</v>
      </c>
    </row>
    <row r="325" spans="1:23" ht="11.25" customHeight="1" x14ac:dyDescent="0.3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44531</v>
      </c>
      <c r="J325" s="6">
        <v>0</v>
      </c>
      <c r="K325" s="6">
        <v>0</v>
      </c>
      <c r="L325" s="6">
        <v>5.79</v>
      </c>
      <c r="M325" s="6">
        <v>5.79</v>
      </c>
      <c r="N325" s="6">
        <v>5.79</v>
      </c>
      <c r="O325" s="6">
        <v>5.79</v>
      </c>
      <c r="P325" s="6">
        <v>6</v>
      </c>
      <c r="Q325" s="4" t="s">
        <v>26</v>
      </c>
      <c r="R325" s="4">
        <v>0</v>
      </c>
      <c r="S325" s="4" t="s">
        <v>147</v>
      </c>
      <c r="T325" s="4" t="s">
        <v>340</v>
      </c>
      <c r="U325" s="4">
        <v>0</v>
      </c>
      <c r="V325" s="4">
        <v>13</v>
      </c>
      <c r="W325" s="4">
        <v>68</v>
      </c>
    </row>
    <row r="326" spans="1:23" ht="11.25" customHeight="1" x14ac:dyDescent="0.3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44562</v>
      </c>
      <c r="J326" s="6">
        <v>0</v>
      </c>
      <c r="K326" s="6">
        <v>0</v>
      </c>
      <c r="L326" s="6">
        <v>5.73</v>
      </c>
      <c r="M326" s="6">
        <v>5.73</v>
      </c>
      <c r="N326" s="6">
        <v>5.73</v>
      </c>
      <c r="O326" s="6">
        <v>5.73</v>
      </c>
      <c r="P326" s="6">
        <v>4</v>
      </c>
      <c r="Q326" s="4" t="s">
        <v>26</v>
      </c>
      <c r="R326" s="4">
        <v>0</v>
      </c>
      <c r="S326" s="4" t="s">
        <v>148</v>
      </c>
      <c r="T326" s="4" t="s">
        <v>341</v>
      </c>
      <c r="U326" s="4">
        <v>0</v>
      </c>
      <c r="V326" s="4">
        <v>13</v>
      </c>
      <c r="W326" s="4">
        <v>68</v>
      </c>
    </row>
    <row r="327" spans="1:23" ht="11.25" customHeight="1" x14ac:dyDescent="0.3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5.85</v>
      </c>
      <c r="M327" s="6">
        <v>5.85</v>
      </c>
      <c r="N327" s="6">
        <v>5.85</v>
      </c>
      <c r="O327" s="6">
        <v>5.85</v>
      </c>
      <c r="P327" s="6">
        <v>3</v>
      </c>
      <c r="Q327" s="4" t="s">
        <v>26</v>
      </c>
      <c r="R327" s="4">
        <v>0</v>
      </c>
      <c r="S327" s="4" t="s">
        <v>149</v>
      </c>
      <c r="T327" s="4" t="s">
        <v>342</v>
      </c>
      <c r="U327" s="4">
        <v>0</v>
      </c>
      <c r="V327" s="4">
        <v>13</v>
      </c>
      <c r="W327" s="4">
        <v>68</v>
      </c>
    </row>
    <row r="328" spans="1:23" ht="11.25" customHeight="1" x14ac:dyDescent="0.3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44621</v>
      </c>
      <c r="J328" s="6">
        <v>0</v>
      </c>
      <c r="K328" s="6">
        <v>0</v>
      </c>
      <c r="L328" s="6">
        <v>6</v>
      </c>
      <c r="M328" s="6">
        <v>6</v>
      </c>
      <c r="N328" s="6">
        <v>6</v>
      </c>
      <c r="O328" s="6">
        <v>6</v>
      </c>
      <c r="P328" s="6">
        <v>4</v>
      </c>
      <c r="Q328" s="4" t="s">
        <v>26</v>
      </c>
      <c r="R328" s="4">
        <v>0</v>
      </c>
      <c r="S328" s="4" t="s">
        <v>150</v>
      </c>
      <c r="T328" s="4" t="s">
        <v>343</v>
      </c>
      <c r="U328" s="4">
        <v>0</v>
      </c>
      <c r="V328" s="4">
        <v>13</v>
      </c>
      <c r="W328" s="4">
        <v>68</v>
      </c>
    </row>
    <row r="329" spans="1:23" ht="11.25" customHeight="1" x14ac:dyDescent="0.3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44652</v>
      </c>
      <c r="J329" s="6">
        <v>0</v>
      </c>
      <c r="K329" s="6">
        <v>0</v>
      </c>
      <c r="L329" s="6">
        <v>8.82</v>
      </c>
      <c r="M329" s="6">
        <v>8.82</v>
      </c>
      <c r="N329" s="6">
        <v>8.82</v>
      </c>
      <c r="O329" s="6">
        <v>8.82</v>
      </c>
      <c r="P329" s="6">
        <v>14</v>
      </c>
      <c r="Q329" s="4" t="s">
        <v>26</v>
      </c>
      <c r="R329" s="4">
        <v>0</v>
      </c>
      <c r="S329" s="4" t="s">
        <v>151</v>
      </c>
      <c r="T329" s="4" t="s">
        <v>344</v>
      </c>
      <c r="U329" s="4">
        <v>0</v>
      </c>
      <c r="V329" s="4">
        <v>13</v>
      </c>
      <c r="W329" s="4">
        <v>68</v>
      </c>
    </row>
    <row r="330" spans="1:23" ht="11.25" customHeight="1" x14ac:dyDescent="0.3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44682</v>
      </c>
      <c r="J330" s="6">
        <v>0</v>
      </c>
      <c r="K330" s="6">
        <v>0</v>
      </c>
      <c r="L330" s="6">
        <v>8.82</v>
      </c>
      <c r="M330" s="6">
        <v>8.82</v>
      </c>
      <c r="N330" s="6">
        <v>8.82</v>
      </c>
      <c r="O330" s="6">
        <v>8.82</v>
      </c>
      <c r="P330" s="6">
        <v>11</v>
      </c>
      <c r="Q330" s="4" t="s">
        <v>26</v>
      </c>
      <c r="R330" s="4">
        <v>0</v>
      </c>
      <c r="S330" s="4" t="s">
        <v>152</v>
      </c>
      <c r="T330" s="4" t="s">
        <v>345</v>
      </c>
      <c r="U330" s="4">
        <v>0</v>
      </c>
      <c r="V330" s="4">
        <v>13</v>
      </c>
      <c r="W330" s="4">
        <v>68</v>
      </c>
    </row>
    <row r="331" spans="1:23" ht="11.25" customHeight="1" x14ac:dyDescent="0.3">
      <c r="A331" s="4" t="s">
        <v>21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44713</v>
      </c>
      <c r="J331" s="6">
        <v>0</v>
      </c>
      <c r="K331" s="6">
        <v>0</v>
      </c>
      <c r="L331" s="6">
        <v>8.58</v>
      </c>
      <c r="M331" s="6">
        <v>8.58</v>
      </c>
      <c r="N331" s="6">
        <v>8.58</v>
      </c>
      <c r="O331" s="6">
        <v>8.58</v>
      </c>
      <c r="P331" s="6">
        <v>13</v>
      </c>
      <c r="Q331" s="4" t="s">
        <v>26</v>
      </c>
      <c r="R331" s="4">
        <v>0</v>
      </c>
      <c r="S331" s="4" t="s">
        <v>153</v>
      </c>
      <c r="T331" s="4" t="s">
        <v>346</v>
      </c>
      <c r="U331" s="4">
        <v>0</v>
      </c>
      <c r="V331" s="4">
        <v>13</v>
      </c>
      <c r="W331" s="4">
        <v>68</v>
      </c>
    </row>
    <row r="332" spans="1:23" ht="11.25" customHeight="1" x14ac:dyDescent="0.3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44743</v>
      </c>
      <c r="J332" s="6">
        <v>0</v>
      </c>
      <c r="K332" s="6">
        <v>0</v>
      </c>
      <c r="L332" s="6">
        <v>8.3230000000000004</v>
      </c>
      <c r="M332" s="6">
        <v>8.3230000000000004</v>
      </c>
      <c r="N332" s="6">
        <v>8.3230000000000004</v>
      </c>
      <c r="O332" s="6">
        <v>8.3230000000000004</v>
      </c>
      <c r="P332" s="6">
        <v>15</v>
      </c>
      <c r="Q332" s="4" t="s">
        <v>26</v>
      </c>
      <c r="R332" s="4">
        <v>0</v>
      </c>
      <c r="S332" s="4" t="s">
        <v>154</v>
      </c>
      <c r="T332" s="4" t="s">
        <v>347</v>
      </c>
      <c r="U332" s="4">
        <v>0</v>
      </c>
      <c r="V332" s="4">
        <v>13</v>
      </c>
      <c r="W332" s="4">
        <v>68</v>
      </c>
    </row>
    <row r="333" spans="1:23" ht="11.25" customHeight="1" x14ac:dyDescent="0.3">
      <c r="A333" s="4" t="s">
        <v>21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44774</v>
      </c>
      <c r="J333" s="6">
        <v>0</v>
      </c>
      <c r="K333" s="6">
        <v>0</v>
      </c>
      <c r="L333" s="6">
        <v>8.19</v>
      </c>
      <c r="M333" s="6">
        <v>8.19</v>
      </c>
      <c r="N333" s="6">
        <v>8.19</v>
      </c>
      <c r="O333" s="6">
        <v>8.19</v>
      </c>
      <c r="P333" s="6">
        <v>9</v>
      </c>
      <c r="Q333" s="4" t="s">
        <v>26</v>
      </c>
      <c r="R333" s="4">
        <v>0</v>
      </c>
      <c r="S333" s="4" t="s">
        <v>155</v>
      </c>
      <c r="T333" s="4" t="s">
        <v>348</v>
      </c>
      <c r="U333" s="4">
        <v>0</v>
      </c>
      <c r="V333" s="4">
        <v>13</v>
      </c>
      <c r="W333" s="4">
        <v>68</v>
      </c>
    </row>
    <row r="334" spans="1:23" ht="11.25" customHeight="1" x14ac:dyDescent="0.3">
      <c r="A334" s="4" t="s">
        <v>21</v>
      </c>
      <c r="B334" s="4" t="s">
        <v>22</v>
      </c>
      <c r="C334" s="4" t="s">
        <v>23</v>
      </c>
      <c r="D334" s="4" t="s">
        <v>24</v>
      </c>
      <c r="E334" s="4" t="s">
        <v>30</v>
      </c>
      <c r="F334" s="4" t="s">
        <v>25</v>
      </c>
      <c r="G334" s="4" t="s">
        <v>25</v>
      </c>
      <c r="H334" s="4" t="s">
        <v>25</v>
      </c>
      <c r="I334" s="5">
        <v>44440</v>
      </c>
      <c r="J334" s="6">
        <v>0</v>
      </c>
      <c r="K334" s="6">
        <v>0</v>
      </c>
      <c r="L334" s="6">
        <v>11.907999999999999</v>
      </c>
      <c r="M334" s="6">
        <v>11.907999999999999</v>
      </c>
      <c r="N334" s="6">
        <v>11.907999999999999</v>
      </c>
      <c r="O334" s="6">
        <v>11.907999999999999</v>
      </c>
      <c r="P334" s="6">
        <v>22</v>
      </c>
      <c r="Q334" s="4" t="s">
        <v>26</v>
      </c>
      <c r="R334" s="4">
        <v>0</v>
      </c>
      <c r="S334" s="4" t="s">
        <v>156</v>
      </c>
      <c r="T334" s="4" t="s">
        <v>349</v>
      </c>
      <c r="U334" s="4">
        <v>0</v>
      </c>
      <c r="V334" s="4">
        <v>9</v>
      </c>
      <c r="W334" s="4">
        <v>66</v>
      </c>
    </row>
    <row r="335" spans="1:23" ht="11.25" customHeight="1" x14ac:dyDescent="0.3">
      <c r="A335" s="4" t="s">
        <v>21</v>
      </c>
      <c r="B335" s="4" t="s">
        <v>22</v>
      </c>
      <c r="C335" s="4" t="s">
        <v>23</v>
      </c>
      <c r="D335" s="4" t="s">
        <v>24</v>
      </c>
      <c r="E335" s="4" t="s">
        <v>30</v>
      </c>
      <c r="F335" s="4" t="s">
        <v>25</v>
      </c>
      <c r="G335" s="4" t="s">
        <v>25</v>
      </c>
      <c r="H335" s="4" t="s">
        <v>25</v>
      </c>
      <c r="I335" s="5">
        <v>44470</v>
      </c>
      <c r="J335" s="6">
        <v>0</v>
      </c>
      <c r="K335" s="6">
        <v>0</v>
      </c>
      <c r="L335" s="6">
        <v>11.816000000000001</v>
      </c>
      <c r="M335" s="6">
        <v>11.816000000000001</v>
      </c>
      <c r="N335" s="6">
        <v>11.816000000000001</v>
      </c>
      <c r="O335" s="6">
        <v>11.816000000000001</v>
      </c>
      <c r="P335" s="6">
        <v>31</v>
      </c>
      <c r="Q335" s="4" t="s">
        <v>26</v>
      </c>
      <c r="R335" s="4">
        <v>0</v>
      </c>
      <c r="S335" s="4" t="s">
        <v>157</v>
      </c>
      <c r="T335" s="4" t="s">
        <v>350</v>
      </c>
      <c r="U335" s="4">
        <v>0</v>
      </c>
      <c r="V335" s="4">
        <v>9</v>
      </c>
      <c r="W335" s="4">
        <v>66</v>
      </c>
    </row>
    <row r="336" spans="1:23" ht="11.25" customHeight="1" x14ac:dyDescent="0.3">
      <c r="A336" s="4" t="s">
        <v>21</v>
      </c>
      <c r="B336" s="4" t="s">
        <v>22</v>
      </c>
      <c r="C336" s="4" t="s">
        <v>23</v>
      </c>
      <c r="D336" s="4" t="s">
        <v>24</v>
      </c>
      <c r="E336" s="4" t="s">
        <v>30</v>
      </c>
      <c r="F336" s="4" t="s">
        <v>25</v>
      </c>
      <c r="G336" s="4" t="s">
        <v>25</v>
      </c>
      <c r="H336" s="4" t="s">
        <v>25</v>
      </c>
      <c r="I336" s="5">
        <v>44501</v>
      </c>
      <c r="J336" s="6">
        <v>0</v>
      </c>
      <c r="K336" s="6">
        <v>0</v>
      </c>
      <c r="L336" s="6">
        <v>12.362</v>
      </c>
      <c r="M336" s="6">
        <v>12.362</v>
      </c>
      <c r="N336" s="6">
        <v>12.362</v>
      </c>
      <c r="O336" s="6">
        <v>12.362</v>
      </c>
      <c r="P336" s="6">
        <v>26</v>
      </c>
      <c r="Q336" s="4" t="s">
        <v>26</v>
      </c>
      <c r="R336" s="4">
        <v>0</v>
      </c>
      <c r="S336" s="4" t="s">
        <v>158</v>
      </c>
      <c r="T336" s="4" t="s">
        <v>351</v>
      </c>
      <c r="U336" s="4">
        <v>0</v>
      </c>
      <c r="V336" s="4">
        <v>9</v>
      </c>
      <c r="W336" s="4">
        <v>66</v>
      </c>
    </row>
    <row r="337" spans="1:23" ht="11.25" customHeight="1" x14ac:dyDescent="0.3">
      <c r="A337" s="4" t="s">
        <v>21</v>
      </c>
      <c r="B337" s="4" t="s">
        <v>22</v>
      </c>
      <c r="C337" s="4" t="s">
        <v>23</v>
      </c>
      <c r="D337" s="4" t="s">
        <v>24</v>
      </c>
      <c r="E337" s="4" t="s">
        <v>30</v>
      </c>
      <c r="F337" s="4" t="s">
        <v>25</v>
      </c>
      <c r="G337" s="4" t="s">
        <v>25</v>
      </c>
      <c r="H337" s="4" t="s">
        <v>25</v>
      </c>
      <c r="I337" s="5">
        <v>44531</v>
      </c>
      <c r="J337" s="6">
        <v>0</v>
      </c>
      <c r="K337" s="6">
        <v>0</v>
      </c>
      <c r="L337" s="6">
        <v>12.407</v>
      </c>
      <c r="M337" s="6">
        <v>12.407</v>
      </c>
      <c r="N337" s="6">
        <v>12.407</v>
      </c>
      <c r="O337" s="6">
        <v>12.407</v>
      </c>
      <c r="P337" s="6">
        <v>33</v>
      </c>
      <c r="Q337" s="4" t="s">
        <v>26</v>
      </c>
      <c r="R337" s="4">
        <v>0</v>
      </c>
      <c r="S337" s="4" t="s">
        <v>159</v>
      </c>
      <c r="T337" s="4" t="s">
        <v>352</v>
      </c>
      <c r="U337" s="4">
        <v>0</v>
      </c>
      <c r="V337" s="4">
        <v>9</v>
      </c>
      <c r="W337" s="4">
        <v>66</v>
      </c>
    </row>
    <row r="338" spans="1:23" ht="11.25" customHeight="1" x14ac:dyDescent="0.3">
      <c r="A338" s="4" t="s">
        <v>21</v>
      </c>
      <c r="B338" s="4" t="s">
        <v>22</v>
      </c>
      <c r="C338" s="4" t="s">
        <v>23</v>
      </c>
      <c r="D338" s="4" t="s">
        <v>24</v>
      </c>
      <c r="E338" s="4" t="s">
        <v>30</v>
      </c>
      <c r="F338" s="4" t="s">
        <v>25</v>
      </c>
      <c r="G338" s="4" t="s">
        <v>25</v>
      </c>
      <c r="H338" s="4" t="s">
        <v>25</v>
      </c>
      <c r="I338" s="5">
        <v>44562</v>
      </c>
      <c r="J338" s="6">
        <v>0</v>
      </c>
      <c r="K338" s="6">
        <v>0</v>
      </c>
      <c r="L338" s="6">
        <v>12.515000000000001</v>
      </c>
      <c r="M338" s="6">
        <v>12.515000000000001</v>
      </c>
      <c r="N338" s="6">
        <v>12.515000000000001</v>
      </c>
      <c r="O338" s="6">
        <v>12.515000000000001</v>
      </c>
      <c r="P338" s="6">
        <v>24</v>
      </c>
      <c r="Q338" s="4" t="s">
        <v>26</v>
      </c>
      <c r="R338" s="4">
        <v>0</v>
      </c>
      <c r="S338" s="4" t="s">
        <v>160</v>
      </c>
      <c r="T338" s="4" t="s">
        <v>353</v>
      </c>
      <c r="U338" s="4">
        <v>0</v>
      </c>
      <c r="V338" s="4">
        <v>9</v>
      </c>
      <c r="W338" s="4">
        <v>66</v>
      </c>
    </row>
    <row r="339" spans="1:23" ht="11.25" customHeight="1" x14ac:dyDescent="0.3">
      <c r="A339" s="4" t="s">
        <v>21</v>
      </c>
      <c r="B339" s="4" t="s">
        <v>22</v>
      </c>
      <c r="C339" s="4" t="s">
        <v>23</v>
      </c>
      <c r="D339" s="4" t="s">
        <v>24</v>
      </c>
      <c r="E339" s="4" t="s">
        <v>30</v>
      </c>
      <c r="F339" s="4" t="s">
        <v>25</v>
      </c>
      <c r="G339" s="4" t="s">
        <v>25</v>
      </c>
      <c r="H339" s="4" t="s">
        <v>25</v>
      </c>
      <c r="I339" s="5">
        <v>44593</v>
      </c>
      <c r="J339" s="6">
        <v>0</v>
      </c>
      <c r="K339" s="6">
        <v>0</v>
      </c>
      <c r="L339" s="6">
        <v>12.965</v>
      </c>
      <c r="M339" s="6">
        <v>12.965</v>
      </c>
      <c r="N339" s="6">
        <v>12.965</v>
      </c>
      <c r="O339" s="6">
        <v>12.965</v>
      </c>
      <c r="P339" s="6">
        <v>16</v>
      </c>
      <c r="Q339" s="4" t="s">
        <v>26</v>
      </c>
      <c r="R339" s="4">
        <v>0</v>
      </c>
      <c r="S339" s="4" t="s">
        <v>161</v>
      </c>
      <c r="T339" s="4" t="s">
        <v>354</v>
      </c>
      <c r="U339" s="4">
        <v>0</v>
      </c>
      <c r="V339" s="4">
        <v>9</v>
      </c>
      <c r="W339" s="4">
        <v>66</v>
      </c>
    </row>
    <row r="340" spans="1:23" ht="11.25" customHeight="1" x14ac:dyDescent="0.3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44621</v>
      </c>
      <c r="J340" s="6">
        <v>0</v>
      </c>
      <c r="K340" s="6">
        <v>0</v>
      </c>
      <c r="L340" s="6">
        <v>13.321999999999999</v>
      </c>
      <c r="M340" s="6">
        <v>13.321999999999999</v>
      </c>
      <c r="N340" s="6">
        <v>13.321999999999999</v>
      </c>
      <c r="O340" s="6">
        <v>13.321999999999999</v>
      </c>
      <c r="P340" s="6">
        <v>17</v>
      </c>
      <c r="Q340" s="4" t="s">
        <v>26</v>
      </c>
      <c r="R340" s="4">
        <v>0</v>
      </c>
      <c r="S340" s="4" t="s">
        <v>162</v>
      </c>
      <c r="T340" s="4" t="s">
        <v>355</v>
      </c>
      <c r="U340" s="4">
        <v>0</v>
      </c>
      <c r="V340" s="4">
        <v>9</v>
      </c>
      <c r="W340" s="4">
        <v>66</v>
      </c>
    </row>
    <row r="341" spans="1:23" ht="11.25" customHeight="1" x14ac:dyDescent="0.3">
      <c r="A341" s="4" t="s">
        <v>21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44652</v>
      </c>
      <c r="J341" s="6">
        <v>0</v>
      </c>
      <c r="K341" s="6">
        <v>0</v>
      </c>
      <c r="L341" s="6">
        <v>18.669</v>
      </c>
      <c r="M341" s="6">
        <v>18.669</v>
      </c>
      <c r="N341" s="6">
        <v>18.669</v>
      </c>
      <c r="O341" s="6">
        <v>18.669</v>
      </c>
      <c r="P341" s="6">
        <v>38</v>
      </c>
      <c r="Q341" s="4" t="s">
        <v>26</v>
      </c>
      <c r="R341" s="4">
        <v>0</v>
      </c>
      <c r="S341" s="4" t="s">
        <v>163</v>
      </c>
      <c r="T341" s="4" t="s">
        <v>356</v>
      </c>
      <c r="U341" s="4">
        <v>0</v>
      </c>
      <c r="V341" s="4">
        <v>9</v>
      </c>
      <c r="W341" s="4">
        <v>66</v>
      </c>
    </row>
    <row r="342" spans="1:23" ht="11.25" customHeight="1" x14ac:dyDescent="0.3">
      <c r="A342" s="4" t="s">
        <v>21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44682</v>
      </c>
      <c r="J342" s="6">
        <v>0</v>
      </c>
      <c r="K342" s="6">
        <v>0</v>
      </c>
      <c r="L342" s="6">
        <v>18.667000000000002</v>
      </c>
      <c r="M342" s="6">
        <v>18.667000000000002</v>
      </c>
      <c r="N342" s="6">
        <v>18.667000000000002</v>
      </c>
      <c r="O342" s="6">
        <v>18.667000000000002</v>
      </c>
      <c r="P342" s="6">
        <v>37</v>
      </c>
      <c r="Q342" s="4" t="s">
        <v>26</v>
      </c>
      <c r="R342" s="4">
        <v>0</v>
      </c>
      <c r="S342" s="4" t="s">
        <v>164</v>
      </c>
      <c r="T342" s="4" t="s">
        <v>357</v>
      </c>
      <c r="U342" s="4">
        <v>0</v>
      </c>
      <c r="V342" s="4">
        <v>9</v>
      </c>
      <c r="W342" s="4">
        <v>66</v>
      </c>
    </row>
    <row r="343" spans="1:23" ht="11.25" customHeight="1" x14ac:dyDescent="0.3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44713</v>
      </c>
      <c r="J343" s="6">
        <v>0</v>
      </c>
      <c r="K343" s="6">
        <v>0</v>
      </c>
      <c r="L343" s="6">
        <v>17.456</v>
      </c>
      <c r="M343" s="6">
        <v>17.456</v>
      </c>
      <c r="N343" s="6">
        <v>17.456</v>
      </c>
      <c r="O343" s="6">
        <v>17.456</v>
      </c>
      <c r="P343" s="6">
        <v>54</v>
      </c>
      <c r="Q343" s="4" t="s">
        <v>26</v>
      </c>
      <c r="R343" s="4">
        <v>0</v>
      </c>
      <c r="S343" s="4" t="s">
        <v>165</v>
      </c>
      <c r="T343" s="4" t="s">
        <v>358</v>
      </c>
      <c r="U343" s="4">
        <v>0</v>
      </c>
      <c r="V343" s="4">
        <v>9</v>
      </c>
      <c r="W343" s="4">
        <v>66</v>
      </c>
    </row>
    <row r="344" spans="1:23" ht="11.25" customHeight="1" x14ac:dyDescent="0.3">
      <c r="A344" s="4" t="s">
        <v>21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44743</v>
      </c>
      <c r="J344" s="6">
        <v>0</v>
      </c>
      <c r="K344" s="6">
        <v>0</v>
      </c>
      <c r="L344" s="6">
        <v>16.745999999999999</v>
      </c>
      <c r="M344" s="6">
        <v>16.745999999999999</v>
      </c>
      <c r="N344" s="6">
        <v>16.745999999999999</v>
      </c>
      <c r="O344" s="6">
        <v>16.745999999999999</v>
      </c>
      <c r="P344" s="6">
        <v>57</v>
      </c>
      <c r="Q344" s="4" t="s">
        <v>26</v>
      </c>
      <c r="R344" s="4">
        <v>0</v>
      </c>
      <c r="S344" s="4" t="s">
        <v>166</v>
      </c>
      <c r="T344" s="4" t="s">
        <v>359</v>
      </c>
      <c r="U344" s="4">
        <v>0</v>
      </c>
      <c r="V344" s="4">
        <v>9</v>
      </c>
      <c r="W344" s="4">
        <v>66</v>
      </c>
    </row>
    <row r="345" spans="1:23" ht="11.25" customHeight="1" x14ac:dyDescent="0.3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44774</v>
      </c>
      <c r="J345" s="6">
        <v>0</v>
      </c>
      <c r="K345" s="6">
        <v>0</v>
      </c>
      <c r="L345" s="6">
        <v>17.123000000000001</v>
      </c>
      <c r="M345" s="6">
        <v>17.123000000000001</v>
      </c>
      <c r="N345" s="6">
        <v>17.123000000000001</v>
      </c>
      <c r="O345" s="6">
        <v>17.123000000000001</v>
      </c>
      <c r="P345" s="6">
        <v>43</v>
      </c>
      <c r="Q345" s="4" t="s">
        <v>26</v>
      </c>
      <c r="R345" s="4">
        <v>0</v>
      </c>
      <c r="S345" s="4" t="s">
        <v>167</v>
      </c>
      <c r="T345" s="4" t="s">
        <v>360</v>
      </c>
      <c r="U345" s="4">
        <v>0</v>
      </c>
      <c r="V345" s="4">
        <v>9</v>
      </c>
      <c r="W345" s="4">
        <v>66</v>
      </c>
    </row>
    <row r="346" spans="1:23" ht="11.25" customHeight="1" x14ac:dyDescent="0.3">
      <c r="A346" s="4" t="s">
        <v>21</v>
      </c>
      <c r="B346" s="4" t="s">
        <v>22</v>
      </c>
      <c r="C346" s="4" t="s">
        <v>23</v>
      </c>
      <c r="D346" s="4" t="s">
        <v>24</v>
      </c>
      <c r="E346" s="4" t="s">
        <v>31</v>
      </c>
      <c r="F346" s="4" t="s">
        <v>25</v>
      </c>
      <c r="G346" s="4" t="s">
        <v>25</v>
      </c>
      <c r="H346" s="4" t="s">
        <v>25</v>
      </c>
      <c r="I346" s="5">
        <v>44440</v>
      </c>
      <c r="J346" s="6">
        <v>0</v>
      </c>
      <c r="K346" s="6">
        <v>0</v>
      </c>
      <c r="L346" s="6">
        <v>13.037000000000001</v>
      </c>
      <c r="M346" s="6">
        <v>13.037000000000001</v>
      </c>
      <c r="N346" s="6">
        <v>13.037000000000001</v>
      </c>
      <c r="O346" s="6">
        <v>13.037000000000001</v>
      </c>
      <c r="P346" s="6">
        <v>96</v>
      </c>
      <c r="Q346" s="4" t="s">
        <v>26</v>
      </c>
      <c r="R346" s="4">
        <v>0</v>
      </c>
      <c r="S346" s="4" t="s">
        <v>168</v>
      </c>
      <c r="T346" s="4" t="s">
        <v>361</v>
      </c>
      <c r="U346" s="4">
        <v>0</v>
      </c>
      <c r="V346" s="4">
        <v>11</v>
      </c>
      <c r="W346" s="4">
        <v>79</v>
      </c>
    </row>
    <row r="347" spans="1:23" ht="11.25" customHeight="1" x14ac:dyDescent="0.3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31</v>
      </c>
      <c r="F347" s="4" t="s">
        <v>25</v>
      </c>
      <c r="G347" s="4" t="s">
        <v>25</v>
      </c>
      <c r="H347" s="4" t="s">
        <v>25</v>
      </c>
      <c r="I347" s="5">
        <v>44470</v>
      </c>
      <c r="J347" s="6">
        <v>0</v>
      </c>
      <c r="K347" s="6">
        <v>0</v>
      </c>
      <c r="L347" s="6">
        <v>11.964</v>
      </c>
      <c r="M347" s="6">
        <v>11.964</v>
      </c>
      <c r="N347" s="6">
        <v>11.964</v>
      </c>
      <c r="O347" s="6">
        <v>11.964</v>
      </c>
      <c r="P347" s="6">
        <v>98</v>
      </c>
      <c r="Q347" s="4" t="s">
        <v>26</v>
      </c>
      <c r="R347" s="4">
        <v>0</v>
      </c>
      <c r="S347" s="4" t="s">
        <v>169</v>
      </c>
      <c r="T347" s="4" t="s">
        <v>362</v>
      </c>
      <c r="U347" s="4">
        <v>0</v>
      </c>
      <c r="V347" s="4">
        <v>11</v>
      </c>
      <c r="W347" s="4">
        <v>79</v>
      </c>
    </row>
    <row r="348" spans="1:23" ht="11.25" customHeight="1" x14ac:dyDescent="0.3">
      <c r="A348" s="4" t="s">
        <v>21</v>
      </c>
      <c r="B348" s="4" t="s">
        <v>22</v>
      </c>
      <c r="C348" s="4" t="s">
        <v>23</v>
      </c>
      <c r="D348" s="4" t="s">
        <v>24</v>
      </c>
      <c r="E348" s="4" t="s">
        <v>31</v>
      </c>
      <c r="F348" s="4" t="s">
        <v>25</v>
      </c>
      <c r="G348" s="4" t="s">
        <v>25</v>
      </c>
      <c r="H348" s="4" t="s">
        <v>25</v>
      </c>
      <c r="I348" s="5">
        <v>44501</v>
      </c>
      <c r="J348" s="6">
        <v>0</v>
      </c>
      <c r="K348" s="6">
        <v>0</v>
      </c>
      <c r="L348" s="6">
        <v>12.827999999999999</v>
      </c>
      <c r="M348" s="6">
        <v>12.827999999999999</v>
      </c>
      <c r="N348" s="6">
        <v>12.827999999999999</v>
      </c>
      <c r="O348" s="6">
        <v>12.827999999999999</v>
      </c>
      <c r="P348" s="6">
        <v>105</v>
      </c>
      <c r="Q348" s="4" t="s">
        <v>26</v>
      </c>
      <c r="R348" s="4">
        <v>0</v>
      </c>
      <c r="S348" s="4" t="s">
        <v>170</v>
      </c>
      <c r="T348" s="4" t="s">
        <v>363</v>
      </c>
      <c r="U348" s="4">
        <v>0</v>
      </c>
      <c r="V348" s="4">
        <v>11</v>
      </c>
      <c r="W348" s="4">
        <v>79</v>
      </c>
    </row>
    <row r="349" spans="1:23" ht="11.25" customHeight="1" x14ac:dyDescent="0.3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31</v>
      </c>
      <c r="F349" s="4" t="s">
        <v>25</v>
      </c>
      <c r="G349" s="4" t="s">
        <v>25</v>
      </c>
      <c r="H349" s="4" t="s">
        <v>25</v>
      </c>
      <c r="I349" s="5">
        <v>44531</v>
      </c>
      <c r="J349" s="6">
        <v>0</v>
      </c>
      <c r="K349" s="6">
        <v>0</v>
      </c>
      <c r="L349" s="6">
        <v>11.624000000000001</v>
      </c>
      <c r="M349" s="6">
        <v>11.624000000000001</v>
      </c>
      <c r="N349" s="6">
        <v>11.624000000000001</v>
      </c>
      <c r="O349" s="6">
        <v>11.624000000000001</v>
      </c>
      <c r="P349" s="6">
        <v>109</v>
      </c>
      <c r="Q349" s="4" t="s">
        <v>26</v>
      </c>
      <c r="R349" s="4">
        <v>0</v>
      </c>
      <c r="S349" s="4" t="s">
        <v>171</v>
      </c>
      <c r="T349" s="4" t="s">
        <v>364</v>
      </c>
      <c r="U349" s="4">
        <v>0</v>
      </c>
      <c r="V349" s="4">
        <v>11</v>
      </c>
      <c r="W349" s="4">
        <v>79</v>
      </c>
    </row>
    <row r="350" spans="1:23" ht="11.25" customHeight="1" x14ac:dyDescent="0.3">
      <c r="A350" s="4" t="s">
        <v>21</v>
      </c>
      <c r="B350" s="4" t="s">
        <v>22</v>
      </c>
      <c r="C350" s="4" t="s">
        <v>23</v>
      </c>
      <c r="D350" s="4" t="s">
        <v>24</v>
      </c>
      <c r="E350" s="4" t="s">
        <v>31</v>
      </c>
      <c r="F350" s="4" t="s">
        <v>25</v>
      </c>
      <c r="G350" s="4" t="s">
        <v>25</v>
      </c>
      <c r="H350" s="4" t="s">
        <v>25</v>
      </c>
      <c r="I350" s="5">
        <v>44562</v>
      </c>
      <c r="J350" s="6">
        <v>0</v>
      </c>
      <c r="K350" s="6">
        <v>0</v>
      </c>
      <c r="L350" s="6">
        <v>13.792999999999999</v>
      </c>
      <c r="M350" s="6">
        <v>13.792999999999999</v>
      </c>
      <c r="N350" s="6">
        <v>13.792999999999999</v>
      </c>
      <c r="O350" s="6">
        <v>13.792999999999999</v>
      </c>
      <c r="P350" s="6">
        <v>96</v>
      </c>
      <c r="Q350" s="4" t="s">
        <v>26</v>
      </c>
      <c r="R350" s="4">
        <v>0</v>
      </c>
      <c r="S350" s="4" t="s">
        <v>172</v>
      </c>
      <c r="T350" s="4" t="s">
        <v>365</v>
      </c>
      <c r="U350" s="4">
        <v>0</v>
      </c>
      <c r="V350" s="4">
        <v>11</v>
      </c>
      <c r="W350" s="4">
        <v>79</v>
      </c>
    </row>
    <row r="351" spans="1:23" ht="11.25" customHeight="1" x14ac:dyDescent="0.3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31</v>
      </c>
      <c r="F351" s="4" t="s">
        <v>25</v>
      </c>
      <c r="G351" s="4" t="s">
        <v>25</v>
      </c>
      <c r="H351" s="4" t="s">
        <v>25</v>
      </c>
      <c r="I351" s="5">
        <v>44593</v>
      </c>
      <c r="J351" s="6">
        <v>0</v>
      </c>
      <c r="K351" s="6">
        <v>0</v>
      </c>
      <c r="L351" s="6">
        <v>16.074000000000002</v>
      </c>
      <c r="M351" s="6">
        <v>16.074000000000002</v>
      </c>
      <c r="N351" s="6">
        <v>16.074000000000002</v>
      </c>
      <c r="O351" s="6">
        <v>16.074000000000002</v>
      </c>
      <c r="P351" s="6">
        <v>83</v>
      </c>
      <c r="Q351" s="4" t="s">
        <v>26</v>
      </c>
      <c r="R351" s="4">
        <v>0</v>
      </c>
      <c r="S351" s="4" t="s">
        <v>173</v>
      </c>
      <c r="T351" s="4" t="s">
        <v>366</v>
      </c>
      <c r="U351" s="4">
        <v>0</v>
      </c>
      <c r="V351" s="4">
        <v>11</v>
      </c>
      <c r="W351" s="4">
        <v>79</v>
      </c>
    </row>
    <row r="352" spans="1:23" ht="11.25" customHeight="1" x14ac:dyDescent="0.3">
      <c r="A352" s="4" t="s">
        <v>21</v>
      </c>
      <c r="B352" s="4" t="s">
        <v>22</v>
      </c>
      <c r="C352" s="4" t="s">
        <v>23</v>
      </c>
      <c r="D352" s="4" t="s">
        <v>24</v>
      </c>
      <c r="E352" s="4" t="s">
        <v>31</v>
      </c>
      <c r="F352" s="4" t="s">
        <v>25</v>
      </c>
      <c r="G352" s="4" t="s">
        <v>25</v>
      </c>
      <c r="H352" s="4" t="s">
        <v>25</v>
      </c>
      <c r="I352" s="5">
        <v>44621</v>
      </c>
      <c r="J352" s="6">
        <v>0</v>
      </c>
      <c r="K352" s="6">
        <v>0</v>
      </c>
      <c r="L352" s="6">
        <v>16.405999999999999</v>
      </c>
      <c r="M352" s="6">
        <v>16.405999999999999</v>
      </c>
      <c r="N352" s="6">
        <v>16.405999999999999</v>
      </c>
      <c r="O352" s="6">
        <v>16.405999999999999</v>
      </c>
      <c r="P352" s="6">
        <v>92</v>
      </c>
      <c r="Q352" s="4" t="s">
        <v>26</v>
      </c>
      <c r="R352" s="4">
        <v>0</v>
      </c>
      <c r="S352" s="4" t="s">
        <v>174</v>
      </c>
      <c r="T352" s="4" t="s">
        <v>367</v>
      </c>
      <c r="U352" s="4">
        <v>0</v>
      </c>
      <c r="V352" s="4">
        <v>11</v>
      </c>
      <c r="W352" s="4">
        <v>79</v>
      </c>
    </row>
    <row r="353" spans="1:23" ht="11.25" customHeight="1" x14ac:dyDescent="0.3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31</v>
      </c>
      <c r="F353" s="4" t="s">
        <v>25</v>
      </c>
      <c r="G353" s="4" t="s">
        <v>25</v>
      </c>
      <c r="H353" s="4" t="s">
        <v>25</v>
      </c>
      <c r="I353" s="5">
        <v>44652</v>
      </c>
      <c r="J353" s="6">
        <v>0</v>
      </c>
      <c r="K353" s="6">
        <v>0</v>
      </c>
      <c r="L353" s="6">
        <v>20.940999999999999</v>
      </c>
      <c r="M353" s="6">
        <v>20.940999999999999</v>
      </c>
      <c r="N353" s="6">
        <v>20.940999999999999</v>
      </c>
      <c r="O353" s="6">
        <v>20.940999999999999</v>
      </c>
      <c r="P353" s="6">
        <v>140</v>
      </c>
      <c r="Q353" s="4" t="s">
        <v>26</v>
      </c>
      <c r="R353" s="4">
        <v>0</v>
      </c>
      <c r="S353" s="4" t="s">
        <v>175</v>
      </c>
      <c r="T353" s="4" t="s">
        <v>368</v>
      </c>
      <c r="U353" s="4">
        <v>0</v>
      </c>
      <c r="V353" s="4">
        <v>11</v>
      </c>
      <c r="W353" s="4">
        <v>79</v>
      </c>
    </row>
    <row r="354" spans="1:23" ht="11.25" customHeight="1" x14ac:dyDescent="0.3">
      <c r="A354" s="4" t="s">
        <v>21</v>
      </c>
      <c r="B354" s="4" t="s">
        <v>22</v>
      </c>
      <c r="C354" s="4" t="s">
        <v>23</v>
      </c>
      <c r="D354" s="4" t="s">
        <v>24</v>
      </c>
      <c r="E354" s="4" t="s">
        <v>31</v>
      </c>
      <c r="F354" s="4" t="s">
        <v>25</v>
      </c>
      <c r="G354" s="4" t="s">
        <v>25</v>
      </c>
      <c r="H354" s="4" t="s">
        <v>25</v>
      </c>
      <c r="I354" s="5">
        <v>44682</v>
      </c>
      <c r="J354" s="6">
        <v>0</v>
      </c>
      <c r="K354" s="6">
        <v>0</v>
      </c>
      <c r="L354" s="6">
        <v>20.719000000000001</v>
      </c>
      <c r="M354" s="6">
        <v>20.719000000000001</v>
      </c>
      <c r="N354" s="6">
        <v>20.719000000000001</v>
      </c>
      <c r="O354" s="6">
        <v>20.719000000000001</v>
      </c>
      <c r="P354" s="6">
        <v>141</v>
      </c>
      <c r="Q354" s="4" t="s">
        <v>26</v>
      </c>
      <c r="R354" s="4">
        <v>0</v>
      </c>
      <c r="S354" s="4" t="s">
        <v>176</v>
      </c>
      <c r="T354" s="4" t="s">
        <v>369</v>
      </c>
      <c r="U354" s="4">
        <v>0</v>
      </c>
      <c r="V354" s="4">
        <v>11</v>
      </c>
      <c r="W354" s="4">
        <v>79</v>
      </c>
    </row>
    <row r="355" spans="1:23" ht="11.25" customHeight="1" x14ac:dyDescent="0.3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31</v>
      </c>
      <c r="F355" s="4" t="s">
        <v>25</v>
      </c>
      <c r="G355" s="4" t="s">
        <v>25</v>
      </c>
      <c r="H355" s="4" t="s">
        <v>25</v>
      </c>
      <c r="I355" s="5">
        <v>44713</v>
      </c>
      <c r="J355" s="6">
        <v>0</v>
      </c>
      <c r="K355" s="6">
        <v>0</v>
      </c>
      <c r="L355" s="6">
        <v>20.085000000000001</v>
      </c>
      <c r="M355" s="6">
        <v>20.085000000000001</v>
      </c>
      <c r="N355" s="6">
        <v>20.085000000000001</v>
      </c>
      <c r="O355" s="6">
        <v>20.085000000000001</v>
      </c>
      <c r="P355" s="6">
        <v>118</v>
      </c>
      <c r="Q355" s="4" t="s">
        <v>26</v>
      </c>
      <c r="R355" s="4">
        <v>0</v>
      </c>
      <c r="S355" s="4" t="s">
        <v>177</v>
      </c>
      <c r="T355" s="4" t="s">
        <v>370</v>
      </c>
      <c r="U355" s="4">
        <v>0</v>
      </c>
      <c r="V355" s="4">
        <v>11</v>
      </c>
      <c r="W355" s="4">
        <v>79</v>
      </c>
    </row>
    <row r="356" spans="1:23" ht="11.25" customHeight="1" x14ac:dyDescent="0.3">
      <c r="A356" s="4" t="s">
        <v>21</v>
      </c>
      <c r="B356" s="4" t="s">
        <v>22</v>
      </c>
      <c r="C356" s="4" t="s">
        <v>23</v>
      </c>
      <c r="D356" s="4" t="s">
        <v>24</v>
      </c>
      <c r="E356" s="4" t="s">
        <v>31</v>
      </c>
      <c r="F356" s="4" t="s">
        <v>25</v>
      </c>
      <c r="G356" s="4" t="s">
        <v>25</v>
      </c>
      <c r="H356" s="4" t="s">
        <v>25</v>
      </c>
      <c r="I356" s="5">
        <v>44743</v>
      </c>
      <c r="J356" s="6">
        <v>0</v>
      </c>
      <c r="K356" s="6">
        <v>0</v>
      </c>
      <c r="L356" s="6">
        <v>16.491</v>
      </c>
      <c r="M356" s="6">
        <v>16.491</v>
      </c>
      <c r="N356" s="6">
        <v>16.491</v>
      </c>
      <c r="O356" s="6">
        <v>16.491</v>
      </c>
      <c r="P356" s="6">
        <v>134</v>
      </c>
      <c r="Q356" s="4" t="s">
        <v>26</v>
      </c>
      <c r="R356" s="4">
        <v>0</v>
      </c>
      <c r="S356" s="4" t="s">
        <v>178</v>
      </c>
      <c r="T356" s="4" t="s">
        <v>371</v>
      </c>
      <c r="U356" s="4">
        <v>0</v>
      </c>
      <c r="V356" s="4">
        <v>11</v>
      </c>
      <c r="W356" s="4">
        <v>79</v>
      </c>
    </row>
    <row r="357" spans="1:23" ht="11.25" customHeight="1" x14ac:dyDescent="0.3">
      <c r="A357" s="4" t="s">
        <v>21</v>
      </c>
      <c r="B357" s="4" t="s">
        <v>22</v>
      </c>
      <c r="C357" s="4" t="s">
        <v>23</v>
      </c>
      <c r="D357" s="4" t="s">
        <v>24</v>
      </c>
      <c r="E357" s="4" t="s">
        <v>31</v>
      </c>
      <c r="F357" s="4" t="s">
        <v>25</v>
      </c>
      <c r="G357" s="4" t="s">
        <v>25</v>
      </c>
      <c r="H357" s="4" t="s">
        <v>25</v>
      </c>
      <c r="I357" s="5">
        <v>44774</v>
      </c>
      <c r="J357" s="6">
        <v>0</v>
      </c>
      <c r="K357" s="6">
        <v>0</v>
      </c>
      <c r="L357" s="6">
        <v>19.074999999999999</v>
      </c>
      <c r="M357" s="6">
        <v>19.074999999999999</v>
      </c>
      <c r="N357" s="6">
        <v>19.074999999999999</v>
      </c>
      <c r="O357" s="6">
        <v>19.074999999999999</v>
      </c>
      <c r="P357" s="6">
        <v>122</v>
      </c>
      <c r="Q357" s="4" t="s">
        <v>26</v>
      </c>
      <c r="R357" s="4">
        <v>0</v>
      </c>
      <c r="S357" s="4" t="s">
        <v>179</v>
      </c>
      <c r="T357" s="4" t="s">
        <v>372</v>
      </c>
      <c r="U357" s="4">
        <v>0</v>
      </c>
      <c r="V357" s="4">
        <v>11</v>
      </c>
      <c r="W357" s="4">
        <v>79</v>
      </c>
    </row>
    <row r="358" spans="1:23" ht="11.25" customHeight="1" x14ac:dyDescent="0.3">
      <c r="A358" s="4" t="s">
        <v>21</v>
      </c>
      <c r="B358" s="4" t="s">
        <v>22</v>
      </c>
      <c r="C358" s="4" t="s">
        <v>23</v>
      </c>
      <c r="D358" s="4" t="s">
        <v>24</v>
      </c>
      <c r="E358" s="4" t="s">
        <v>32</v>
      </c>
      <c r="F358" s="4" t="s">
        <v>25</v>
      </c>
      <c r="G358" s="4" t="s">
        <v>25</v>
      </c>
      <c r="H358" s="4" t="s">
        <v>25</v>
      </c>
      <c r="I358" s="5">
        <v>44440</v>
      </c>
      <c r="J358" s="6">
        <v>0</v>
      </c>
      <c r="K358" s="6">
        <v>0</v>
      </c>
      <c r="L358" s="6">
        <v>6.2409999999999997</v>
      </c>
      <c r="M358" s="6">
        <v>6.2409999999999997</v>
      </c>
      <c r="N358" s="6">
        <v>6.2409999999999997</v>
      </c>
      <c r="O358" s="6">
        <v>6.2409999999999997</v>
      </c>
      <c r="P358" s="6">
        <v>61</v>
      </c>
      <c r="Q358" s="4" t="s">
        <v>26</v>
      </c>
      <c r="R358" s="4">
        <v>0</v>
      </c>
      <c r="S358" s="4" t="s">
        <v>180</v>
      </c>
      <c r="T358" s="4" t="s">
        <v>373</v>
      </c>
      <c r="U358" s="4">
        <v>0</v>
      </c>
      <c r="V358" s="4">
        <v>20</v>
      </c>
      <c r="W358" s="4">
        <v>61</v>
      </c>
    </row>
    <row r="359" spans="1:23" ht="11.25" customHeight="1" x14ac:dyDescent="0.3">
      <c r="A359" s="4" t="s">
        <v>21</v>
      </c>
      <c r="B359" s="4" t="s">
        <v>22</v>
      </c>
      <c r="C359" s="4" t="s">
        <v>23</v>
      </c>
      <c r="D359" s="4" t="s">
        <v>24</v>
      </c>
      <c r="E359" s="4" t="s">
        <v>32</v>
      </c>
      <c r="F359" s="4" t="s">
        <v>25</v>
      </c>
      <c r="G359" s="4" t="s">
        <v>25</v>
      </c>
      <c r="H359" s="4" t="s">
        <v>25</v>
      </c>
      <c r="I359" s="5">
        <v>44470</v>
      </c>
      <c r="J359" s="6">
        <v>0</v>
      </c>
      <c r="K359" s="6">
        <v>0</v>
      </c>
      <c r="L359" s="6">
        <v>4.742</v>
      </c>
      <c r="M359" s="6">
        <v>4.742</v>
      </c>
      <c r="N359" s="6">
        <v>4.742</v>
      </c>
      <c r="O359" s="6">
        <v>4.742</v>
      </c>
      <c r="P359" s="6">
        <v>52</v>
      </c>
      <c r="Q359" s="4" t="s">
        <v>26</v>
      </c>
      <c r="R359" s="4">
        <v>0</v>
      </c>
      <c r="S359" s="4" t="s">
        <v>181</v>
      </c>
      <c r="T359" s="4" t="s">
        <v>374</v>
      </c>
      <c r="U359" s="4">
        <v>0</v>
      </c>
      <c r="V359" s="4">
        <v>20</v>
      </c>
      <c r="W359" s="4">
        <v>61</v>
      </c>
    </row>
    <row r="360" spans="1:23" ht="11.25" customHeight="1" x14ac:dyDescent="0.3">
      <c r="A360" s="4" t="s">
        <v>21</v>
      </c>
      <c r="B360" s="4" t="s">
        <v>22</v>
      </c>
      <c r="C360" s="4" t="s">
        <v>23</v>
      </c>
      <c r="D360" s="4" t="s">
        <v>24</v>
      </c>
      <c r="E360" s="4" t="s">
        <v>32</v>
      </c>
      <c r="F360" s="4" t="s">
        <v>25</v>
      </c>
      <c r="G360" s="4" t="s">
        <v>25</v>
      </c>
      <c r="H360" s="4" t="s">
        <v>25</v>
      </c>
      <c r="I360" s="5">
        <v>44501</v>
      </c>
      <c r="J360" s="6">
        <v>0</v>
      </c>
      <c r="K360" s="6">
        <v>0</v>
      </c>
      <c r="L360" s="6">
        <v>5.9029999999999996</v>
      </c>
      <c r="M360" s="6">
        <v>5.9029999999999996</v>
      </c>
      <c r="N360" s="6">
        <v>5.9029999999999996</v>
      </c>
      <c r="O360" s="6">
        <v>5.9029999999999996</v>
      </c>
      <c r="P360" s="6">
        <v>56</v>
      </c>
      <c r="Q360" s="4" t="s">
        <v>26</v>
      </c>
      <c r="R360" s="4">
        <v>0</v>
      </c>
      <c r="S360" s="4" t="s">
        <v>182</v>
      </c>
      <c r="T360" s="4" t="s">
        <v>375</v>
      </c>
      <c r="U360" s="4">
        <v>0</v>
      </c>
      <c r="V360" s="4">
        <v>20</v>
      </c>
      <c r="W360" s="4">
        <v>61</v>
      </c>
    </row>
    <row r="361" spans="1:23" ht="11.25" customHeight="1" x14ac:dyDescent="0.3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32</v>
      </c>
      <c r="F361" s="4" t="s">
        <v>25</v>
      </c>
      <c r="G361" s="4" t="s">
        <v>25</v>
      </c>
      <c r="H361" s="4" t="s">
        <v>25</v>
      </c>
      <c r="I361" s="5">
        <v>44531</v>
      </c>
      <c r="J361" s="6">
        <v>0</v>
      </c>
      <c r="K361" s="6">
        <v>0</v>
      </c>
      <c r="L361" s="6">
        <v>3.8780000000000001</v>
      </c>
      <c r="M361" s="6">
        <v>3.8780000000000001</v>
      </c>
      <c r="N361" s="6">
        <v>3.8780000000000001</v>
      </c>
      <c r="O361" s="6">
        <v>3.8780000000000001</v>
      </c>
      <c r="P361" s="6">
        <v>46</v>
      </c>
      <c r="Q361" s="4" t="s">
        <v>26</v>
      </c>
      <c r="R361" s="4">
        <v>0</v>
      </c>
      <c r="S361" s="4" t="s">
        <v>183</v>
      </c>
      <c r="T361" s="4" t="s">
        <v>376</v>
      </c>
      <c r="U361" s="4">
        <v>0</v>
      </c>
      <c r="V361" s="4">
        <v>20</v>
      </c>
      <c r="W361" s="4">
        <v>61</v>
      </c>
    </row>
    <row r="362" spans="1:23" ht="11.25" customHeight="1" x14ac:dyDescent="0.3">
      <c r="A362" s="4" t="s">
        <v>21</v>
      </c>
      <c r="B362" s="4" t="s">
        <v>22</v>
      </c>
      <c r="C362" s="4" t="s">
        <v>23</v>
      </c>
      <c r="D362" s="4" t="s">
        <v>24</v>
      </c>
      <c r="E362" s="4" t="s">
        <v>32</v>
      </c>
      <c r="F362" s="4" t="s">
        <v>25</v>
      </c>
      <c r="G362" s="4" t="s">
        <v>25</v>
      </c>
      <c r="H362" s="4" t="s">
        <v>25</v>
      </c>
      <c r="I362" s="5">
        <v>44562</v>
      </c>
      <c r="J362" s="6">
        <v>0</v>
      </c>
      <c r="K362" s="6">
        <v>0</v>
      </c>
      <c r="L362" s="6">
        <v>7.048</v>
      </c>
      <c r="M362" s="6">
        <v>7.048</v>
      </c>
      <c r="N362" s="6">
        <v>7.048</v>
      </c>
      <c r="O362" s="6">
        <v>7.048</v>
      </c>
      <c r="P362" s="6">
        <v>67</v>
      </c>
      <c r="Q362" s="4" t="s">
        <v>26</v>
      </c>
      <c r="R362" s="4">
        <v>0</v>
      </c>
      <c r="S362" s="4" t="s">
        <v>184</v>
      </c>
      <c r="T362" s="4" t="s">
        <v>377</v>
      </c>
      <c r="U362" s="4">
        <v>0</v>
      </c>
      <c r="V362" s="4">
        <v>20</v>
      </c>
      <c r="W362" s="4">
        <v>61</v>
      </c>
    </row>
    <row r="363" spans="1:23" ht="11.25" customHeight="1" x14ac:dyDescent="0.3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32</v>
      </c>
      <c r="F363" s="4" t="s">
        <v>25</v>
      </c>
      <c r="G363" s="4" t="s">
        <v>25</v>
      </c>
      <c r="H363" s="4" t="s">
        <v>25</v>
      </c>
      <c r="I363" s="5">
        <v>44593</v>
      </c>
      <c r="J363" s="6">
        <v>0</v>
      </c>
      <c r="K363" s="6">
        <v>0</v>
      </c>
      <c r="L363" s="6">
        <v>10.411</v>
      </c>
      <c r="M363" s="6">
        <v>10.411</v>
      </c>
      <c r="N363" s="6">
        <v>10.411</v>
      </c>
      <c r="O363" s="6">
        <v>10.411</v>
      </c>
      <c r="P363" s="6">
        <v>93</v>
      </c>
      <c r="Q363" s="4" t="s">
        <v>26</v>
      </c>
      <c r="R363" s="4">
        <v>0</v>
      </c>
      <c r="S363" s="4" t="s">
        <v>185</v>
      </c>
      <c r="T363" s="4" t="s">
        <v>378</v>
      </c>
      <c r="U363" s="4">
        <v>0</v>
      </c>
      <c r="V363" s="4">
        <v>20</v>
      </c>
      <c r="W363" s="4">
        <v>61</v>
      </c>
    </row>
    <row r="364" spans="1:23" ht="11.25" customHeight="1" x14ac:dyDescent="0.3">
      <c r="A364" s="4" t="s">
        <v>21</v>
      </c>
      <c r="B364" s="4" t="s">
        <v>22</v>
      </c>
      <c r="C364" s="4" t="s">
        <v>23</v>
      </c>
      <c r="D364" s="4" t="s">
        <v>24</v>
      </c>
      <c r="E364" s="4" t="s">
        <v>32</v>
      </c>
      <c r="F364" s="4" t="s">
        <v>25</v>
      </c>
      <c r="G364" s="4" t="s">
        <v>25</v>
      </c>
      <c r="H364" s="4" t="s">
        <v>25</v>
      </c>
      <c r="I364" s="5">
        <v>44621</v>
      </c>
      <c r="J364" s="6">
        <v>0</v>
      </c>
      <c r="K364" s="6">
        <v>0</v>
      </c>
      <c r="L364" s="6">
        <v>10.984</v>
      </c>
      <c r="M364" s="6">
        <v>10.984</v>
      </c>
      <c r="N364" s="6">
        <v>10.984</v>
      </c>
      <c r="O364" s="6">
        <v>10.984</v>
      </c>
      <c r="P364" s="6">
        <v>87</v>
      </c>
      <c r="Q364" s="4" t="s">
        <v>26</v>
      </c>
      <c r="R364" s="4">
        <v>0</v>
      </c>
      <c r="S364" s="4" t="s">
        <v>186</v>
      </c>
      <c r="T364" s="4" t="s">
        <v>379</v>
      </c>
      <c r="U364" s="4">
        <v>0</v>
      </c>
      <c r="V364" s="4">
        <v>20</v>
      </c>
      <c r="W364" s="4">
        <v>61</v>
      </c>
    </row>
    <row r="365" spans="1:23" ht="11.25" customHeight="1" x14ac:dyDescent="0.3">
      <c r="A365" s="4" t="s">
        <v>21</v>
      </c>
      <c r="B365" s="4" t="s">
        <v>22</v>
      </c>
      <c r="C365" s="4" t="s">
        <v>23</v>
      </c>
      <c r="D365" s="4" t="s">
        <v>24</v>
      </c>
      <c r="E365" s="4" t="s">
        <v>32</v>
      </c>
      <c r="F365" s="4" t="s">
        <v>25</v>
      </c>
      <c r="G365" s="4" t="s">
        <v>25</v>
      </c>
      <c r="H365" s="4" t="s">
        <v>25</v>
      </c>
      <c r="I365" s="5">
        <v>44652</v>
      </c>
      <c r="J365" s="6">
        <v>0</v>
      </c>
      <c r="K365" s="6">
        <v>0</v>
      </c>
      <c r="L365" s="6">
        <v>11.212</v>
      </c>
      <c r="M365" s="6">
        <v>11.212</v>
      </c>
      <c r="N365" s="6">
        <v>11.212</v>
      </c>
      <c r="O365" s="6">
        <v>11.212</v>
      </c>
      <c r="P365" s="6">
        <v>102</v>
      </c>
      <c r="Q365" s="4" t="s">
        <v>26</v>
      </c>
      <c r="R365" s="4">
        <v>0</v>
      </c>
      <c r="S365" s="4" t="s">
        <v>187</v>
      </c>
      <c r="T365" s="4" t="s">
        <v>380</v>
      </c>
      <c r="U365" s="4">
        <v>0</v>
      </c>
      <c r="V365" s="4">
        <v>20</v>
      </c>
      <c r="W365" s="4">
        <v>61</v>
      </c>
    </row>
    <row r="366" spans="1:23" ht="11.25" customHeight="1" x14ac:dyDescent="0.3">
      <c r="A366" s="4" t="s">
        <v>21</v>
      </c>
      <c r="B366" s="4" t="s">
        <v>22</v>
      </c>
      <c r="C366" s="4" t="s">
        <v>23</v>
      </c>
      <c r="D366" s="4" t="s">
        <v>24</v>
      </c>
      <c r="E366" s="4" t="s">
        <v>32</v>
      </c>
      <c r="F366" s="4" t="s">
        <v>25</v>
      </c>
      <c r="G366" s="4" t="s">
        <v>25</v>
      </c>
      <c r="H366" s="4" t="s">
        <v>25</v>
      </c>
      <c r="I366" s="5">
        <v>44682</v>
      </c>
      <c r="J366" s="6">
        <v>0</v>
      </c>
      <c r="K366" s="6">
        <v>0</v>
      </c>
      <c r="L366" s="6">
        <v>10.695</v>
      </c>
      <c r="M366" s="6">
        <v>10.695</v>
      </c>
      <c r="N366" s="6">
        <v>10.695</v>
      </c>
      <c r="O366" s="6">
        <v>10.695</v>
      </c>
      <c r="P366" s="6">
        <v>105</v>
      </c>
      <c r="Q366" s="4" t="s">
        <v>26</v>
      </c>
      <c r="R366" s="4">
        <v>0</v>
      </c>
      <c r="S366" s="4" t="s">
        <v>188</v>
      </c>
      <c r="T366" s="4" t="s">
        <v>381</v>
      </c>
      <c r="U366" s="4">
        <v>0</v>
      </c>
      <c r="V366" s="4">
        <v>20</v>
      </c>
      <c r="W366" s="4">
        <v>61</v>
      </c>
    </row>
    <row r="367" spans="1:23" ht="11.25" customHeight="1" x14ac:dyDescent="0.3">
      <c r="A367" s="4" t="s">
        <v>21</v>
      </c>
      <c r="B367" s="4" t="s">
        <v>22</v>
      </c>
      <c r="C367" s="4" t="s">
        <v>23</v>
      </c>
      <c r="D367" s="4" t="s">
        <v>24</v>
      </c>
      <c r="E367" s="4" t="s">
        <v>32</v>
      </c>
      <c r="F367" s="4" t="s">
        <v>25</v>
      </c>
      <c r="G367" s="4" t="s">
        <v>25</v>
      </c>
      <c r="H367" s="4" t="s">
        <v>25</v>
      </c>
      <c r="I367" s="5">
        <v>44713</v>
      </c>
      <c r="J367" s="6">
        <v>0</v>
      </c>
      <c r="K367" s="6">
        <v>0</v>
      </c>
      <c r="L367" s="6">
        <v>10.532</v>
      </c>
      <c r="M367" s="6">
        <v>10.532</v>
      </c>
      <c r="N367" s="6">
        <v>10.532</v>
      </c>
      <c r="O367" s="6">
        <v>10.532</v>
      </c>
      <c r="P367" s="6">
        <v>101</v>
      </c>
      <c r="Q367" s="4" t="s">
        <v>26</v>
      </c>
      <c r="R367" s="4">
        <v>0</v>
      </c>
      <c r="S367" s="4" t="s">
        <v>189</v>
      </c>
      <c r="T367" s="4" t="s">
        <v>382</v>
      </c>
      <c r="U367" s="4">
        <v>0</v>
      </c>
      <c r="V367" s="4">
        <v>20</v>
      </c>
      <c r="W367" s="4">
        <v>61</v>
      </c>
    </row>
    <row r="368" spans="1:23" ht="11.25" customHeight="1" x14ac:dyDescent="0.3">
      <c r="A368" s="4" t="s">
        <v>21</v>
      </c>
      <c r="B368" s="4" t="s">
        <v>22</v>
      </c>
      <c r="C368" s="4" t="s">
        <v>23</v>
      </c>
      <c r="D368" s="4" t="s">
        <v>24</v>
      </c>
      <c r="E368" s="4" t="s">
        <v>32</v>
      </c>
      <c r="F368" s="4" t="s">
        <v>25</v>
      </c>
      <c r="G368" s="4" t="s">
        <v>25</v>
      </c>
      <c r="H368" s="4" t="s">
        <v>25</v>
      </c>
      <c r="I368" s="5">
        <v>44743</v>
      </c>
      <c r="J368" s="6">
        <v>0</v>
      </c>
      <c r="K368" s="6">
        <v>0</v>
      </c>
      <c r="L368" s="6">
        <v>6.1269999999999998</v>
      </c>
      <c r="M368" s="6">
        <v>6.1269999999999998</v>
      </c>
      <c r="N368" s="6">
        <v>6.1269999999999998</v>
      </c>
      <c r="O368" s="6">
        <v>6.1269999999999998</v>
      </c>
      <c r="P368" s="6">
        <v>74</v>
      </c>
      <c r="Q368" s="4" t="s">
        <v>26</v>
      </c>
      <c r="R368" s="4">
        <v>0</v>
      </c>
      <c r="S368" s="4" t="s">
        <v>190</v>
      </c>
      <c r="T368" s="4" t="s">
        <v>383</v>
      </c>
      <c r="U368" s="4">
        <v>0</v>
      </c>
      <c r="V368" s="4">
        <v>20</v>
      </c>
      <c r="W368" s="4">
        <v>61</v>
      </c>
    </row>
    <row r="369" spans="1:23" ht="11.25" customHeight="1" x14ac:dyDescent="0.3">
      <c r="A369" s="4" t="s">
        <v>21</v>
      </c>
      <c r="B369" s="4" t="s">
        <v>22</v>
      </c>
      <c r="C369" s="4" t="s">
        <v>23</v>
      </c>
      <c r="D369" s="4" t="s">
        <v>24</v>
      </c>
      <c r="E369" s="4" t="s">
        <v>32</v>
      </c>
      <c r="F369" s="4" t="s">
        <v>25</v>
      </c>
      <c r="G369" s="4" t="s">
        <v>25</v>
      </c>
      <c r="H369" s="4" t="s">
        <v>25</v>
      </c>
      <c r="I369" s="5">
        <v>44774</v>
      </c>
      <c r="J369" s="6">
        <v>0</v>
      </c>
      <c r="K369" s="6">
        <v>0</v>
      </c>
      <c r="L369" s="6">
        <v>10.805999999999999</v>
      </c>
      <c r="M369" s="6">
        <v>10.805999999999999</v>
      </c>
      <c r="N369" s="6">
        <v>10.805999999999999</v>
      </c>
      <c r="O369" s="6">
        <v>10.805999999999999</v>
      </c>
      <c r="P369" s="6">
        <v>99</v>
      </c>
      <c r="Q369" s="4" t="s">
        <v>26</v>
      </c>
      <c r="R369" s="4">
        <v>0</v>
      </c>
      <c r="S369" s="4" t="s">
        <v>191</v>
      </c>
      <c r="T369" s="4" t="s">
        <v>384</v>
      </c>
      <c r="U369" s="4">
        <v>0</v>
      </c>
      <c r="V369" s="4">
        <v>20</v>
      </c>
      <c r="W369" s="4">
        <v>61</v>
      </c>
    </row>
    <row r="370" spans="1:23" ht="11.25" customHeight="1" x14ac:dyDescent="0.3">
      <c r="A370" s="4" t="s">
        <v>21</v>
      </c>
      <c r="B370" s="4" t="s">
        <v>42</v>
      </c>
      <c r="C370" s="4" t="s">
        <v>23</v>
      </c>
      <c r="D370" s="4" t="s">
        <v>43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44440</v>
      </c>
      <c r="J370" s="6">
        <v>0</v>
      </c>
      <c r="K370" s="6">
        <v>0</v>
      </c>
      <c r="L370" s="6">
        <v>37.402000000000001</v>
      </c>
      <c r="M370" s="6">
        <v>37.402000000000001</v>
      </c>
      <c r="N370" s="6">
        <v>37.402000000000001</v>
      </c>
      <c r="O370" s="6">
        <v>37.402000000000001</v>
      </c>
      <c r="P370" s="6">
        <v>174</v>
      </c>
      <c r="Q370" s="4" t="s">
        <v>26</v>
      </c>
      <c r="R370" s="4">
        <v>0</v>
      </c>
      <c r="S370" s="4" t="s">
        <v>192</v>
      </c>
      <c r="T370" s="4" t="s">
        <v>385</v>
      </c>
      <c r="U370" s="4">
        <v>0</v>
      </c>
      <c r="V370" s="4">
        <v>75</v>
      </c>
      <c r="W370" s="4">
        <v>53</v>
      </c>
    </row>
    <row r="371" spans="1:23" ht="11.25" customHeight="1" x14ac:dyDescent="0.3">
      <c r="A371" s="4" t="s">
        <v>28</v>
      </c>
      <c r="B371" s="4" t="s">
        <v>42</v>
      </c>
      <c r="C371" s="4" t="s">
        <v>23</v>
      </c>
      <c r="D371" s="4" t="s">
        <v>43</v>
      </c>
      <c r="E371" s="4" t="s">
        <v>25</v>
      </c>
      <c r="F371" s="4" t="s">
        <v>25</v>
      </c>
      <c r="G371" s="4" t="s">
        <v>25</v>
      </c>
      <c r="H371" s="4" t="s">
        <v>25</v>
      </c>
      <c r="I371" s="5">
        <v>44440</v>
      </c>
      <c r="J371" s="6">
        <v>0</v>
      </c>
      <c r="K371" s="6">
        <v>0</v>
      </c>
      <c r="L371" s="6">
        <v>2.456</v>
      </c>
      <c r="M371" s="6">
        <v>2.456</v>
      </c>
      <c r="N371" s="6">
        <v>2.456</v>
      </c>
      <c r="O371" s="6">
        <v>2.456</v>
      </c>
      <c r="P371" s="6">
        <v>5</v>
      </c>
      <c r="Q371" s="4" t="s">
        <v>26</v>
      </c>
      <c r="R371" s="4">
        <v>0</v>
      </c>
      <c r="S371" s="4" t="s">
        <v>192</v>
      </c>
      <c r="T371" s="4" t="s">
        <v>385</v>
      </c>
      <c r="U371" s="4">
        <v>0</v>
      </c>
      <c r="V371" s="4">
        <v>75</v>
      </c>
      <c r="W371" s="4">
        <v>53</v>
      </c>
    </row>
    <row r="372" spans="1:23" ht="11.25" customHeight="1" x14ac:dyDescent="0.3">
      <c r="A372" s="4" t="s">
        <v>21</v>
      </c>
      <c r="B372" s="4" t="s">
        <v>42</v>
      </c>
      <c r="C372" s="4" t="s">
        <v>23</v>
      </c>
      <c r="D372" s="4" t="s">
        <v>43</v>
      </c>
      <c r="E372" s="4" t="s">
        <v>25</v>
      </c>
      <c r="F372" s="4" t="s">
        <v>25</v>
      </c>
      <c r="G372" s="4" t="s">
        <v>25</v>
      </c>
      <c r="H372" s="4" t="s">
        <v>25</v>
      </c>
      <c r="I372" s="5">
        <v>44470</v>
      </c>
      <c r="J372" s="6">
        <v>0</v>
      </c>
      <c r="K372" s="6">
        <v>0</v>
      </c>
      <c r="L372" s="6">
        <v>37.35</v>
      </c>
      <c r="M372" s="6">
        <v>37.35</v>
      </c>
      <c r="N372" s="6">
        <v>37.35</v>
      </c>
      <c r="O372" s="6">
        <v>37.35</v>
      </c>
      <c r="P372" s="6">
        <v>176</v>
      </c>
      <c r="Q372" s="4" t="s">
        <v>26</v>
      </c>
      <c r="R372" s="4">
        <v>0</v>
      </c>
      <c r="S372" s="4" t="s">
        <v>193</v>
      </c>
      <c r="T372" s="4" t="s">
        <v>386</v>
      </c>
      <c r="U372" s="4">
        <v>0</v>
      </c>
      <c r="V372" s="4">
        <v>75</v>
      </c>
      <c r="W372" s="4">
        <v>53</v>
      </c>
    </row>
    <row r="373" spans="1:23" ht="11.25" customHeight="1" x14ac:dyDescent="0.3">
      <c r="A373" s="4" t="s">
        <v>28</v>
      </c>
      <c r="B373" s="4" t="s">
        <v>42</v>
      </c>
      <c r="C373" s="4" t="s">
        <v>23</v>
      </c>
      <c r="D373" s="4" t="s">
        <v>43</v>
      </c>
      <c r="E373" s="4" t="s">
        <v>25</v>
      </c>
      <c r="F373" s="4" t="s">
        <v>25</v>
      </c>
      <c r="G373" s="4" t="s">
        <v>25</v>
      </c>
      <c r="H373" s="4" t="s">
        <v>25</v>
      </c>
      <c r="I373" s="5">
        <v>44470</v>
      </c>
      <c r="J373" s="6">
        <v>0</v>
      </c>
      <c r="K373" s="6">
        <v>0</v>
      </c>
      <c r="L373" s="6">
        <v>2.9449999999999998</v>
      </c>
      <c r="M373" s="6">
        <v>2.9449999999999998</v>
      </c>
      <c r="N373" s="6">
        <v>2.9449999999999998</v>
      </c>
      <c r="O373" s="6">
        <v>2.9449999999999998</v>
      </c>
      <c r="P373" s="6">
        <v>5</v>
      </c>
      <c r="Q373" s="4" t="s">
        <v>26</v>
      </c>
      <c r="R373" s="4">
        <v>0</v>
      </c>
      <c r="S373" s="4" t="s">
        <v>193</v>
      </c>
      <c r="T373" s="4" t="s">
        <v>386</v>
      </c>
      <c r="U373" s="4">
        <v>0</v>
      </c>
      <c r="V373" s="4">
        <v>75</v>
      </c>
      <c r="W373" s="4">
        <v>53</v>
      </c>
    </row>
    <row r="374" spans="1:23" ht="11.25" customHeight="1" x14ac:dyDescent="0.3">
      <c r="A374" s="4" t="s">
        <v>21</v>
      </c>
      <c r="B374" s="4" t="s">
        <v>42</v>
      </c>
      <c r="C374" s="4" t="s">
        <v>23</v>
      </c>
      <c r="D374" s="4" t="s">
        <v>43</v>
      </c>
      <c r="E374" s="4" t="s">
        <v>25</v>
      </c>
      <c r="F374" s="4" t="s">
        <v>25</v>
      </c>
      <c r="G374" s="4" t="s">
        <v>25</v>
      </c>
      <c r="H374" s="4" t="s">
        <v>25</v>
      </c>
      <c r="I374" s="5">
        <v>44501</v>
      </c>
      <c r="J374" s="6">
        <v>0</v>
      </c>
      <c r="K374" s="6">
        <v>0</v>
      </c>
      <c r="L374" s="6">
        <v>40.924999999999997</v>
      </c>
      <c r="M374" s="6">
        <v>40.924999999999997</v>
      </c>
      <c r="N374" s="6">
        <v>40.924999999999997</v>
      </c>
      <c r="O374" s="6">
        <v>40.924999999999997</v>
      </c>
      <c r="P374" s="6">
        <v>174</v>
      </c>
      <c r="Q374" s="4" t="s">
        <v>26</v>
      </c>
      <c r="R374" s="4">
        <v>0</v>
      </c>
      <c r="S374" s="4" t="s">
        <v>194</v>
      </c>
      <c r="T374" s="4" t="s">
        <v>387</v>
      </c>
      <c r="U374" s="4">
        <v>0</v>
      </c>
      <c r="V374" s="4">
        <v>75</v>
      </c>
      <c r="W374" s="4">
        <v>53</v>
      </c>
    </row>
    <row r="375" spans="1:23" ht="11.25" customHeight="1" x14ac:dyDescent="0.3">
      <c r="A375" s="4" t="s">
        <v>27</v>
      </c>
      <c r="B375" s="4" t="s">
        <v>42</v>
      </c>
      <c r="C375" s="4" t="s">
        <v>23</v>
      </c>
      <c r="D375" s="4" t="s">
        <v>43</v>
      </c>
      <c r="E375" s="4" t="s">
        <v>25</v>
      </c>
      <c r="F375" s="4" t="s">
        <v>25</v>
      </c>
      <c r="G375" s="4" t="s">
        <v>25</v>
      </c>
      <c r="H375" s="4" t="s">
        <v>25</v>
      </c>
      <c r="I375" s="5">
        <v>44501</v>
      </c>
      <c r="J375" s="6">
        <v>0</v>
      </c>
      <c r="K375" s="6">
        <v>0</v>
      </c>
      <c r="L375" s="6">
        <v>-1.7999999999999999E-2</v>
      </c>
      <c r="M375" s="6">
        <v>-1.7999999999999999E-2</v>
      </c>
      <c r="N375" s="6">
        <v>-1.7999999999999999E-2</v>
      </c>
      <c r="O375" s="6">
        <v>-1.7999999999999999E-2</v>
      </c>
      <c r="P375" s="6">
        <v>0</v>
      </c>
      <c r="Q375" s="4" t="s">
        <v>26</v>
      </c>
      <c r="R375" s="4">
        <v>0</v>
      </c>
      <c r="S375" s="4" t="s">
        <v>194</v>
      </c>
      <c r="T375" s="4" t="s">
        <v>387</v>
      </c>
      <c r="U375" s="4">
        <v>0</v>
      </c>
      <c r="V375" s="4">
        <v>75</v>
      </c>
      <c r="W375" s="4">
        <v>53</v>
      </c>
    </row>
    <row r="376" spans="1:23" ht="11.25" customHeight="1" x14ac:dyDescent="0.3">
      <c r="A376" s="4" t="s">
        <v>28</v>
      </c>
      <c r="B376" s="4" t="s">
        <v>42</v>
      </c>
      <c r="C376" s="4" t="s">
        <v>23</v>
      </c>
      <c r="D376" s="4" t="s">
        <v>43</v>
      </c>
      <c r="E376" s="4" t="s">
        <v>25</v>
      </c>
      <c r="F376" s="4" t="s">
        <v>25</v>
      </c>
      <c r="G376" s="4" t="s">
        <v>25</v>
      </c>
      <c r="H376" s="4" t="s">
        <v>25</v>
      </c>
      <c r="I376" s="5">
        <v>44501</v>
      </c>
      <c r="J376" s="6">
        <v>0</v>
      </c>
      <c r="K376" s="6">
        <v>0</v>
      </c>
      <c r="L376" s="6">
        <v>0.43</v>
      </c>
      <c r="M376" s="6">
        <v>0.43</v>
      </c>
      <c r="N376" s="6">
        <v>0.43</v>
      </c>
      <c r="O376" s="6">
        <v>0.43</v>
      </c>
      <c r="P376" s="6">
        <v>5</v>
      </c>
      <c r="Q376" s="4" t="s">
        <v>26</v>
      </c>
      <c r="R376" s="4">
        <v>0</v>
      </c>
      <c r="S376" s="4" t="s">
        <v>194</v>
      </c>
      <c r="T376" s="4" t="s">
        <v>387</v>
      </c>
      <c r="U376" s="4">
        <v>0</v>
      </c>
      <c r="V376" s="4">
        <v>75</v>
      </c>
      <c r="W376" s="4">
        <v>53</v>
      </c>
    </row>
    <row r="377" spans="1:23" ht="11.25" customHeight="1" x14ac:dyDescent="0.3">
      <c r="A377" s="4" t="s">
        <v>21</v>
      </c>
      <c r="B377" s="4" t="s">
        <v>42</v>
      </c>
      <c r="C377" s="4" t="s">
        <v>23</v>
      </c>
      <c r="D377" s="4" t="s">
        <v>43</v>
      </c>
      <c r="E377" s="4" t="s">
        <v>25</v>
      </c>
      <c r="F377" s="4" t="s">
        <v>25</v>
      </c>
      <c r="G377" s="4" t="s">
        <v>25</v>
      </c>
      <c r="H377" s="4" t="s">
        <v>25</v>
      </c>
      <c r="I377" s="5">
        <v>44531</v>
      </c>
      <c r="J377" s="6">
        <v>0</v>
      </c>
      <c r="K377" s="6">
        <v>0</v>
      </c>
      <c r="L377" s="6">
        <v>46.731999999999999</v>
      </c>
      <c r="M377" s="6">
        <v>46.731999999999999</v>
      </c>
      <c r="N377" s="6">
        <v>46.731999999999999</v>
      </c>
      <c r="O377" s="6">
        <v>46.731999999999999</v>
      </c>
      <c r="P377" s="6">
        <v>175</v>
      </c>
      <c r="Q377" s="4" t="s">
        <v>26</v>
      </c>
      <c r="R377" s="4">
        <v>0</v>
      </c>
      <c r="S377" s="4" t="s">
        <v>195</v>
      </c>
      <c r="T377" s="4" t="s">
        <v>388</v>
      </c>
      <c r="U377" s="4">
        <v>0</v>
      </c>
      <c r="V377" s="4">
        <v>75</v>
      </c>
      <c r="W377" s="4">
        <v>53</v>
      </c>
    </row>
    <row r="378" spans="1:23" ht="11.25" customHeight="1" x14ac:dyDescent="0.3">
      <c r="A378" s="4" t="s">
        <v>28</v>
      </c>
      <c r="B378" s="4" t="s">
        <v>42</v>
      </c>
      <c r="C378" s="4" t="s">
        <v>23</v>
      </c>
      <c r="D378" s="4" t="s">
        <v>43</v>
      </c>
      <c r="E378" s="4" t="s">
        <v>25</v>
      </c>
      <c r="F378" s="4" t="s">
        <v>25</v>
      </c>
      <c r="G378" s="4" t="s">
        <v>25</v>
      </c>
      <c r="H378" s="4" t="s">
        <v>25</v>
      </c>
      <c r="I378" s="5">
        <v>44531</v>
      </c>
      <c r="J378" s="6">
        <v>0</v>
      </c>
      <c r="K378" s="6">
        <v>0</v>
      </c>
      <c r="L378" s="6">
        <v>0.43</v>
      </c>
      <c r="M378" s="6">
        <v>0.43</v>
      </c>
      <c r="N378" s="6">
        <v>0.43</v>
      </c>
      <c r="O378" s="6">
        <v>0.43</v>
      </c>
      <c r="P378" s="6">
        <v>5</v>
      </c>
      <c r="Q378" s="4" t="s">
        <v>26</v>
      </c>
      <c r="R378" s="4">
        <v>0</v>
      </c>
      <c r="S378" s="4" t="s">
        <v>195</v>
      </c>
      <c r="T378" s="4" t="s">
        <v>388</v>
      </c>
      <c r="U378" s="4">
        <v>0</v>
      </c>
      <c r="V378" s="4">
        <v>75</v>
      </c>
      <c r="W378" s="4">
        <v>53</v>
      </c>
    </row>
    <row r="379" spans="1:23" ht="11.25" customHeight="1" x14ac:dyDescent="0.3">
      <c r="A379" s="4" t="s">
        <v>21</v>
      </c>
      <c r="B379" s="4" t="s">
        <v>42</v>
      </c>
      <c r="C379" s="4" t="s">
        <v>23</v>
      </c>
      <c r="D379" s="4" t="s">
        <v>43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44562</v>
      </c>
      <c r="J379" s="6">
        <v>0</v>
      </c>
      <c r="K379" s="6">
        <v>0</v>
      </c>
      <c r="L379" s="6">
        <v>50.945999999999998</v>
      </c>
      <c r="M379" s="6">
        <v>50.945999999999998</v>
      </c>
      <c r="N379" s="6">
        <v>50.945999999999998</v>
      </c>
      <c r="O379" s="6">
        <v>50.945999999999998</v>
      </c>
      <c r="P379" s="6">
        <v>174</v>
      </c>
      <c r="Q379" s="4" t="s">
        <v>26</v>
      </c>
      <c r="R379" s="4">
        <v>0</v>
      </c>
      <c r="S379" s="4" t="s">
        <v>196</v>
      </c>
      <c r="T379" s="4" t="s">
        <v>389</v>
      </c>
      <c r="U379" s="4">
        <v>0</v>
      </c>
      <c r="V379" s="4">
        <v>75</v>
      </c>
      <c r="W379" s="4">
        <v>53</v>
      </c>
    </row>
    <row r="380" spans="1:23" ht="11.25" customHeight="1" x14ac:dyDescent="0.3">
      <c r="A380" s="4" t="s">
        <v>28</v>
      </c>
      <c r="B380" s="4" t="s">
        <v>42</v>
      </c>
      <c r="C380" s="4" t="s">
        <v>23</v>
      </c>
      <c r="D380" s="4" t="s">
        <v>43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44562</v>
      </c>
      <c r="J380" s="6">
        <v>0</v>
      </c>
      <c r="K380" s="6">
        <v>0</v>
      </c>
      <c r="L380" s="6">
        <v>0.43</v>
      </c>
      <c r="M380" s="6">
        <v>0.43</v>
      </c>
      <c r="N380" s="6">
        <v>0.43</v>
      </c>
      <c r="O380" s="6">
        <v>0.43</v>
      </c>
      <c r="P380" s="6">
        <v>5</v>
      </c>
      <c r="Q380" s="4" t="s">
        <v>26</v>
      </c>
      <c r="R380" s="4">
        <v>0</v>
      </c>
      <c r="S380" s="4" t="s">
        <v>196</v>
      </c>
      <c r="T380" s="4" t="s">
        <v>389</v>
      </c>
      <c r="U380" s="4">
        <v>0</v>
      </c>
      <c r="V380" s="4">
        <v>75</v>
      </c>
      <c r="W380" s="4">
        <v>53</v>
      </c>
    </row>
    <row r="381" spans="1:23" ht="11.25" customHeight="1" x14ac:dyDescent="0.3">
      <c r="A381" s="4" t="s">
        <v>21</v>
      </c>
      <c r="B381" s="4" t="s">
        <v>42</v>
      </c>
      <c r="C381" s="4" t="s">
        <v>23</v>
      </c>
      <c r="D381" s="4" t="s">
        <v>43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44593</v>
      </c>
      <c r="J381" s="6">
        <v>0</v>
      </c>
      <c r="K381" s="6">
        <v>0</v>
      </c>
      <c r="L381" s="6">
        <v>61.805999999999997</v>
      </c>
      <c r="M381" s="6">
        <v>61.805999999999997</v>
      </c>
      <c r="N381" s="6">
        <v>61.805999999999997</v>
      </c>
      <c r="O381" s="6">
        <v>61.805999999999997</v>
      </c>
      <c r="P381" s="6">
        <v>174</v>
      </c>
      <c r="Q381" s="4" t="s">
        <v>26</v>
      </c>
      <c r="R381" s="4">
        <v>0</v>
      </c>
      <c r="S381" s="4" t="s">
        <v>197</v>
      </c>
      <c r="T381" s="4" t="s">
        <v>390</v>
      </c>
      <c r="U381" s="4">
        <v>0</v>
      </c>
      <c r="V381" s="4">
        <v>75</v>
      </c>
      <c r="W381" s="4">
        <v>53</v>
      </c>
    </row>
    <row r="382" spans="1:23" ht="11.25" customHeight="1" x14ac:dyDescent="0.3">
      <c r="A382" s="4" t="s">
        <v>21</v>
      </c>
      <c r="B382" s="4" t="s">
        <v>42</v>
      </c>
      <c r="C382" s="4" t="s">
        <v>23</v>
      </c>
      <c r="D382" s="4" t="s">
        <v>43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44621</v>
      </c>
      <c r="J382" s="6">
        <v>0</v>
      </c>
      <c r="K382" s="6">
        <v>0</v>
      </c>
      <c r="L382" s="6">
        <v>47.210999999999999</v>
      </c>
      <c r="M382" s="6">
        <v>47.210999999999999</v>
      </c>
      <c r="N382" s="6">
        <v>47.210999999999999</v>
      </c>
      <c r="O382" s="6">
        <v>47.210999999999999</v>
      </c>
      <c r="P382" s="6">
        <v>174</v>
      </c>
      <c r="Q382" s="4" t="s">
        <v>26</v>
      </c>
      <c r="R382" s="4">
        <v>0</v>
      </c>
      <c r="S382" s="4" t="s">
        <v>198</v>
      </c>
      <c r="T382" s="4" t="s">
        <v>391</v>
      </c>
      <c r="U382" s="4">
        <v>0</v>
      </c>
      <c r="V382" s="4">
        <v>75</v>
      </c>
      <c r="W382" s="4">
        <v>53</v>
      </c>
    </row>
    <row r="383" spans="1:23" ht="11.25" customHeight="1" x14ac:dyDescent="0.3">
      <c r="A383" s="4" t="s">
        <v>28</v>
      </c>
      <c r="B383" s="4" t="s">
        <v>42</v>
      </c>
      <c r="C383" s="4" t="s">
        <v>23</v>
      </c>
      <c r="D383" s="4" t="s">
        <v>43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44621</v>
      </c>
      <c r="J383" s="6">
        <v>0</v>
      </c>
      <c r="K383" s="6">
        <v>0</v>
      </c>
      <c r="L383" s="6">
        <v>0.58199999999999996</v>
      </c>
      <c r="M383" s="6">
        <v>0.58199999999999996</v>
      </c>
      <c r="N383" s="6">
        <v>0.58199999999999996</v>
      </c>
      <c r="O383" s="6">
        <v>0.58199999999999996</v>
      </c>
      <c r="P383" s="6">
        <v>7</v>
      </c>
      <c r="Q383" s="4" t="s">
        <v>26</v>
      </c>
      <c r="R383" s="4">
        <v>0</v>
      </c>
      <c r="S383" s="4" t="s">
        <v>198</v>
      </c>
      <c r="T383" s="4" t="s">
        <v>391</v>
      </c>
      <c r="U383" s="4">
        <v>0</v>
      </c>
      <c r="V383" s="4">
        <v>75</v>
      </c>
      <c r="W383" s="4">
        <v>53</v>
      </c>
    </row>
    <row r="384" spans="1:23" ht="11.25" customHeight="1" x14ac:dyDescent="0.3">
      <c r="A384" s="4" t="s">
        <v>21</v>
      </c>
      <c r="B384" s="4" t="s">
        <v>42</v>
      </c>
      <c r="C384" s="4" t="s">
        <v>23</v>
      </c>
      <c r="D384" s="4" t="s">
        <v>43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44652</v>
      </c>
      <c r="J384" s="6">
        <v>0</v>
      </c>
      <c r="K384" s="6">
        <v>0</v>
      </c>
      <c r="L384" s="6">
        <v>39.631999999999998</v>
      </c>
      <c r="M384" s="6">
        <v>39.631999999999998</v>
      </c>
      <c r="N384" s="6">
        <v>39.631999999999998</v>
      </c>
      <c r="O384" s="6">
        <v>39.631999999999998</v>
      </c>
      <c r="P384" s="6">
        <v>173</v>
      </c>
      <c r="Q384" s="4" t="s">
        <v>26</v>
      </c>
      <c r="R384" s="4">
        <v>0</v>
      </c>
      <c r="S384" s="4" t="s">
        <v>199</v>
      </c>
      <c r="T384" s="4" t="s">
        <v>392</v>
      </c>
      <c r="U384" s="4">
        <v>0</v>
      </c>
      <c r="V384" s="4">
        <v>75</v>
      </c>
      <c r="W384" s="4">
        <v>53</v>
      </c>
    </row>
    <row r="385" spans="1:23" ht="11.25" customHeight="1" x14ac:dyDescent="0.3">
      <c r="A385" s="4" t="s">
        <v>28</v>
      </c>
      <c r="B385" s="4" t="s">
        <v>42</v>
      </c>
      <c r="C385" s="4" t="s">
        <v>23</v>
      </c>
      <c r="D385" s="4" t="s">
        <v>43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44652</v>
      </c>
      <c r="J385" s="6">
        <v>0</v>
      </c>
      <c r="K385" s="6">
        <v>0</v>
      </c>
      <c r="L385" s="6">
        <v>0.92800000000000005</v>
      </c>
      <c r="M385" s="6">
        <v>0.92800000000000005</v>
      </c>
      <c r="N385" s="6">
        <v>0.92800000000000005</v>
      </c>
      <c r="O385" s="6">
        <v>0.92800000000000005</v>
      </c>
      <c r="P385" s="6">
        <v>8</v>
      </c>
      <c r="Q385" s="4" t="s">
        <v>26</v>
      </c>
      <c r="R385" s="4">
        <v>0</v>
      </c>
      <c r="S385" s="4" t="s">
        <v>199</v>
      </c>
      <c r="T385" s="4" t="s">
        <v>392</v>
      </c>
      <c r="U385" s="4">
        <v>0</v>
      </c>
      <c r="V385" s="4">
        <v>75</v>
      </c>
      <c r="W385" s="4">
        <v>53</v>
      </c>
    </row>
    <row r="386" spans="1:23" ht="11.25" customHeight="1" x14ac:dyDescent="0.3">
      <c r="A386" s="4" t="s">
        <v>21</v>
      </c>
      <c r="B386" s="4" t="s">
        <v>42</v>
      </c>
      <c r="C386" s="4" t="s">
        <v>23</v>
      </c>
      <c r="D386" s="4" t="s">
        <v>43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44682</v>
      </c>
      <c r="J386" s="6">
        <v>0</v>
      </c>
      <c r="K386" s="6">
        <v>0</v>
      </c>
      <c r="L386" s="6">
        <v>35.756</v>
      </c>
      <c r="M386" s="6">
        <v>35.756</v>
      </c>
      <c r="N386" s="6">
        <v>35.756</v>
      </c>
      <c r="O386" s="6">
        <v>35.756</v>
      </c>
      <c r="P386" s="6">
        <v>170</v>
      </c>
      <c r="Q386" s="4" t="s">
        <v>26</v>
      </c>
      <c r="R386" s="4">
        <v>0</v>
      </c>
      <c r="S386" s="4" t="s">
        <v>200</v>
      </c>
      <c r="T386" s="4" t="s">
        <v>393</v>
      </c>
      <c r="U386" s="4">
        <v>0</v>
      </c>
      <c r="V386" s="4">
        <v>75</v>
      </c>
      <c r="W386" s="4">
        <v>53</v>
      </c>
    </row>
    <row r="387" spans="1:23" ht="11.25" customHeight="1" x14ac:dyDescent="0.3">
      <c r="A387" s="4" t="s">
        <v>28</v>
      </c>
      <c r="B387" s="4" t="s">
        <v>42</v>
      </c>
      <c r="C387" s="4" t="s">
        <v>23</v>
      </c>
      <c r="D387" s="4" t="s">
        <v>43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44682</v>
      </c>
      <c r="J387" s="6">
        <v>0</v>
      </c>
      <c r="K387" s="6">
        <v>0</v>
      </c>
      <c r="L387" s="6">
        <v>0.876</v>
      </c>
      <c r="M387" s="6">
        <v>0.876</v>
      </c>
      <c r="N387" s="6">
        <v>0.876</v>
      </c>
      <c r="O387" s="6">
        <v>0.876</v>
      </c>
      <c r="P387" s="6">
        <v>8</v>
      </c>
      <c r="Q387" s="4" t="s">
        <v>26</v>
      </c>
      <c r="R387" s="4">
        <v>0</v>
      </c>
      <c r="S387" s="4" t="s">
        <v>200</v>
      </c>
      <c r="T387" s="4" t="s">
        <v>393</v>
      </c>
      <c r="U387" s="4">
        <v>0</v>
      </c>
      <c r="V387" s="4">
        <v>75</v>
      </c>
      <c r="W387" s="4">
        <v>53</v>
      </c>
    </row>
    <row r="388" spans="1:23" ht="11.25" customHeight="1" x14ac:dyDescent="0.3">
      <c r="A388" s="4" t="s">
        <v>21</v>
      </c>
      <c r="B388" s="4" t="s">
        <v>42</v>
      </c>
      <c r="C388" s="4" t="s">
        <v>23</v>
      </c>
      <c r="D388" s="4" t="s">
        <v>43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44713</v>
      </c>
      <c r="J388" s="6">
        <v>0</v>
      </c>
      <c r="K388" s="6">
        <v>0</v>
      </c>
      <c r="L388" s="6">
        <v>36.369999999999997</v>
      </c>
      <c r="M388" s="6">
        <v>36.369999999999997</v>
      </c>
      <c r="N388" s="6">
        <v>36.369999999999997</v>
      </c>
      <c r="O388" s="6">
        <v>36.369999999999997</v>
      </c>
      <c r="P388" s="6">
        <v>170</v>
      </c>
      <c r="Q388" s="4" t="s">
        <v>26</v>
      </c>
      <c r="R388" s="4">
        <v>0</v>
      </c>
      <c r="S388" s="4" t="s">
        <v>201</v>
      </c>
      <c r="T388" s="4" t="s">
        <v>394</v>
      </c>
      <c r="U388" s="4">
        <v>0</v>
      </c>
      <c r="V388" s="4">
        <v>75</v>
      </c>
      <c r="W388" s="4">
        <v>53</v>
      </c>
    </row>
    <row r="389" spans="1:23" ht="11.25" customHeight="1" x14ac:dyDescent="0.3">
      <c r="A389" s="4" t="s">
        <v>28</v>
      </c>
      <c r="B389" s="4" t="s">
        <v>42</v>
      </c>
      <c r="C389" s="4" t="s">
        <v>23</v>
      </c>
      <c r="D389" s="4" t="s">
        <v>43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44713</v>
      </c>
      <c r="J389" s="6">
        <v>0</v>
      </c>
      <c r="K389" s="6">
        <v>0</v>
      </c>
      <c r="L389" s="6">
        <v>3.0179999999999998</v>
      </c>
      <c r="M389" s="6">
        <v>3.0179999999999998</v>
      </c>
      <c r="N389" s="6">
        <v>3.0179999999999998</v>
      </c>
      <c r="O389" s="6">
        <v>3.0179999999999998</v>
      </c>
      <c r="P389" s="6">
        <v>8</v>
      </c>
      <c r="Q389" s="4" t="s">
        <v>26</v>
      </c>
      <c r="R389" s="4">
        <v>0</v>
      </c>
      <c r="S389" s="4" t="s">
        <v>201</v>
      </c>
      <c r="T389" s="4" t="s">
        <v>394</v>
      </c>
      <c r="U389" s="4">
        <v>0</v>
      </c>
      <c r="V389" s="4">
        <v>75</v>
      </c>
      <c r="W389" s="4">
        <v>53</v>
      </c>
    </row>
    <row r="390" spans="1:23" ht="11.25" customHeight="1" x14ac:dyDescent="0.3">
      <c r="A390" s="4" t="s">
        <v>21</v>
      </c>
      <c r="B390" s="4" t="s">
        <v>42</v>
      </c>
      <c r="C390" s="4" t="s">
        <v>23</v>
      </c>
      <c r="D390" s="4" t="s">
        <v>43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44743</v>
      </c>
      <c r="J390" s="6">
        <v>0</v>
      </c>
      <c r="K390" s="6">
        <v>0</v>
      </c>
      <c r="L390" s="6">
        <v>30.863</v>
      </c>
      <c r="M390" s="6">
        <v>30.863</v>
      </c>
      <c r="N390" s="6">
        <v>30.863</v>
      </c>
      <c r="O390" s="6">
        <v>30.863</v>
      </c>
      <c r="P390" s="6">
        <v>167</v>
      </c>
      <c r="Q390" s="4" t="s">
        <v>26</v>
      </c>
      <c r="R390" s="4">
        <v>0</v>
      </c>
      <c r="S390" s="4" t="s">
        <v>202</v>
      </c>
      <c r="T390" s="4" t="s">
        <v>395</v>
      </c>
      <c r="U390" s="4">
        <v>0</v>
      </c>
      <c r="V390" s="4">
        <v>75</v>
      </c>
      <c r="W390" s="4">
        <v>53</v>
      </c>
    </row>
    <row r="391" spans="1:23" ht="11.25" customHeight="1" x14ac:dyDescent="0.3">
      <c r="A391" s="4" t="s">
        <v>28</v>
      </c>
      <c r="B391" s="4" t="s">
        <v>42</v>
      </c>
      <c r="C391" s="4" t="s">
        <v>23</v>
      </c>
      <c r="D391" s="4" t="s">
        <v>43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44743</v>
      </c>
      <c r="J391" s="6">
        <v>0</v>
      </c>
      <c r="K391" s="6">
        <v>0</v>
      </c>
      <c r="L391" s="6">
        <v>0.85699999999999998</v>
      </c>
      <c r="M391" s="6">
        <v>0.85699999999999998</v>
      </c>
      <c r="N391" s="6">
        <v>0.85699999999999998</v>
      </c>
      <c r="O391" s="6">
        <v>0.85699999999999998</v>
      </c>
      <c r="P391" s="6">
        <v>8</v>
      </c>
      <c r="Q391" s="4" t="s">
        <v>26</v>
      </c>
      <c r="R391" s="4">
        <v>0</v>
      </c>
      <c r="S391" s="4" t="s">
        <v>202</v>
      </c>
      <c r="T391" s="4" t="s">
        <v>395</v>
      </c>
      <c r="U391" s="4">
        <v>0</v>
      </c>
      <c r="V391" s="4">
        <v>75</v>
      </c>
      <c r="W391" s="4">
        <v>53</v>
      </c>
    </row>
    <row r="392" spans="1:23" ht="11.25" customHeight="1" x14ac:dyDescent="0.3">
      <c r="A392" s="4" t="s">
        <v>21</v>
      </c>
      <c r="B392" s="4" t="s">
        <v>42</v>
      </c>
      <c r="C392" s="4" t="s">
        <v>23</v>
      </c>
      <c r="D392" s="4" t="s">
        <v>43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44774</v>
      </c>
      <c r="J392" s="6">
        <v>0</v>
      </c>
      <c r="K392" s="6">
        <v>0</v>
      </c>
      <c r="L392" s="6">
        <v>35.078000000000003</v>
      </c>
      <c r="M392" s="6">
        <v>35.078000000000003</v>
      </c>
      <c r="N392" s="6">
        <v>35.078000000000003</v>
      </c>
      <c r="O392" s="6">
        <v>35.078000000000003</v>
      </c>
      <c r="P392" s="6">
        <v>169</v>
      </c>
      <c r="Q392" s="4" t="s">
        <v>26</v>
      </c>
      <c r="R392" s="4">
        <v>0</v>
      </c>
      <c r="S392" s="4" t="s">
        <v>203</v>
      </c>
      <c r="T392" s="4" t="s">
        <v>396</v>
      </c>
      <c r="U392" s="4">
        <v>0</v>
      </c>
      <c r="V392" s="4">
        <v>75</v>
      </c>
      <c r="W392" s="4">
        <v>53</v>
      </c>
    </row>
    <row r="393" spans="1:23" ht="11.25" customHeight="1" x14ac:dyDescent="0.3">
      <c r="A393" s="4" t="s">
        <v>28</v>
      </c>
      <c r="B393" s="4" t="s">
        <v>42</v>
      </c>
      <c r="C393" s="4" t="s">
        <v>23</v>
      </c>
      <c r="D393" s="4" t="s">
        <v>43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44774</v>
      </c>
      <c r="J393" s="6">
        <v>0</v>
      </c>
      <c r="K393" s="6">
        <v>0</v>
      </c>
      <c r="L393" s="6">
        <v>0.57299999999999995</v>
      </c>
      <c r="M393" s="6">
        <v>0.57299999999999995</v>
      </c>
      <c r="N393" s="6">
        <v>0.57299999999999995</v>
      </c>
      <c r="O393" s="6">
        <v>0.57299999999999995</v>
      </c>
      <c r="P393" s="6">
        <v>8</v>
      </c>
      <c r="Q393" s="4" t="s">
        <v>26</v>
      </c>
      <c r="R393" s="4">
        <v>0</v>
      </c>
      <c r="S393" s="4" t="s">
        <v>203</v>
      </c>
      <c r="T393" s="4" t="s">
        <v>396</v>
      </c>
      <c r="U393" s="4">
        <v>0</v>
      </c>
      <c r="V393" s="4">
        <v>75</v>
      </c>
      <c r="W393" s="4">
        <v>53</v>
      </c>
    </row>
    <row r="394" spans="1:23" ht="11.25" customHeight="1" x14ac:dyDescent="0.3">
      <c r="A394" s="4" t="s">
        <v>21</v>
      </c>
      <c r="B394" s="4" t="s">
        <v>37</v>
      </c>
      <c r="C394" s="4" t="s">
        <v>33</v>
      </c>
      <c r="D394" s="4" t="s">
        <v>41</v>
      </c>
      <c r="E394" s="4" t="s">
        <v>25</v>
      </c>
      <c r="F394" s="4" t="s">
        <v>25</v>
      </c>
      <c r="G394" s="4" t="s">
        <v>25</v>
      </c>
      <c r="H394" s="4" t="s">
        <v>35</v>
      </c>
      <c r="I394" s="5">
        <v>44440</v>
      </c>
      <c r="J394" s="6">
        <v>0</v>
      </c>
      <c r="K394" s="6">
        <v>0</v>
      </c>
      <c r="L394" s="6">
        <v>0.82199999999999995</v>
      </c>
      <c r="M394" s="6">
        <v>0.82199999999999995</v>
      </c>
      <c r="N394" s="6">
        <v>0.82199999999999995</v>
      </c>
      <c r="O394" s="6">
        <v>0.82199999999999995</v>
      </c>
      <c r="P394" s="6">
        <v>0</v>
      </c>
      <c r="Q394" s="4" t="s">
        <v>26</v>
      </c>
      <c r="R394" s="4">
        <v>0</v>
      </c>
      <c r="S394" s="4" t="s">
        <v>204</v>
      </c>
      <c r="T394" s="4" t="s">
        <v>397</v>
      </c>
      <c r="U394" s="4">
        <v>0</v>
      </c>
      <c r="V394" s="4">
        <v>78</v>
      </c>
      <c r="W394" s="4">
        <v>60</v>
      </c>
    </row>
    <row r="395" spans="1:23" ht="11.25" customHeight="1" x14ac:dyDescent="0.3">
      <c r="A395" s="4" t="s">
        <v>21</v>
      </c>
      <c r="B395" s="4" t="s">
        <v>37</v>
      </c>
      <c r="C395" s="4" t="s">
        <v>33</v>
      </c>
      <c r="D395" s="4" t="s">
        <v>41</v>
      </c>
      <c r="E395" s="4" t="s">
        <v>25</v>
      </c>
      <c r="F395" s="4" t="s">
        <v>25</v>
      </c>
      <c r="G395" s="4" t="s">
        <v>25</v>
      </c>
      <c r="H395" s="4" t="s">
        <v>35</v>
      </c>
      <c r="I395" s="5">
        <v>44470</v>
      </c>
      <c r="J395" s="6">
        <v>0</v>
      </c>
      <c r="K395" s="6">
        <v>0</v>
      </c>
      <c r="L395" s="6">
        <v>0.89200000000000002</v>
      </c>
      <c r="M395" s="6">
        <v>0.89200000000000002</v>
      </c>
      <c r="N395" s="6">
        <v>0.89200000000000002</v>
      </c>
      <c r="O395" s="6">
        <v>0.89200000000000002</v>
      </c>
      <c r="P395" s="6">
        <v>0</v>
      </c>
      <c r="Q395" s="4" t="s">
        <v>26</v>
      </c>
      <c r="R395" s="4">
        <v>0</v>
      </c>
      <c r="S395" s="4" t="s">
        <v>205</v>
      </c>
      <c r="T395" s="4" t="s">
        <v>398</v>
      </c>
      <c r="U395" s="4">
        <v>0</v>
      </c>
      <c r="V395" s="4">
        <v>78</v>
      </c>
      <c r="W395" s="4">
        <v>60</v>
      </c>
    </row>
    <row r="396" spans="1:23" ht="11.25" customHeight="1" x14ac:dyDescent="0.3">
      <c r="A396" s="4" t="s">
        <v>21</v>
      </c>
      <c r="B396" s="4" t="s">
        <v>37</v>
      </c>
      <c r="C396" s="4" t="s">
        <v>33</v>
      </c>
      <c r="D396" s="4" t="s">
        <v>41</v>
      </c>
      <c r="E396" s="4" t="s">
        <v>25</v>
      </c>
      <c r="F396" s="4" t="s">
        <v>25</v>
      </c>
      <c r="G396" s="4" t="s">
        <v>25</v>
      </c>
      <c r="H396" s="4" t="s">
        <v>35</v>
      </c>
      <c r="I396" s="5">
        <v>44501</v>
      </c>
      <c r="J396" s="6">
        <v>0</v>
      </c>
      <c r="K396" s="6">
        <v>0</v>
      </c>
      <c r="L396" s="6">
        <v>0.68200000000000005</v>
      </c>
      <c r="M396" s="6">
        <v>0.68200000000000005</v>
      </c>
      <c r="N396" s="6">
        <v>0.68200000000000005</v>
      </c>
      <c r="O396" s="6">
        <v>0.68200000000000005</v>
      </c>
      <c r="P396" s="6">
        <v>0</v>
      </c>
      <c r="Q396" s="4" t="s">
        <v>26</v>
      </c>
      <c r="R396" s="4">
        <v>0</v>
      </c>
      <c r="S396" s="4" t="s">
        <v>206</v>
      </c>
      <c r="T396" s="4" t="s">
        <v>399</v>
      </c>
      <c r="U396" s="4">
        <v>0</v>
      </c>
      <c r="V396" s="4">
        <v>78</v>
      </c>
      <c r="W396" s="4">
        <v>60</v>
      </c>
    </row>
    <row r="397" spans="1:23" ht="11.25" customHeight="1" x14ac:dyDescent="0.3">
      <c r="A397" s="4" t="s">
        <v>28</v>
      </c>
      <c r="B397" s="4" t="s">
        <v>37</v>
      </c>
      <c r="C397" s="4" t="s">
        <v>33</v>
      </c>
      <c r="D397" s="4" t="s">
        <v>41</v>
      </c>
      <c r="E397" s="4" t="s">
        <v>25</v>
      </c>
      <c r="F397" s="4" t="s">
        <v>25</v>
      </c>
      <c r="G397" s="4" t="s">
        <v>25</v>
      </c>
      <c r="H397" s="4" t="s">
        <v>35</v>
      </c>
      <c r="I397" s="5">
        <v>44501</v>
      </c>
      <c r="J397" s="6">
        <v>0</v>
      </c>
      <c r="K397" s="6">
        <v>0</v>
      </c>
      <c r="L397" s="6">
        <v>0.55200000000000005</v>
      </c>
      <c r="M397" s="6">
        <v>0.55200000000000005</v>
      </c>
      <c r="N397" s="6">
        <v>0.55200000000000005</v>
      </c>
      <c r="O397" s="6">
        <v>0.55200000000000005</v>
      </c>
      <c r="P397" s="6">
        <v>0</v>
      </c>
      <c r="Q397" s="4" t="s">
        <v>26</v>
      </c>
      <c r="R397" s="4">
        <v>0</v>
      </c>
      <c r="S397" s="4" t="s">
        <v>206</v>
      </c>
      <c r="T397" s="4" t="s">
        <v>399</v>
      </c>
      <c r="U397" s="4">
        <v>0</v>
      </c>
      <c r="V397" s="4">
        <v>78</v>
      </c>
      <c r="W397" s="4">
        <v>60</v>
      </c>
    </row>
    <row r="398" spans="1:23" ht="11.25" customHeight="1" x14ac:dyDescent="0.3">
      <c r="A398" s="4" t="s">
        <v>21</v>
      </c>
      <c r="B398" s="4" t="s">
        <v>37</v>
      </c>
      <c r="C398" s="4" t="s">
        <v>33</v>
      </c>
      <c r="D398" s="4" t="s">
        <v>41</v>
      </c>
      <c r="E398" s="4" t="s">
        <v>25</v>
      </c>
      <c r="F398" s="4" t="s">
        <v>25</v>
      </c>
      <c r="G398" s="4" t="s">
        <v>25</v>
      </c>
      <c r="H398" s="4" t="s">
        <v>35</v>
      </c>
      <c r="I398" s="5">
        <v>44531</v>
      </c>
      <c r="J398" s="6">
        <v>0</v>
      </c>
      <c r="K398" s="6">
        <v>0</v>
      </c>
      <c r="L398" s="6">
        <v>4.0019999999999998</v>
      </c>
      <c r="M398" s="6">
        <v>4.0019999999999998</v>
      </c>
      <c r="N398" s="6">
        <v>4.0019999999999998</v>
      </c>
      <c r="O398" s="6">
        <v>4.0019999999999998</v>
      </c>
      <c r="P398" s="6">
        <v>0</v>
      </c>
      <c r="Q398" s="4" t="s">
        <v>26</v>
      </c>
      <c r="R398" s="4">
        <v>0</v>
      </c>
      <c r="S398" s="4" t="s">
        <v>207</v>
      </c>
      <c r="T398" s="4" t="s">
        <v>400</v>
      </c>
      <c r="U398" s="4">
        <v>0</v>
      </c>
      <c r="V398" s="4">
        <v>78</v>
      </c>
      <c r="W398" s="4">
        <v>60</v>
      </c>
    </row>
    <row r="399" spans="1:23" ht="11.25" customHeight="1" x14ac:dyDescent="0.3">
      <c r="A399" s="4" t="s">
        <v>21</v>
      </c>
      <c r="B399" s="4" t="s">
        <v>37</v>
      </c>
      <c r="C399" s="4" t="s">
        <v>33</v>
      </c>
      <c r="D399" s="4" t="s">
        <v>41</v>
      </c>
      <c r="E399" s="4" t="s">
        <v>25</v>
      </c>
      <c r="F399" s="4" t="s">
        <v>25</v>
      </c>
      <c r="G399" s="4" t="s">
        <v>25</v>
      </c>
      <c r="H399" s="4" t="s">
        <v>35</v>
      </c>
      <c r="I399" s="5">
        <v>44562</v>
      </c>
      <c r="J399" s="6">
        <v>0</v>
      </c>
      <c r="K399" s="6">
        <v>0</v>
      </c>
      <c r="L399" s="6">
        <v>5.399</v>
      </c>
      <c r="M399" s="6">
        <v>5.399</v>
      </c>
      <c r="N399" s="6">
        <v>5.399</v>
      </c>
      <c r="O399" s="6">
        <v>5.399</v>
      </c>
      <c r="P399" s="6">
        <v>0</v>
      </c>
      <c r="Q399" s="4" t="s">
        <v>26</v>
      </c>
      <c r="R399" s="4">
        <v>0</v>
      </c>
      <c r="S399" s="4" t="s">
        <v>208</v>
      </c>
      <c r="T399" s="4" t="s">
        <v>401</v>
      </c>
      <c r="U399" s="4">
        <v>0</v>
      </c>
      <c r="V399" s="4">
        <v>78</v>
      </c>
      <c r="W399" s="4">
        <v>60</v>
      </c>
    </row>
    <row r="400" spans="1:23" ht="11.25" customHeight="1" x14ac:dyDescent="0.3">
      <c r="A400" s="4" t="s">
        <v>28</v>
      </c>
      <c r="B400" s="4" t="s">
        <v>37</v>
      </c>
      <c r="C400" s="4" t="s">
        <v>33</v>
      </c>
      <c r="D400" s="4" t="s">
        <v>41</v>
      </c>
      <c r="E400" s="4" t="s">
        <v>25</v>
      </c>
      <c r="F400" s="4" t="s">
        <v>25</v>
      </c>
      <c r="G400" s="4" t="s">
        <v>25</v>
      </c>
      <c r="H400" s="4" t="s">
        <v>35</v>
      </c>
      <c r="I400" s="5">
        <v>44562</v>
      </c>
      <c r="J400" s="6">
        <v>0</v>
      </c>
      <c r="K400" s="6">
        <v>0</v>
      </c>
      <c r="L400" s="6">
        <v>0.06</v>
      </c>
      <c r="M400" s="6">
        <v>0.06</v>
      </c>
      <c r="N400" s="6">
        <v>0.06</v>
      </c>
      <c r="O400" s="6">
        <v>0.06</v>
      </c>
      <c r="P400" s="6">
        <v>0</v>
      </c>
      <c r="Q400" s="4" t="s">
        <v>26</v>
      </c>
      <c r="R400" s="4">
        <v>0</v>
      </c>
      <c r="S400" s="4" t="s">
        <v>208</v>
      </c>
      <c r="T400" s="4" t="s">
        <v>401</v>
      </c>
      <c r="U400" s="4">
        <v>0</v>
      </c>
      <c r="V400" s="4">
        <v>78</v>
      </c>
      <c r="W400" s="4">
        <v>60</v>
      </c>
    </row>
    <row r="401" spans="1:23" ht="11.25" customHeight="1" x14ac:dyDescent="0.3">
      <c r="A401" s="4" t="s">
        <v>21</v>
      </c>
      <c r="B401" s="4" t="s">
        <v>37</v>
      </c>
      <c r="C401" s="4" t="s">
        <v>33</v>
      </c>
      <c r="D401" s="4" t="s">
        <v>41</v>
      </c>
      <c r="E401" s="4" t="s">
        <v>25</v>
      </c>
      <c r="F401" s="4" t="s">
        <v>25</v>
      </c>
      <c r="G401" s="4" t="s">
        <v>25</v>
      </c>
      <c r="H401" s="4" t="s">
        <v>35</v>
      </c>
      <c r="I401" s="5">
        <v>44593</v>
      </c>
      <c r="J401" s="6">
        <v>0</v>
      </c>
      <c r="K401" s="6">
        <v>0</v>
      </c>
      <c r="L401" s="6">
        <v>6.41</v>
      </c>
      <c r="M401" s="6">
        <v>6.41</v>
      </c>
      <c r="N401" s="6">
        <v>6.41</v>
      </c>
      <c r="O401" s="6">
        <v>6.41</v>
      </c>
      <c r="P401" s="6">
        <v>0</v>
      </c>
      <c r="Q401" s="4" t="s">
        <v>26</v>
      </c>
      <c r="R401" s="4">
        <v>0</v>
      </c>
      <c r="S401" s="4" t="s">
        <v>209</v>
      </c>
      <c r="T401" s="4" t="s">
        <v>402</v>
      </c>
      <c r="U401" s="4">
        <v>0</v>
      </c>
      <c r="V401" s="4">
        <v>78</v>
      </c>
      <c r="W401" s="4">
        <v>60</v>
      </c>
    </row>
    <row r="402" spans="1:23" ht="11.25" customHeight="1" x14ac:dyDescent="0.3">
      <c r="A402" s="4" t="s">
        <v>21</v>
      </c>
      <c r="B402" s="4" t="s">
        <v>37</v>
      </c>
      <c r="C402" s="4" t="s">
        <v>33</v>
      </c>
      <c r="D402" s="4" t="s">
        <v>41</v>
      </c>
      <c r="E402" s="4" t="s">
        <v>25</v>
      </c>
      <c r="F402" s="4" t="s">
        <v>25</v>
      </c>
      <c r="G402" s="4" t="s">
        <v>25</v>
      </c>
      <c r="H402" s="4" t="s">
        <v>35</v>
      </c>
      <c r="I402" s="5">
        <v>44621</v>
      </c>
      <c r="J402" s="6">
        <v>0</v>
      </c>
      <c r="K402" s="6">
        <v>0</v>
      </c>
      <c r="L402" s="6">
        <v>6.7530000000000001</v>
      </c>
      <c r="M402" s="6">
        <v>6.7530000000000001</v>
      </c>
      <c r="N402" s="6">
        <v>6.7530000000000001</v>
      </c>
      <c r="O402" s="6">
        <v>6.7530000000000001</v>
      </c>
      <c r="P402" s="6">
        <v>0</v>
      </c>
      <c r="Q402" s="4" t="s">
        <v>26</v>
      </c>
      <c r="R402" s="4">
        <v>0</v>
      </c>
      <c r="S402" s="4" t="s">
        <v>210</v>
      </c>
      <c r="T402" s="4" t="s">
        <v>403</v>
      </c>
      <c r="U402" s="4">
        <v>0</v>
      </c>
      <c r="V402" s="4">
        <v>78</v>
      </c>
      <c r="W402" s="4">
        <v>60</v>
      </c>
    </row>
    <row r="403" spans="1:23" ht="11.25" customHeight="1" x14ac:dyDescent="0.3">
      <c r="A403" s="4" t="s">
        <v>28</v>
      </c>
      <c r="B403" s="4" t="s">
        <v>37</v>
      </c>
      <c r="C403" s="4" t="s">
        <v>33</v>
      </c>
      <c r="D403" s="4" t="s">
        <v>41</v>
      </c>
      <c r="E403" s="4" t="s">
        <v>25</v>
      </c>
      <c r="F403" s="4" t="s">
        <v>25</v>
      </c>
      <c r="G403" s="4" t="s">
        <v>25</v>
      </c>
      <c r="H403" s="4" t="s">
        <v>35</v>
      </c>
      <c r="I403" s="5">
        <v>44621</v>
      </c>
      <c r="J403" s="6">
        <v>0</v>
      </c>
      <c r="K403" s="6">
        <v>0</v>
      </c>
      <c r="L403" s="6">
        <v>0.95899999999999996</v>
      </c>
      <c r="M403" s="6">
        <v>0.95899999999999996</v>
      </c>
      <c r="N403" s="6">
        <v>0.95899999999999996</v>
      </c>
      <c r="O403" s="6">
        <v>0.95899999999999996</v>
      </c>
      <c r="P403" s="6">
        <v>0</v>
      </c>
      <c r="Q403" s="4" t="s">
        <v>26</v>
      </c>
      <c r="R403" s="4">
        <v>0</v>
      </c>
      <c r="S403" s="4" t="s">
        <v>210</v>
      </c>
      <c r="T403" s="4" t="s">
        <v>403</v>
      </c>
      <c r="U403" s="4">
        <v>0</v>
      </c>
      <c r="V403" s="4">
        <v>78</v>
      </c>
      <c r="W403" s="4">
        <v>60</v>
      </c>
    </row>
    <row r="404" spans="1:23" ht="11.25" customHeight="1" x14ac:dyDescent="0.3">
      <c r="A404" s="4" t="s">
        <v>21</v>
      </c>
      <c r="B404" s="4" t="s">
        <v>37</v>
      </c>
      <c r="C404" s="4" t="s">
        <v>33</v>
      </c>
      <c r="D404" s="4" t="s">
        <v>41</v>
      </c>
      <c r="E404" s="4" t="s">
        <v>25</v>
      </c>
      <c r="F404" s="4" t="s">
        <v>25</v>
      </c>
      <c r="G404" s="4" t="s">
        <v>25</v>
      </c>
      <c r="H404" s="4" t="s">
        <v>35</v>
      </c>
      <c r="I404" s="5">
        <v>44652</v>
      </c>
      <c r="J404" s="6">
        <v>0</v>
      </c>
      <c r="K404" s="6">
        <v>0</v>
      </c>
      <c r="L404" s="6">
        <v>5.5650000000000004</v>
      </c>
      <c r="M404" s="6">
        <v>5.5650000000000004</v>
      </c>
      <c r="N404" s="6">
        <v>5.5650000000000004</v>
      </c>
      <c r="O404" s="6">
        <v>5.5650000000000004</v>
      </c>
      <c r="P404" s="6">
        <v>0</v>
      </c>
      <c r="Q404" s="4" t="s">
        <v>26</v>
      </c>
      <c r="R404" s="4">
        <v>0</v>
      </c>
      <c r="S404" s="4" t="s">
        <v>211</v>
      </c>
      <c r="T404" s="4" t="s">
        <v>404</v>
      </c>
      <c r="U404" s="4">
        <v>0</v>
      </c>
      <c r="V404" s="4">
        <v>78</v>
      </c>
      <c r="W404" s="4">
        <v>60</v>
      </c>
    </row>
    <row r="405" spans="1:23" ht="11.25" customHeight="1" x14ac:dyDescent="0.3">
      <c r="A405" s="4" t="s">
        <v>28</v>
      </c>
      <c r="B405" s="4" t="s">
        <v>37</v>
      </c>
      <c r="C405" s="4" t="s">
        <v>33</v>
      </c>
      <c r="D405" s="4" t="s">
        <v>41</v>
      </c>
      <c r="E405" s="4" t="s">
        <v>25</v>
      </c>
      <c r="F405" s="4" t="s">
        <v>25</v>
      </c>
      <c r="G405" s="4" t="s">
        <v>25</v>
      </c>
      <c r="H405" s="4" t="s">
        <v>35</v>
      </c>
      <c r="I405" s="5">
        <v>44652</v>
      </c>
      <c r="J405" s="6">
        <v>0</v>
      </c>
      <c r="K405" s="6">
        <v>0</v>
      </c>
      <c r="L405" s="6">
        <v>0.65400000000000003</v>
      </c>
      <c r="M405" s="6">
        <v>0.65400000000000003</v>
      </c>
      <c r="N405" s="6">
        <v>0.65400000000000003</v>
      </c>
      <c r="O405" s="6">
        <v>0.65400000000000003</v>
      </c>
      <c r="P405" s="6">
        <v>0</v>
      </c>
      <c r="Q405" s="4" t="s">
        <v>26</v>
      </c>
      <c r="R405" s="4">
        <v>0</v>
      </c>
      <c r="S405" s="4" t="s">
        <v>211</v>
      </c>
      <c r="T405" s="4" t="s">
        <v>404</v>
      </c>
      <c r="U405" s="4">
        <v>0</v>
      </c>
      <c r="V405" s="4">
        <v>78</v>
      </c>
      <c r="W405" s="4">
        <v>60</v>
      </c>
    </row>
    <row r="406" spans="1:23" ht="11.25" customHeight="1" x14ac:dyDescent="0.3">
      <c r="A406" s="4" t="s">
        <v>21</v>
      </c>
      <c r="B406" s="4" t="s">
        <v>37</v>
      </c>
      <c r="C406" s="4" t="s">
        <v>33</v>
      </c>
      <c r="D406" s="4" t="s">
        <v>41</v>
      </c>
      <c r="E406" s="4" t="s">
        <v>25</v>
      </c>
      <c r="F406" s="4" t="s">
        <v>25</v>
      </c>
      <c r="G406" s="4" t="s">
        <v>25</v>
      </c>
      <c r="H406" s="4" t="s">
        <v>35</v>
      </c>
      <c r="I406" s="5">
        <v>44682</v>
      </c>
      <c r="J406" s="6">
        <v>0</v>
      </c>
      <c r="K406" s="6">
        <v>0</v>
      </c>
      <c r="L406" s="6">
        <v>5.5469999999999997</v>
      </c>
      <c r="M406" s="6">
        <v>5.5469999999999997</v>
      </c>
      <c r="N406" s="6">
        <v>5.5469999999999997</v>
      </c>
      <c r="O406" s="6">
        <v>5.5469999999999997</v>
      </c>
      <c r="P406" s="6">
        <v>0</v>
      </c>
      <c r="Q406" s="4" t="s">
        <v>26</v>
      </c>
      <c r="R406" s="4">
        <v>0</v>
      </c>
      <c r="S406" s="4" t="s">
        <v>212</v>
      </c>
      <c r="T406" s="4" t="s">
        <v>405</v>
      </c>
      <c r="U406" s="4">
        <v>0</v>
      </c>
      <c r="V406" s="4">
        <v>78</v>
      </c>
      <c r="W406" s="4">
        <v>60</v>
      </c>
    </row>
    <row r="407" spans="1:23" ht="11.25" customHeight="1" x14ac:dyDescent="0.3">
      <c r="A407" s="4" t="s">
        <v>28</v>
      </c>
      <c r="B407" s="4" t="s">
        <v>37</v>
      </c>
      <c r="C407" s="4" t="s">
        <v>33</v>
      </c>
      <c r="D407" s="4" t="s">
        <v>41</v>
      </c>
      <c r="E407" s="4" t="s">
        <v>25</v>
      </c>
      <c r="F407" s="4" t="s">
        <v>25</v>
      </c>
      <c r="G407" s="4" t="s">
        <v>25</v>
      </c>
      <c r="H407" s="4" t="s">
        <v>35</v>
      </c>
      <c r="I407" s="5">
        <v>44682</v>
      </c>
      <c r="J407" s="6">
        <v>0</v>
      </c>
      <c r="K407" s="6">
        <v>0</v>
      </c>
      <c r="L407" s="6">
        <v>0.58699999999999997</v>
      </c>
      <c r="M407" s="6">
        <v>0.58699999999999997</v>
      </c>
      <c r="N407" s="6">
        <v>0.58699999999999997</v>
      </c>
      <c r="O407" s="6">
        <v>0.58699999999999997</v>
      </c>
      <c r="P407" s="6">
        <v>0</v>
      </c>
      <c r="Q407" s="4" t="s">
        <v>26</v>
      </c>
      <c r="R407" s="4">
        <v>0</v>
      </c>
      <c r="S407" s="4" t="s">
        <v>212</v>
      </c>
      <c r="T407" s="4" t="s">
        <v>405</v>
      </c>
      <c r="U407" s="4">
        <v>0</v>
      </c>
      <c r="V407" s="4">
        <v>78</v>
      </c>
      <c r="W407" s="4">
        <v>60</v>
      </c>
    </row>
    <row r="408" spans="1:23" ht="11.25" customHeight="1" x14ac:dyDescent="0.3">
      <c r="A408" s="4" t="s">
        <v>21</v>
      </c>
      <c r="B408" s="4" t="s">
        <v>37</v>
      </c>
      <c r="C408" s="4" t="s">
        <v>33</v>
      </c>
      <c r="D408" s="4" t="s">
        <v>41</v>
      </c>
      <c r="E408" s="4" t="s">
        <v>25</v>
      </c>
      <c r="F408" s="4" t="s">
        <v>25</v>
      </c>
      <c r="G408" s="4" t="s">
        <v>25</v>
      </c>
      <c r="H408" s="4" t="s">
        <v>35</v>
      </c>
      <c r="I408" s="5">
        <v>44713</v>
      </c>
      <c r="J408" s="6">
        <v>0</v>
      </c>
      <c r="K408" s="6">
        <v>0</v>
      </c>
      <c r="L408" s="6">
        <v>4.6020000000000003</v>
      </c>
      <c r="M408" s="6">
        <v>4.6020000000000003</v>
      </c>
      <c r="N408" s="6">
        <v>4.6020000000000003</v>
      </c>
      <c r="O408" s="6">
        <v>4.6020000000000003</v>
      </c>
      <c r="P408" s="6">
        <v>0</v>
      </c>
      <c r="Q408" s="4" t="s">
        <v>26</v>
      </c>
      <c r="R408" s="4">
        <v>0</v>
      </c>
      <c r="S408" s="4" t="s">
        <v>213</v>
      </c>
      <c r="T408" s="4" t="s">
        <v>406</v>
      </c>
      <c r="U408" s="4">
        <v>0</v>
      </c>
      <c r="V408" s="4">
        <v>78</v>
      </c>
      <c r="W408" s="4">
        <v>60</v>
      </c>
    </row>
    <row r="409" spans="1:23" ht="11.25" customHeight="1" x14ac:dyDescent="0.3">
      <c r="A409" s="4" t="s">
        <v>28</v>
      </c>
      <c r="B409" s="4" t="s">
        <v>37</v>
      </c>
      <c r="C409" s="4" t="s">
        <v>33</v>
      </c>
      <c r="D409" s="4" t="s">
        <v>41</v>
      </c>
      <c r="E409" s="4" t="s">
        <v>25</v>
      </c>
      <c r="F409" s="4" t="s">
        <v>25</v>
      </c>
      <c r="G409" s="4" t="s">
        <v>25</v>
      </c>
      <c r="H409" s="4" t="s">
        <v>35</v>
      </c>
      <c r="I409" s="5">
        <v>44713</v>
      </c>
      <c r="J409" s="6">
        <v>0</v>
      </c>
      <c r="K409" s="6">
        <v>0</v>
      </c>
      <c r="L409" s="6">
        <v>0.505</v>
      </c>
      <c r="M409" s="6">
        <v>0.505</v>
      </c>
      <c r="N409" s="6">
        <v>0.505</v>
      </c>
      <c r="O409" s="6">
        <v>0.505</v>
      </c>
      <c r="P409" s="6">
        <v>0</v>
      </c>
      <c r="Q409" s="4" t="s">
        <v>26</v>
      </c>
      <c r="R409" s="4">
        <v>0</v>
      </c>
      <c r="S409" s="4" t="s">
        <v>213</v>
      </c>
      <c r="T409" s="4" t="s">
        <v>406</v>
      </c>
      <c r="U409" s="4">
        <v>0</v>
      </c>
      <c r="V409" s="4">
        <v>78</v>
      </c>
      <c r="W409" s="4">
        <v>60</v>
      </c>
    </row>
    <row r="410" spans="1:23" ht="11.25" customHeight="1" x14ac:dyDescent="0.3">
      <c r="A410" s="4" t="s">
        <v>21</v>
      </c>
      <c r="B410" s="4" t="s">
        <v>37</v>
      </c>
      <c r="C410" s="4" t="s">
        <v>33</v>
      </c>
      <c r="D410" s="4" t="s">
        <v>41</v>
      </c>
      <c r="E410" s="4" t="s">
        <v>25</v>
      </c>
      <c r="F410" s="4" t="s">
        <v>25</v>
      </c>
      <c r="G410" s="4" t="s">
        <v>25</v>
      </c>
      <c r="H410" s="4" t="s">
        <v>35</v>
      </c>
      <c r="I410" s="5">
        <v>44743</v>
      </c>
      <c r="J410" s="6">
        <v>0</v>
      </c>
      <c r="K410" s="6">
        <v>0</v>
      </c>
      <c r="L410" s="6">
        <v>0.375</v>
      </c>
      <c r="M410" s="6">
        <v>0.375</v>
      </c>
      <c r="N410" s="6">
        <v>0.375</v>
      </c>
      <c r="O410" s="6">
        <v>0.375</v>
      </c>
      <c r="P410" s="6">
        <v>0</v>
      </c>
      <c r="Q410" s="4" t="s">
        <v>26</v>
      </c>
      <c r="R410" s="4">
        <v>0</v>
      </c>
      <c r="S410" s="4" t="s">
        <v>214</v>
      </c>
      <c r="T410" s="4" t="s">
        <v>407</v>
      </c>
      <c r="U410" s="4">
        <v>0</v>
      </c>
      <c r="V410" s="4">
        <v>78</v>
      </c>
      <c r="W410" s="4">
        <v>60</v>
      </c>
    </row>
    <row r="411" spans="1:23" ht="11.25" customHeight="1" x14ac:dyDescent="0.3">
      <c r="A411" s="4" t="s">
        <v>28</v>
      </c>
      <c r="B411" s="4" t="s">
        <v>37</v>
      </c>
      <c r="C411" s="4" t="s">
        <v>33</v>
      </c>
      <c r="D411" s="4" t="s">
        <v>41</v>
      </c>
      <c r="E411" s="4" t="s">
        <v>25</v>
      </c>
      <c r="F411" s="4" t="s">
        <v>25</v>
      </c>
      <c r="G411" s="4" t="s">
        <v>25</v>
      </c>
      <c r="H411" s="4" t="s">
        <v>35</v>
      </c>
      <c r="I411" s="5">
        <v>44743</v>
      </c>
      <c r="J411" s="6">
        <v>0</v>
      </c>
      <c r="K411" s="6">
        <v>0</v>
      </c>
      <c r="L411" s="6">
        <v>0.121</v>
      </c>
      <c r="M411" s="6">
        <v>0.121</v>
      </c>
      <c r="N411" s="6">
        <v>0.121</v>
      </c>
      <c r="O411" s="6">
        <v>0.121</v>
      </c>
      <c r="P411" s="6">
        <v>0</v>
      </c>
      <c r="Q411" s="4" t="s">
        <v>26</v>
      </c>
      <c r="R411" s="4">
        <v>0</v>
      </c>
      <c r="S411" s="4" t="s">
        <v>214</v>
      </c>
      <c r="T411" s="4" t="s">
        <v>407</v>
      </c>
      <c r="U411" s="4">
        <v>0</v>
      </c>
      <c r="V411" s="4">
        <v>78</v>
      </c>
      <c r="W411" s="4">
        <v>60</v>
      </c>
    </row>
    <row r="412" spans="1:23" ht="11.25" customHeight="1" x14ac:dyDescent="0.3">
      <c r="A412" s="4" t="s">
        <v>21</v>
      </c>
      <c r="B412" s="4" t="s">
        <v>37</v>
      </c>
      <c r="C412" s="4" t="s">
        <v>33</v>
      </c>
      <c r="D412" s="4" t="s">
        <v>41</v>
      </c>
      <c r="E412" s="4" t="s">
        <v>25</v>
      </c>
      <c r="F412" s="4" t="s">
        <v>25</v>
      </c>
      <c r="G412" s="4" t="s">
        <v>25</v>
      </c>
      <c r="H412" s="4" t="s">
        <v>35</v>
      </c>
      <c r="I412" s="5">
        <v>44774</v>
      </c>
      <c r="J412" s="6">
        <v>0</v>
      </c>
      <c r="K412" s="6">
        <v>0</v>
      </c>
      <c r="L412" s="6">
        <v>0.58499999999999996</v>
      </c>
      <c r="M412" s="6">
        <v>0.58499999999999996</v>
      </c>
      <c r="N412" s="6">
        <v>0.58499999999999996</v>
      </c>
      <c r="O412" s="6">
        <v>0.58499999999999996</v>
      </c>
      <c r="P412" s="6">
        <v>0</v>
      </c>
      <c r="Q412" s="4" t="s">
        <v>26</v>
      </c>
      <c r="R412" s="4">
        <v>0</v>
      </c>
      <c r="S412" s="4" t="s">
        <v>215</v>
      </c>
      <c r="T412" s="4" t="s">
        <v>408</v>
      </c>
      <c r="U412" s="4">
        <v>0</v>
      </c>
      <c r="V412" s="4">
        <v>78</v>
      </c>
      <c r="W412" s="4">
        <v>60</v>
      </c>
    </row>
    <row r="413" spans="1:23" ht="11.25" customHeight="1" x14ac:dyDescent="0.3">
      <c r="A413" s="4" t="s">
        <v>28</v>
      </c>
      <c r="B413" s="4" t="s">
        <v>37</v>
      </c>
      <c r="C413" s="4" t="s">
        <v>33</v>
      </c>
      <c r="D413" s="4" t="s">
        <v>41</v>
      </c>
      <c r="E413" s="4" t="s">
        <v>25</v>
      </c>
      <c r="F413" s="4" t="s">
        <v>25</v>
      </c>
      <c r="G413" s="4" t="s">
        <v>25</v>
      </c>
      <c r="H413" s="4" t="s">
        <v>35</v>
      </c>
      <c r="I413" s="5">
        <v>44774</v>
      </c>
      <c r="J413" s="6">
        <v>0</v>
      </c>
      <c r="K413" s="6">
        <v>0</v>
      </c>
      <c r="L413" s="6">
        <v>3.097</v>
      </c>
      <c r="M413" s="6">
        <v>3.097</v>
      </c>
      <c r="N413" s="6">
        <v>3.097</v>
      </c>
      <c r="O413" s="6">
        <v>3.097</v>
      </c>
      <c r="P413" s="6">
        <v>0</v>
      </c>
      <c r="Q413" s="4" t="s">
        <v>26</v>
      </c>
      <c r="R413" s="4">
        <v>0</v>
      </c>
      <c r="S413" s="4" t="s">
        <v>215</v>
      </c>
      <c r="T413" s="4" t="s">
        <v>408</v>
      </c>
      <c r="U413" s="4">
        <v>0</v>
      </c>
      <c r="V413" s="4">
        <v>78</v>
      </c>
      <c r="W413" s="4">
        <v>60</v>
      </c>
    </row>
    <row r="414" spans="1:23" ht="11.25" customHeight="1" x14ac:dyDescent="0.3">
      <c r="A414" s="4" t="s">
        <v>21</v>
      </c>
      <c r="B414" s="4" t="s">
        <v>37</v>
      </c>
      <c r="C414" s="4" t="s">
        <v>33</v>
      </c>
      <c r="D414" s="4" t="s">
        <v>41</v>
      </c>
      <c r="E414" s="4" t="s">
        <v>25</v>
      </c>
      <c r="F414" s="4" t="s">
        <v>25</v>
      </c>
      <c r="G414" s="4" t="s">
        <v>25</v>
      </c>
      <c r="H414" s="4" t="s">
        <v>36</v>
      </c>
      <c r="I414" s="5">
        <v>44440</v>
      </c>
      <c r="J414" s="6">
        <v>0</v>
      </c>
      <c r="K414" s="6">
        <v>0</v>
      </c>
      <c r="L414" s="6">
        <v>6.5000000000000002E-2</v>
      </c>
      <c r="M414" s="6">
        <v>6.5000000000000002E-2</v>
      </c>
      <c r="N414" s="6">
        <v>6.5000000000000002E-2</v>
      </c>
      <c r="O414" s="6">
        <v>6.5000000000000002E-2</v>
      </c>
      <c r="P414" s="6">
        <v>0</v>
      </c>
      <c r="Q414" s="4" t="s">
        <v>26</v>
      </c>
      <c r="R414" s="4">
        <v>0</v>
      </c>
      <c r="S414" s="4" t="s">
        <v>216</v>
      </c>
      <c r="T414" s="4" t="s">
        <v>409</v>
      </c>
      <c r="U414" s="4">
        <v>0</v>
      </c>
      <c r="V414" s="4">
        <v>76</v>
      </c>
      <c r="W414" s="4">
        <v>54</v>
      </c>
    </row>
    <row r="415" spans="1:23" ht="11.25" customHeight="1" x14ac:dyDescent="0.3">
      <c r="A415" s="4" t="s">
        <v>21</v>
      </c>
      <c r="B415" s="4" t="s">
        <v>37</v>
      </c>
      <c r="C415" s="4" t="s">
        <v>33</v>
      </c>
      <c r="D415" s="4" t="s">
        <v>41</v>
      </c>
      <c r="E415" s="4" t="s">
        <v>25</v>
      </c>
      <c r="F415" s="4" t="s">
        <v>25</v>
      </c>
      <c r="G415" s="4" t="s">
        <v>25</v>
      </c>
      <c r="H415" s="4" t="s">
        <v>36</v>
      </c>
      <c r="I415" s="5">
        <v>44470</v>
      </c>
      <c r="J415" s="6">
        <v>0</v>
      </c>
      <c r="K415" s="6">
        <v>0</v>
      </c>
      <c r="L415" s="6">
        <v>6.5000000000000002E-2</v>
      </c>
      <c r="M415" s="6">
        <v>6.5000000000000002E-2</v>
      </c>
      <c r="N415" s="6">
        <v>6.5000000000000002E-2</v>
      </c>
      <c r="O415" s="6">
        <v>6.5000000000000002E-2</v>
      </c>
      <c r="P415" s="6">
        <v>0</v>
      </c>
      <c r="Q415" s="4" t="s">
        <v>26</v>
      </c>
      <c r="R415" s="4">
        <v>0</v>
      </c>
      <c r="S415" s="4" t="s">
        <v>217</v>
      </c>
      <c r="T415" s="4" t="s">
        <v>410</v>
      </c>
      <c r="U415" s="4">
        <v>0</v>
      </c>
      <c r="V415" s="4">
        <v>76</v>
      </c>
      <c r="W415" s="4">
        <v>54</v>
      </c>
    </row>
    <row r="416" spans="1:23" ht="11.25" customHeight="1" x14ac:dyDescent="0.3">
      <c r="A416" s="4" t="s">
        <v>21</v>
      </c>
      <c r="B416" s="4" t="s">
        <v>37</v>
      </c>
      <c r="C416" s="4" t="s">
        <v>33</v>
      </c>
      <c r="D416" s="4" t="s">
        <v>41</v>
      </c>
      <c r="E416" s="4" t="s">
        <v>25</v>
      </c>
      <c r="F416" s="4" t="s">
        <v>25</v>
      </c>
      <c r="G416" s="4" t="s">
        <v>25</v>
      </c>
      <c r="H416" s="4" t="s">
        <v>36</v>
      </c>
      <c r="I416" s="5">
        <v>44501</v>
      </c>
      <c r="J416" s="6">
        <v>0</v>
      </c>
      <c r="K416" s="6">
        <v>0</v>
      </c>
      <c r="L416" s="6">
        <v>0.06</v>
      </c>
      <c r="M416" s="6">
        <v>0.06</v>
      </c>
      <c r="N416" s="6">
        <v>0.06</v>
      </c>
      <c r="O416" s="6">
        <v>0.06</v>
      </c>
      <c r="P416" s="6">
        <v>0</v>
      </c>
      <c r="Q416" s="4" t="s">
        <v>26</v>
      </c>
      <c r="R416" s="4">
        <v>0</v>
      </c>
      <c r="S416" s="4" t="s">
        <v>218</v>
      </c>
      <c r="T416" s="4" t="s">
        <v>411</v>
      </c>
      <c r="U416" s="4">
        <v>0</v>
      </c>
      <c r="V416" s="4">
        <v>76</v>
      </c>
      <c r="W416" s="4">
        <v>54</v>
      </c>
    </row>
    <row r="417" spans="1:23" ht="11.25" customHeight="1" x14ac:dyDescent="0.3">
      <c r="A417" s="4" t="s">
        <v>28</v>
      </c>
      <c r="B417" s="4" t="s">
        <v>37</v>
      </c>
      <c r="C417" s="4" t="s">
        <v>33</v>
      </c>
      <c r="D417" s="4" t="s">
        <v>41</v>
      </c>
      <c r="E417" s="4" t="s">
        <v>25</v>
      </c>
      <c r="F417" s="4" t="s">
        <v>25</v>
      </c>
      <c r="G417" s="4" t="s">
        <v>25</v>
      </c>
      <c r="H417" s="4" t="s">
        <v>36</v>
      </c>
      <c r="I417" s="5">
        <v>44501</v>
      </c>
      <c r="J417" s="6">
        <v>0</v>
      </c>
      <c r="K417" s="6">
        <v>0</v>
      </c>
      <c r="L417" s="6">
        <v>6.0000000000000001E-3</v>
      </c>
      <c r="M417" s="6">
        <v>6.0000000000000001E-3</v>
      </c>
      <c r="N417" s="6">
        <v>6.0000000000000001E-3</v>
      </c>
      <c r="O417" s="6">
        <v>6.0000000000000001E-3</v>
      </c>
      <c r="P417" s="6">
        <v>0</v>
      </c>
      <c r="Q417" s="4" t="s">
        <v>26</v>
      </c>
      <c r="R417" s="4">
        <v>0</v>
      </c>
      <c r="S417" s="4" t="s">
        <v>218</v>
      </c>
      <c r="T417" s="4" t="s">
        <v>411</v>
      </c>
      <c r="U417" s="4">
        <v>0</v>
      </c>
      <c r="V417" s="4">
        <v>76</v>
      </c>
      <c r="W417" s="4">
        <v>54</v>
      </c>
    </row>
    <row r="418" spans="1:23" ht="11.25" customHeight="1" x14ac:dyDescent="0.3">
      <c r="A418" s="4" t="s">
        <v>21</v>
      </c>
      <c r="B418" s="4" t="s">
        <v>37</v>
      </c>
      <c r="C418" s="4" t="s">
        <v>33</v>
      </c>
      <c r="D418" s="4" t="s">
        <v>41</v>
      </c>
      <c r="E418" s="4" t="s">
        <v>25</v>
      </c>
      <c r="F418" s="4" t="s">
        <v>25</v>
      </c>
      <c r="G418" s="4" t="s">
        <v>25</v>
      </c>
      <c r="H418" s="4" t="s">
        <v>36</v>
      </c>
      <c r="I418" s="5">
        <v>44531</v>
      </c>
      <c r="J418" s="6">
        <v>0</v>
      </c>
      <c r="K418" s="6">
        <v>0</v>
      </c>
      <c r="L418" s="6">
        <v>0.155</v>
      </c>
      <c r="M418" s="6">
        <v>0.155</v>
      </c>
      <c r="N418" s="6">
        <v>0.155</v>
      </c>
      <c r="O418" s="6">
        <v>0.155</v>
      </c>
      <c r="P418" s="6">
        <v>0</v>
      </c>
      <c r="Q418" s="4" t="s">
        <v>26</v>
      </c>
      <c r="R418" s="4">
        <v>0</v>
      </c>
      <c r="S418" s="4" t="s">
        <v>219</v>
      </c>
      <c r="T418" s="4" t="s">
        <v>412</v>
      </c>
      <c r="U418" s="4">
        <v>0</v>
      </c>
      <c r="V418" s="4">
        <v>76</v>
      </c>
      <c r="W418" s="4">
        <v>54</v>
      </c>
    </row>
    <row r="419" spans="1:23" ht="11.25" customHeight="1" x14ac:dyDescent="0.3">
      <c r="A419" s="4" t="s">
        <v>21</v>
      </c>
      <c r="B419" s="4" t="s">
        <v>37</v>
      </c>
      <c r="C419" s="4" t="s">
        <v>33</v>
      </c>
      <c r="D419" s="4" t="s">
        <v>41</v>
      </c>
      <c r="E419" s="4" t="s">
        <v>25</v>
      </c>
      <c r="F419" s="4" t="s">
        <v>25</v>
      </c>
      <c r="G419" s="4" t="s">
        <v>25</v>
      </c>
      <c r="H419" s="4" t="s">
        <v>36</v>
      </c>
      <c r="I419" s="5">
        <v>44562</v>
      </c>
      <c r="J419" s="6">
        <v>0</v>
      </c>
      <c r="K419" s="6">
        <v>0</v>
      </c>
      <c r="L419" s="6">
        <v>0.19500000000000001</v>
      </c>
      <c r="M419" s="6">
        <v>0.19500000000000001</v>
      </c>
      <c r="N419" s="6">
        <v>0.19500000000000001</v>
      </c>
      <c r="O419" s="6">
        <v>0.19500000000000001</v>
      </c>
      <c r="P419" s="6">
        <v>0</v>
      </c>
      <c r="Q419" s="4" t="s">
        <v>26</v>
      </c>
      <c r="R419" s="4">
        <v>0</v>
      </c>
      <c r="S419" s="4" t="s">
        <v>220</v>
      </c>
      <c r="T419" s="4" t="s">
        <v>413</v>
      </c>
      <c r="U419" s="4">
        <v>0</v>
      </c>
      <c r="V419" s="4">
        <v>76</v>
      </c>
      <c r="W419" s="4">
        <v>54</v>
      </c>
    </row>
    <row r="420" spans="1:23" ht="11.25" customHeight="1" x14ac:dyDescent="0.3">
      <c r="A420" s="4" t="s">
        <v>21</v>
      </c>
      <c r="B420" s="4" t="s">
        <v>37</v>
      </c>
      <c r="C420" s="4" t="s">
        <v>33</v>
      </c>
      <c r="D420" s="4" t="s">
        <v>41</v>
      </c>
      <c r="E420" s="4" t="s">
        <v>25</v>
      </c>
      <c r="F420" s="4" t="s">
        <v>25</v>
      </c>
      <c r="G420" s="4" t="s">
        <v>25</v>
      </c>
      <c r="H420" s="4" t="s">
        <v>36</v>
      </c>
      <c r="I420" s="5">
        <v>44593</v>
      </c>
      <c r="J420" s="6">
        <v>0</v>
      </c>
      <c r="K420" s="6">
        <v>0</v>
      </c>
      <c r="L420" s="6">
        <v>0.26100000000000001</v>
      </c>
      <c r="M420" s="6">
        <v>0.26100000000000001</v>
      </c>
      <c r="N420" s="6">
        <v>0.26100000000000001</v>
      </c>
      <c r="O420" s="6">
        <v>0.26100000000000001</v>
      </c>
      <c r="P420" s="6">
        <v>0</v>
      </c>
      <c r="Q420" s="4" t="s">
        <v>26</v>
      </c>
      <c r="R420" s="4">
        <v>0</v>
      </c>
      <c r="S420" s="4" t="s">
        <v>221</v>
      </c>
      <c r="T420" s="4" t="s">
        <v>414</v>
      </c>
      <c r="U420" s="4">
        <v>0</v>
      </c>
      <c r="V420" s="4">
        <v>76</v>
      </c>
      <c r="W420" s="4">
        <v>54</v>
      </c>
    </row>
    <row r="421" spans="1:23" ht="11.25" customHeight="1" x14ac:dyDescent="0.3">
      <c r="A421" s="4" t="s">
        <v>21</v>
      </c>
      <c r="B421" s="4" t="s">
        <v>37</v>
      </c>
      <c r="C421" s="4" t="s">
        <v>33</v>
      </c>
      <c r="D421" s="4" t="s">
        <v>41</v>
      </c>
      <c r="E421" s="4" t="s">
        <v>25</v>
      </c>
      <c r="F421" s="4" t="s">
        <v>25</v>
      </c>
      <c r="G421" s="4" t="s">
        <v>25</v>
      </c>
      <c r="H421" s="4" t="s">
        <v>36</v>
      </c>
      <c r="I421" s="5">
        <v>44621</v>
      </c>
      <c r="J421" s="6">
        <v>0</v>
      </c>
      <c r="K421" s="6">
        <v>0</v>
      </c>
      <c r="L421" s="6">
        <v>0.22900000000000001</v>
      </c>
      <c r="M421" s="6">
        <v>0.22900000000000001</v>
      </c>
      <c r="N421" s="6">
        <v>0.22900000000000001</v>
      </c>
      <c r="O421" s="6">
        <v>0.22900000000000001</v>
      </c>
      <c r="P421" s="6">
        <v>0</v>
      </c>
      <c r="Q421" s="4" t="s">
        <v>26</v>
      </c>
      <c r="R421" s="4">
        <v>0</v>
      </c>
      <c r="S421" s="4" t="s">
        <v>222</v>
      </c>
      <c r="T421" s="4" t="s">
        <v>415</v>
      </c>
      <c r="U421" s="4">
        <v>0</v>
      </c>
      <c r="V421" s="4">
        <v>76</v>
      </c>
      <c r="W421" s="4">
        <v>54</v>
      </c>
    </row>
    <row r="422" spans="1:23" ht="11.25" customHeight="1" x14ac:dyDescent="0.3">
      <c r="A422" s="4" t="s">
        <v>28</v>
      </c>
      <c r="B422" s="4" t="s">
        <v>37</v>
      </c>
      <c r="C422" s="4" t="s">
        <v>33</v>
      </c>
      <c r="D422" s="4" t="s">
        <v>41</v>
      </c>
      <c r="E422" s="4" t="s">
        <v>25</v>
      </c>
      <c r="F422" s="4" t="s">
        <v>25</v>
      </c>
      <c r="G422" s="4" t="s">
        <v>25</v>
      </c>
      <c r="H422" s="4" t="s">
        <v>36</v>
      </c>
      <c r="I422" s="5">
        <v>44621</v>
      </c>
      <c r="J422" s="6">
        <v>0</v>
      </c>
      <c r="K422" s="6">
        <v>0</v>
      </c>
      <c r="L422" s="6">
        <v>9.1999999999999998E-2</v>
      </c>
      <c r="M422" s="6">
        <v>9.1999999999999998E-2</v>
      </c>
      <c r="N422" s="6">
        <v>9.1999999999999998E-2</v>
      </c>
      <c r="O422" s="6">
        <v>9.1999999999999998E-2</v>
      </c>
      <c r="P422" s="6">
        <v>0</v>
      </c>
      <c r="Q422" s="4" t="s">
        <v>26</v>
      </c>
      <c r="R422" s="4">
        <v>0</v>
      </c>
      <c r="S422" s="4" t="s">
        <v>222</v>
      </c>
      <c r="T422" s="4" t="s">
        <v>415</v>
      </c>
      <c r="U422" s="4">
        <v>0</v>
      </c>
      <c r="V422" s="4">
        <v>76</v>
      </c>
      <c r="W422" s="4">
        <v>54</v>
      </c>
    </row>
    <row r="423" spans="1:23" ht="11.25" customHeight="1" x14ac:dyDescent="0.3">
      <c r="A423" s="4" t="s">
        <v>21</v>
      </c>
      <c r="B423" s="4" t="s">
        <v>37</v>
      </c>
      <c r="C423" s="4" t="s">
        <v>33</v>
      </c>
      <c r="D423" s="4" t="s">
        <v>41</v>
      </c>
      <c r="E423" s="4" t="s">
        <v>25</v>
      </c>
      <c r="F423" s="4" t="s">
        <v>25</v>
      </c>
      <c r="G423" s="4" t="s">
        <v>25</v>
      </c>
      <c r="H423" s="4" t="s">
        <v>36</v>
      </c>
      <c r="I423" s="5">
        <v>44652</v>
      </c>
      <c r="J423" s="6">
        <v>0</v>
      </c>
      <c r="K423" s="6">
        <v>0</v>
      </c>
      <c r="L423" s="6">
        <v>0.189</v>
      </c>
      <c r="M423" s="6">
        <v>0.189</v>
      </c>
      <c r="N423" s="6">
        <v>0.189</v>
      </c>
      <c r="O423" s="6">
        <v>0.189</v>
      </c>
      <c r="P423" s="6">
        <v>0</v>
      </c>
      <c r="Q423" s="4" t="s">
        <v>26</v>
      </c>
      <c r="R423" s="4">
        <v>0</v>
      </c>
      <c r="S423" s="4" t="s">
        <v>223</v>
      </c>
      <c r="T423" s="4" t="s">
        <v>416</v>
      </c>
      <c r="U423" s="4">
        <v>0</v>
      </c>
      <c r="V423" s="4">
        <v>76</v>
      </c>
      <c r="W423" s="4">
        <v>54</v>
      </c>
    </row>
    <row r="424" spans="1:23" ht="11.25" customHeight="1" x14ac:dyDescent="0.3">
      <c r="A424" s="4" t="s">
        <v>28</v>
      </c>
      <c r="B424" s="4" t="s">
        <v>37</v>
      </c>
      <c r="C424" s="4" t="s">
        <v>33</v>
      </c>
      <c r="D424" s="4" t="s">
        <v>41</v>
      </c>
      <c r="E424" s="4" t="s">
        <v>25</v>
      </c>
      <c r="F424" s="4" t="s">
        <v>25</v>
      </c>
      <c r="G424" s="4" t="s">
        <v>25</v>
      </c>
      <c r="H424" s="4" t="s">
        <v>36</v>
      </c>
      <c r="I424" s="5">
        <v>44652</v>
      </c>
      <c r="J424" s="6">
        <v>0</v>
      </c>
      <c r="K424" s="6">
        <v>0</v>
      </c>
      <c r="L424" s="6">
        <v>4.4999999999999998E-2</v>
      </c>
      <c r="M424" s="6">
        <v>4.4999999999999998E-2</v>
      </c>
      <c r="N424" s="6">
        <v>4.4999999999999998E-2</v>
      </c>
      <c r="O424" s="6">
        <v>4.4999999999999998E-2</v>
      </c>
      <c r="P424" s="6">
        <v>0</v>
      </c>
      <c r="Q424" s="4" t="s">
        <v>26</v>
      </c>
      <c r="R424" s="4">
        <v>0</v>
      </c>
      <c r="S424" s="4" t="s">
        <v>223</v>
      </c>
      <c r="T424" s="4" t="s">
        <v>416</v>
      </c>
      <c r="U424" s="4">
        <v>0</v>
      </c>
      <c r="V424" s="4">
        <v>76</v>
      </c>
      <c r="W424" s="4">
        <v>54</v>
      </c>
    </row>
    <row r="425" spans="1:23" ht="11.25" customHeight="1" x14ac:dyDescent="0.3">
      <c r="A425" s="4" t="s">
        <v>21</v>
      </c>
      <c r="B425" s="4" t="s">
        <v>37</v>
      </c>
      <c r="C425" s="4" t="s">
        <v>33</v>
      </c>
      <c r="D425" s="4" t="s">
        <v>41</v>
      </c>
      <c r="E425" s="4" t="s">
        <v>25</v>
      </c>
      <c r="F425" s="4" t="s">
        <v>25</v>
      </c>
      <c r="G425" s="4" t="s">
        <v>25</v>
      </c>
      <c r="H425" s="4" t="s">
        <v>36</v>
      </c>
      <c r="I425" s="5">
        <v>44682</v>
      </c>
      <c r="J425" s="6">
        <v>0</v>
      </c>
      <c r="K425" s="6">
        <v>0</v>
      </c>
      <c r="L425" s="6">
        <v>0.186</v>
      </c>
      <c r="M425" s="6">
        <v>0.186</v>
      </c>
      <c r="N425" s="6">
        <v>0.186</v>
      </c>
      <c r="O425" s="6">
        <v>0.186</v>
      </c>
      <c r="P425" s="6">
        <v>0</v>
      </c>
      <c r="Q425" s="4" t="s">
        <v>26</v>
      </c>
      <c r="R425" s="4">
        <v>0</v>
      </c>
      <c r="S425" s="4" t="s">
        <v>224</v>
      </c>
      <c r="T425" s="4" t="s">
        <v>417</v>
      </c>
      <c r="U425" s="4">
        <v>0</v>
      </c>
      <c r="V425" s="4">
        <v>76</v>
      </c>
      <c r="W425" s="4">
        <v>54</v>
      </c>
    </row>
    <row r="426" spans="1:23" ht="11.25" customHeight="1" x14ac:dyDescent="0.3">
      <c r="A426" s="4" t="s">
        <v>21</v>
      </c>
      <c r="B426" s="4" t="s">
        <v>37</v>
      </c>
      <c r="C426" s="4" t="s">
        <v>33</v>
      </c>
      <c r="D426" s="4" t="s">
        <v>41</v>
      </c>
      <c r="E426" s="4" t="s">
        <v>25</v>
      </c>
      <c r="F426" s="4" t="s">
        <v>25</v>
      </c>
      <c r="G426" s="4" t="s">
        <v>25</v>
      </c>
      <c r="H426" s="4" t="s">
        <v>36</v>
      </c>
      <c r="I426" s="5">
        <v>44713</v>
      </c>
      <c r="J426" s="6">
        <v>0</v>
      </c>
      <c r="K426" s="6">
        <v>0</v>
      </c>
      <c r="L426" s="6">
        <v>0.157</v>
      </c>
      <c r="M426" s="6">
        <v>0.157</v>
      </c>
      <c r="N426" s="6">
        <v>0.157</v>
      </c>
      <c r="O426" s="6">
        <v>0.157</v>
      </c>
      <c r="P426" s="6">
        <v>0</v>
      </c>
      <c r="Q426" s="4" t="s">
        <v>26</v>
      </c>
      <c r="R426" s="4">
        <v>0</v>
      </c>
      <c r="S426" s="4" t="s">
        <v>225</v>
      </c>
      <c r="T426" s="4" t="s">
        <v>418</v>
      </c>
      <c r="U426" s="4">
        <v>0</v>
      </c>
      <c r="V426" s="4">
        <v>76</v>
      </c>
      <c r="W426" s="4">
        <v>54</v>
      </c>
    </row>
    <row r="427" spans="1:23" ht="11.25" customHeight="1" x14ac:dyDescent="0.3">
      <c r="A427" s="4" t="s">
        <v>28</v>
      </c>
      <c r="B427" s="4" t="s">
        <v>37</v>
      </c>
      <c r="C427" s="4" t="s">
        <v>33</v>
      </c>
      <c r="D427" s="4" t="s">
        <v>41</v>
      </c>
      <c r="E427" s="4" t="s">
        <v>25</v>
      </c>
      <c r="F427" s="4" t="s">
        <v>25</v>
      </c>
      <c r="G427" s="4" t="s">
        <v>25</v>
      </c>
      <c r="H427" s="4" t="s">
        <v>36</v>
      </c>
      <c r="I427" s="5">
        <v>44713</v>
      </c>
      <c r="J427" s="6">
        <v>0</v>
      </c>
      <c r="K427" s="6">
        <v>0</v>
      </c>
      <c r="L427" s="6">
        <v>3.2000000000000001E-2</v>
      </c>
      <c r="M427" s="6">
        <v>3.2000000000000001E-2</v>
      </c>
      <c r="N427" s="6">
        <v>3.2000000000000001E-2</v>
      </c>
      <c r="O427" s="6">
        <v>3.2000000000000001E-2</v>
      </c>
      <c r="P427" s="6">
        <v>0</v>
      </c>
      <c r="Q427" s="4" t="s">
        <v>26</v>
      </c>
      <c r="R427" s="4">
        <v>0</v>
      </c>
      <c r="S427" s="4" t="s">
        <v>225</v>
      </c>
      <c r="T427" s="4" t="s">
        <v>418</v>
      </c>
      <c r="U427" s="4">
        <v>0</v>
      </c>
      <c r="V427" s="4">
        <v>76</v>
      </c>
      <c r="W427" s="4">
        <v>54</v>
      </c>
    </row>
    <row r="428" spans="1:23" ht="11.25" customHeight="1" x14ac:dyDescent="0.3">
      <c r="A428" s="4" t="s">
        <v>21</v>
      </c>
      <c r="B428" s="4" t="s">
        <v>37</v>
      </c>
      <c r="C428" s="4" t="s">
        <v>33</v>
      </c>
      <c r="D428" s="4" t="s">
        <v>41</v>
      </c>
      <c r="E428" s="4" t="s">
        <v>25</v>
      </c>
      <c r="F428" s="4" t="s">
        <v>25</v>
      </c>
      <c r="G428" s="4" t="s">
        <v>25</v>
      </c>
      <c r="H428" s="4" t="s">
        <v>36</v>
      </c>
      <c r="I428" s="5">
        <v>44743</v>
      </c>
      <c r="J428" s="6">
        <v>0</v>
      </c>
      <c r="K428" s="6">
        <v>0</v>
      </c>
      <c r="L428" s="6">
        <v>2.4E-2</v>
      </c>
      <c r="M428" s="6">
        <v>2.4E-2</v>
      </c>
      <c r="N428" s="6">
        <v>2.4E-2</v>
      </c>
      <c r="O428" s="6">
        <v>2.4E-2</v>
      </c>
      <c r="P428" s="6">
        <v>0</v>
      </c>
      <c r="Q428" s="4" t="s">
        <v>26</v>
      </c>
      <c r="R428" s="4">
        <v>0</v>
      </c>
      <c r="S428" s="4" t="s">
        <v>226</v>
      </c>
      <c r="T428" s="4" t="s">
        <v>419</v>
      </c>
      <c r="U428" s="4">
        <v>0</v>
      </c>
      <c r="V428" s="4">
        <v>76</v>
      </c>
      <c r="W428" s="4">
        <v>54</v>
      </c>
    </row>
    <row r="429" spans="1:23" ht="11.25" customHeight="1" x14ac:dyDescent="0.3">
      <c r="A429" s="4" t="s">
        <v>21</v>
      </c>
      <c r="B429" s="4" t="s">
        <v>37</v>
      </c>
      <c r="C429" s="4" t="s">
        <v>33</v>
      </c>
      <c r="D429" s="4" t="s">
        <v>41</v>
      </c>
      <c r="E429" s="4" t="s">
        <v>25</v>
      </c>
      <c r="F429" s="4" t="s">
        <v>25</v>
      </c>
      <c r="G429" s="4" t="s">
        <v>25</v>
      </c>
      <c r="H429" s="4" t="s">
        <v>36</v>
      </c>
      <c r="I429" s="5">
        <v>44774</v>
      </c>
      <c r="J429" s="6">
        <v>0</v>
      </c>
      <c r="K429" s="6">
        <v>0</v>
      </c>
      <c r="L429" s="6">
        <v>3.7999999999999999E-2</v>
      </c>
      <c r="M429" s="6">
        <v>3.7999999999999999E-2</v>
      </c>
      <c r="N429" s="6">
        <v>3.7999999999999999E-2</v>
      </c>
      <c r="O429" s="6">
        <v>3.7999999999999999E-2</v>
      </c>
      <c r="P429" s="6">
        <v>0</v>
      </c>
      <c r="Q429" s="4" t="s">
        <v>26</v>
      </c>
      <c r="R429" s="4">
        <v>0</v>
      </c>
      <c r="S429" s="4" t="s">
        <v>227</v>
      </c>
      <c r="T429" s="4" t="s">
        <v>420</v>
      </c>
      <c r="U429" s="4">
        <v>0</v>
      </c>
      <c r="V429" s="4">
        <v>76</v>
      </c>
      <c r="W429" s="4">
        <v>54</v>
      </c>
    </row>
    <row r="430" spans="1:23" ht="11.25" customHeight="1" x14ac:dyDescent="0.3">
      <c r="A430" s="4" t="s">
        <v>28</v>
      </c>
      <c r="B430" s="4" t="s">
        <v>37</v>
      </c>
      <c r="C430" s="4" t="s">
        <v>33</v>
      </c>
      <c r="D430" s="4" t="s">
        <v>41</v>
      </c>
      <c r="E430" s="4" t="s">
        <v>25</v>
      </c>
      <c r="F430" s="4" t="s">
        <v>25</v>
      </c>
      <c r="G430" s="4" t="s">
        <v>25</v>
      </c>
      <c r="H430" s="4" t="s">
        <v>36</v>
      </c>
      <c r="I430" s="5">
        <v>44774</v>
      </c>
      <c r="J430" s="6">
        <v>0</v>
      </c>
      <c r="K430" s="6">
        <v>0</v>
      </c>
      <c r="L430" s="6">
        <v>7.9000000000000001E-2</v>
      </c>
      <c r="M430" s="6">
        <v>7.9000000000000001E-2</v>
      </c>
      <c r="N430" s="6">
        <v>7.9000000000000001E-2</v>
      </c>
      <c r="O430" s="6">
        <v>7.9000000000000001E-2</v>
      </c>
      <c r="P430" s="6">
        <v>0</v>
      </c>
      <c r="Q430" s="4" t="s">
        <v>26</v>
      </c>
      <c r="R430" s="4">
        <v>0</v>
      </c>
      <c r="S430" s="4" t="s">
        <v>227</v>
      </c>
      <c r="T430" s="4" t="s">
        <v>420</v>
      </c>
      <c r="U430" s="4">
        <v>0</v>
      </c>
      <c r="V430" s="4">
        <v>76</v>
      </c>
      <c r="W430" s="4">
        <v>54</v>
      </c>
    </row>
    <row r="431" spans="1:23" ht="11.25" customHeight="1" x14ac:dyDescent="0.3">
      <c r="A431" s="4" t="s">
        <v>21</v>
      </c>
      <c r="B431" s="4" t="s">
        <v>37</v>
      </c>
      <c r="C431" s="4" t="s">
        <v>33</v>
      </c>
      <c r="D431" s="4" t="s">
        <v>41</v>
      </c>
      <c r="E431" s="4" t="s">
        <v>25</v>
      </c>
      <c r="F431" s="4" t="s">
        <v>25</v>
      </c>
      <c r="G431" s="4" t="s">
        <v>25</v>
      </c>
      <c r="H431" s="4" t="s">
        <v>34</v>
      </c>
      <c r="I431" s="5">
        <v>44440</v>
      </c>
      <c r="J431" s="6">
        <v>0</v>
      </c>
      <c r="K431" s="6">
        <v>0</v>
      </c>
      <c r="L431" s="6">
        <v>0.09</v>
      </c>
      <c r="M431" s="6">
        <v>0.09</v>
      </c>
      <c r="N431" s="6">
        <v>0.09</v>
      </c>
      <c r="O431" s="6">
        <v>0.09</v>
      </c>
      <c r="P431" s="6">
        <v>0</v>
      </c>
      <c r="Q431" s="4" t="s">
        <v>26</v>
      </c>
      <c r="R431" s="4">
        <v>0</v>
      </c>
      <c r="S431" s="4" t="s">
        <v>228</v>
      </c>
      <c r="T431" s="4" t="s">
        <v>421</v>
      </c>
      <c r="U431" s="4">
        <v>0</v>
      </c>
      <c r="V431" s="4">
        <v>44</v>
      </c>
      <c r="W431" s="4">
        <v>65</v>
      </c>
    </row>
    <row r="432" spans="1:23" ht="11.25" customHeight="1" x14ac:dyDescent="0.3">
      <c r="A432" s="4" t="s">
        <v>21</v>
      </c>
      <c r="B432" s="4" t="s">
        <v>37</v>
      </c>
      <c r="C432" s="4" t="s">
        <v>33</v>
      </c>
      <c r="D432" s="4" t="s">
        <v>41</v>
      </c>
      <c r="E432" s="4" t="s">
        <v>25</v>
      </c>
      <c r="F432" s="4" t="s">
        <v>25</v>
      </c>
      <c r="G432" s="4" t="s">
        <v>25</v>
      </c>
      <c r="H432" s="4" t="s">
        <v>34</v>
      </c>
      <c r="I432" s="5">
        <v>44470</v>
      </c>
      <c r="J432" s="6">
        <v>0</v>
      </c>
      <c r="K432" s="6">
        <v>0</v>
      </c>
      <c r="L432" s="6">
        <v>7.9000000000000001E-2</v>
      </c>
      <c r="M432" s="6">
        <v>7.9000000000000001E-2</v>
      </c>
      <c r="N432" s="6">
        <v>7.9000000000000001E-2</v>
      </c>
      <c r="O432" s="6">
        <v>7.9000000000000001E-2</v>
      </c>
      <c r="P432" s="6">
        <v>0</v>
      </c>
      <c r="Q432" s="4" t="s">
        <v>26</v>
      </c>
      <c r="R432" s="4">
        <v>0</v>
      </c>
      <c r="S432" s="4" t="s">
        <v>229</v>
      </c>
      <c r="T432" s="4" t="s">
        <v>422</v>
      </c>
      <c r="U432" s="4">
        <v>0</v>
      </c>
      <c r="V432" s="4">
        <v>44</v>
      </c>
      <c r="W432" s="4">
        <v>65</v>
      </c>
    </row>
    <row r="433" spans="1:23" ht="11.25" customHeight="1" x14ac:dyDescent="0.3">
      <c r="A433" s="4" t="s">
        <v>21</v>
      </c>
      <c r="B433" s="4" t="s">
        <v>37</v>
      </c>
      <c r="C433" s="4" t="s">
        <v>33</v>
      </c>
      <c r="D433" s="4" t="s">
        <v>41</v>
      </c>
      <c r="E433" s="4" t="s">
        <v>25</v>
      </c>
      <c r="F433" s="4" t="s">
        <v>25</v>
      </c>
      <c r="G433" s="4" t="s">
        <v>25</v>
      </c>
      <c r="H433" s="4" t="s">
        <v>34</v>
      </c>
      <c r="I433" s="5">
        <v>44501</v>
      </c>
      <c r="J433" s="6">
        <v>0</v>
      </c>
      <c r="K433" s="6">
        <v>0</v>
      </c>
      <c r="L433" s="6">
        <v>8.7999999999999995E-2</v>
      </c>
      <c r="M433" s="6">
        <v>8.7999999999999995E-2</v>
      </c>
      <c r="N433" s="6">
        <v>8.7999999999999995E-2</v>
      </c>
      <c r="O433" s="6">
        <v>8.7999999999999995E-2</v>
      </c>
      <c r="P433" s="6">
        <v>0</v>
      </c>
      <c r="Q433" s="4" t="s">
        <v>26</v>
      </c>
      <c r="R433" s="4">
        <v>0</v>
      </c>
      <c r="S433" s="4" t="s">
        <v>230</v>
      </c>
      <c r="T433" s="4" t="s">
        <v>423</v>
      </c>
      <c r="U433" s="4">
        <v>0</v>
      </c>
      <c r="V433" s="4">
        <v>44</v>
      </c>
      <c r="W433" s="4">
        <v>65</v>
      </c>
    </row>
    <row r="434" spans="1:23" ht="11.25" customHeight="1" x14ac:dyDescent="0.3">
      <c r="A434" s="4" t="s">
        <v>28</v>
      </c>
      <c r="B434" s="4" t="s">
        <v>37</v>
      </c>
      <c r="C434" s="4" t="s">
        <v>33</v>
      </c>
      <c r="D434" s="4" t="s">
        <v>41</v>
      </c>
      <c r="E434" s="4" t="s">
        <v>25</v>
      </c>
      <c r="F434" s="4" t="s">
        <v>25</v>
      </c>
      <c r="G434" s="4" t="s">
        <v>25</v>
      </c>
      <c r="H434" s="4" t="s">
        <v>34</v>
      </c>
      <c r="I434" s="5">
        <v>44501</v>
      </c>
      <c r="J434" s="6">
        <v>0</v>
      </c>
      <c r="K434" s="6">
        <v>0</v>
      </c>
      <c r="L434" s="6">
        <v>4.0000000000000001E-3</v>
      </c>
      <c r="M434" s="6">
        <v>4.0000000000000001E-3</v>
      </c>
      <c r="N434" s="6">
        <v>4.0000000000000001E-3</v>
      </c>
      <c r="O434" s="6">
        <v>4.0000000000000001E-3</v>
      </c>
      <c r="P434" s="6">
        <v>0</v>
      </c>
      <c r="Q434" s="4" t="s">
        <v>26</v>
      </c>
      <c r="R434" s="4">
        <v>0</v>
      </c>
      <c r="S434" s="4" t="s">
        <v>230</v>
      </c>
      <c r="T434" s="4" t="s">
        <v>423</v>
      </c>
      <c r="U434" s="4">
        <v>0</v>
      </c>
      <c r="V434" s="4">
        <v>44</v>
      </c>
      <c r="W434" s="4">
        <v>65</v>
      </c>
    </row>
    <row r="435" spans="1:23" ht="11.25" customHeight="1" x14ac:dyDescent="0.3">
      <c r="A435" s="4" t="s">
        <v>21</v>
      </c>
      <c r="B435" s="4" t="s">
        <v>37</v>
      </c>
      <c r="C435" s="4" t="s">
        <v>33</v>
      </c>
      <c r="D435" s="4" t="s">
        <v>41</v>
      </c>
      <c r="E435" s="4" t="s">
        <v>25</v>
      </c>
      <c r="F435" s="4" t="s">
        <v>25</v>
      </c>
      <c r="G435" s="4" t="s">
        <v>25</v>
      </c>
      <c r="H435" s="4" t="s">
        <v>34</v>
      </c>
      <c r="I435" s="5">
        <v>44531</v>
      </c>
      <c r="J435" s="6">
        <v>0</v>
      </c>
      <c r="K435" s="6">
        <v>0</v>
      </c>
      <c r="L435" s="6">
        <v>0.155</v>
      </c>
      <c r="M435" s="6">
        <v>0.155</v>
      </c>
      <c r="N435" s="6">
        <v>0.155</v>
      </c>
      <c r="O435" s="6">
        <v>0.155</v>
      </c>
      <c r="P435" s="6">
        <v>0</v>
      </c>
      <c r="Q435" s="4" t="s">
        <v>26</v>
      </c>
      <c r="R435" s="4">
        <v>0</v>
      </c>
      <c r="S435" s="4" t="s">
        <v>231</v>
      </c>
      <c r="T435" s="4" t="s">
        <v>424</v>
      </c>
      <c r="U435" s="4">
        <v>0</v>
      </c>
      <c r="V435" s="4">
        <v>44</v>
      </c>
      <c r="W435" s="4">
        <v>65</v>
      </c>
    </row>
    <row r="436" spans="1:23" ht="11.25" customHeight="1" x14ac:dyDescent="0.3">
      <c r="A436" s="4" t="s">
        <v>21</v>
      </c>
      <c r="B436" s="4" t="s">
        <v>37</v>
      </c>
      <c r="C436" s="4" t="s">
        <v>33</v>
      </c>
      <c r="D436" s="4" t="s">
        <v>41</v>
      </c>
      <c r="E436" s="4" t="s">
        <v>25</v>
      </c>
      <c r="F436" s="4" t="s">
        <v>25</v>
      </c>
      <c r="G436" s="4" t="s">
        <v>25</v>
      </c>
      <c r="H436" s="4" t="s">
        <v>34</v>
      </c>
      <c r="I436" s="5">
        <v>44562</v>
      </c>
      <c r="J436" s="6">
        <v>0</v>
      </c>
      <c r="K436" s="6">
        <v>0</v>
      </c>
      <c r="L436" s="6">
        <v>0.21199999999999999</v>
      </c>
      <c r="M436" s="6">
        <v>0.21199999999999999</v>
      </c>
      <c r="N436" s="6">
        <v>0.21199999999999999</v>
      </c>
      <c r="O436" s="6">
        <v>0.21199999999999999</v>
      </c>
      <c r="P436" s="6">
        <v>0</v>
      </c>
      <c r="Q436" s="4" t="s">
        <v>26</v>
      </c>
      <c r="R436" s="4">
        <v>0</v>
      </c>
      <c r="S436" s="4" t="s">
        <v>232</v>
      </c>
      <c r="T436" s="4" t="s">
        <v>425</v>
      </c>
      <c r="U436" s="4">
        <v>0</v>
      </c>
      <c r="V436" s="4">
        <v>44</v>
      </c>
      <c r="W436" s="4">
        <v>65</v>
      </c>
    </row>
    <row r="437" spans="1:23" ht="11.25" customHeight="1" x14ac:dyDescent="0.3">
      <c r="A437" s="4" t="s">
        <v>21</v>
      </c>
      <c r="B437" s="4" t="s">
        <v>37</v>
      </c>
      <c r="C437" s="4" t="s">
        <v>33</v>
      </c>
      <c r="D437" s="4" t="s">
        <v>41</v>
      </c>
      <c r="E437" s="4" t="s">
        <v>25</v>
      </c>
      <c r="F437" s="4" t="s">
        <v>25</v>
      </c>
      <c r="G437" s="4" t="s">
        <v>25</v>
      </c>
      <c r="H437" s="4" t="s">
        <v>34</v>
      </c>
      <c r="I437" s="5">
        <v>44593</v>
      </c>
      <c r="J437" s="6">
        <v>0</v>
      </c>
      <c r="K437" s="6">
        <v>0</v>
      </c>
      <c r="L437" s="6">
        <v>0.245</v>
      </c>
      <c r="M437" s="6">
        <v>0.245</v>
      </c>
      <c r="N437" s="6">
        <v>0.245</v>
      </c>
      <c r="O437" s="6">
        <v>0.245</v>
      </c>
      <c r="P437" s="6">
        <v>0</v>
      </c>
      <c r="Q437" s="4" t="s">
        <v>26</v>
      </c>
      <c r="R437" s="4">
        <v>0</v>
      </c>
      <c r="S437" s="4" t="s">
        <v>233</v>
      </c>
      <c r="T437" s="4" t="s">
        <v>426</v>
      </c>
      <c r="U437" s="4">
        <v>0</v>
      </c>
      <c r="V437" s="4">
        <v>44</v>
      </c>
      <c r="W437" s="4">
        <v>65</v>
      </c>
    </row>
    <row r="438" spans="1:23" ht="11.25" customHeight="1" x14ac:dyDescent="0.3">
      <c r="A438" s="4" t="s">
        <v>21</v>
      </c>
      <c r="B438" s="4" t="s">
        <v>37</v>
      </c>
      <c r="C438" s="4" t="s">
        <v>33</v>
      </c>
      <c r="D438" s="4" t="s">
        <v>41</v>
      </c>
      <c r="E438" s="4" t="s">
        <v>25</v>
      </c>
      <c r="F438" s="4" t="s">
        <v>25</v>
      </c>
      <c r="G438" s="4" t="s">
        <v>25</v>
      </c>
      <c r="H438" s="4" t="s">
        <v>34</v>
      </c>
      <c r="I438" s="5">
        <v>44621</v>
      </c>
      <c r="J438" s="6">
        <v>0</v>
      </c>
      <c r="K438" s="6">
        <v>0</v>
      </c>
      <c r="L438" s="6">
        <v>0.19400000000000001</v>
      </c>
      <c r="M438" s="6">
        <v>0.19400000000000001</v>
      </c>
      <c r="N438" s="6">
        <v>0.19400000000000001</v>
      </c>
      <c r="O438" s="6">
        <v>0.19400000000000001</v>
      </c>
      <c r="P438" s="6">
        <v>0</v>
      </c>
      <c r="Q438" s="4" t="s">
        <v>26</v>
      </c>
      <c r="R438" s="4">
        <v>0</v>
      </c>
      <c r="S438" s="4" t="s">
        <v>234</v>
      </c>
      <c r="T438" s="4" t="s">
        <v>427</v>
      </c>
      <c r="U438" s="4">
        <v>0</v>
      </c>
      <c r="V438" s="4">
        <v>44</v>
      </c>
      <c r="W438" s="4">
        <v>65</v>
      </c>
    </row>
    <row r="439" spans="1:23" ht="11.25" customHeight="1" x14ac:dyDescent="0.3">
      <c r="A439" s="4" t="s">
        <v>28</v>
      </c>
      <c r="B439" s="4" t="s">
        <v>37</v>
      </c>
      <c r="C439" s="4" t="s">
        <v>33</v>
      </c>
      <c r="D439" s="4" t="s">
        <v>41</v>
      </c>
      <c r="E439" s="4" t="s">
        <v>25</v>
      </c>
      <c r="F439" s="4" t="s">
        <v>25</v>
      </c>
      <c r="G439" s="4" t="s">
        <v>25</v>
      </c>
      <c r="H439" s="4" t="s">
        <v>34</v>
      </c>
      <c r="I439" s="5">
        <v>44621</v>
      </c>
      <c r="J439" s="6">
        <v>0</v>
      </c>
      <c r="K439" s="6">
        <v>0</v>
      </c>
      <c r="L439" s="6">
        <v>7.2999999999999995E-2</v>
      </c>
      <c r="M439" s="6">
        <v>7.2999999999999995E-2</v>
      </c>
      <c r="N439" s="6">
        <v>7.2999999999999995E-2</v>
      </c>
      <c r="O439" s="6">
        <v>7.2999999999999995E-2</v>
      </c>
      <c r="P439" s="6">
        <v>0</v>
      </c>
      <c r="Q439" s="4" t="s">
        <v>26</v>
      </c>
      <c r="R439" s="4">
        <v>0</v>
      </c>
      <c r="S439" s="4" t="s">
        <v>234</v>
      </c>
      <c r="T439" s="4" t="s">
        <v>427</v>
      </c>
      <c r="U439" s="4">
        <v>0</v>
      </c>
      <c r="V439" s="4">
        <v>44</v>
      </c>
      <c r="W439" s="4">
        <v>65</v>
      </c>
    </row>
    <row r="440" spans="1:23" ht="11.25" customHeight="1" x14ac:dyDescent="0.3">
      <c r="A440" s="4" t="s">
        <v>21</v>
      </c>
      <c r="B440" s="4" t="s">
        <v>37</v>
      </c>
      <c r="C440" s="4" t="s">
        <v>33</v>
      </c>
      <c r="D440" s="4" t="s">
        <v>41</v>
      </c>
      <c r="E440" s="4" t="s">
        <v>25</v>
      </c>
      <c r="F440" s="4" t="s">
        <v>25</v>
      </c>
      <c r="G440" s="4" t="s">
        <v>25</v>
      </c>
      <c r="H440" s="4" t="s">
        <v>34</v>
      </c>
      <c r="I440" s="5">
        <v>44652</v>
      </c>
      <c r="J440" s="6">
        <v>0</v>
      </c>
      <c r="K440" s="6">
        <v>0</v>
      </c>
      <c r="L440" s="6">
        <v>0.193</v>
      </c>
      <c r="M440" s="6">
        <v>0.193</v>
      </c>
      <c r="N440" s="6">
        <v>0.193</v>
      </c>
      <c r="O440" s="6">
        <v>0.193</v>
      </c>
      <c r="P440" s="6">
        <v>0</v>
      </c>
      <c r="Q440" s="4" t="s">
        <v>26</v>
      </c>
      <c r="R440" s="4">
        <v>0</v>
      </c>
      <c r="S440" s="4" t="s">
        <v>235</v>
      </c>
      <c r="T440" s="4" t="s">
        <v>428</v>
      </c>
      <c r="U440" s="4">
        <v>0</v>
      </c>
      <c r="V440" s="4">
        <v>44</v>
      </c>
      <c r="W440" s="4">
        <v>65</v>
      </c>
    </row>
    <row r="441" spans="1:23" ht="11.25" customHeight="1" x14ac:dyDescent="0.3">
      <c r="A441" s="4" t="s">
        <v>28</v>
      </c>
      <c r="B441" s="4" t="s">
        <v>37</v>
      </c>
      <c r="C441" s="4" t="s">
        <v>33</v>
      </c>
      <c r="D441" s="4" t="s">
        <v>41</v>
      </c>
      <c r="E441" s="4" t="s">
        <v>25</v>
      </c>
      <c r="F441" s="4" t="s">
        <v>25</v>
      </c>
      <c r="G441" s="4" t="s">
        <v>25</v>
      </c>
      <c r="H441" s="4" t="s">
        <v>34</v>
      </c>
      <c r="I441" s="5">
        <v>44652</v>
      </c>
      <c r="J441" s="6">
        <v>0</v>
      </c>
      <c r="K441" s="6">
        <v>0</v>
      </c>
      <c r="L441" s="6">
        <v>3.7999999999999999E-2</v>
      </c>
      <c r="M441" s="6">
        <v>3.7999999999999999E-2</v>
      </c>
      <c r="N441" s="6">
        <v>3.7999999999999999E-2</v>
      </c>
      <c r="O441" s="6">
        <v>3.7999999999999999E-2</v>
      </c>
      <c r="P441" s="6">
        <v>0</v>
      </c>
      <c r="Q441" s="4" t="s">
        <v>26</v>
      </c>
      <c r="R441" s="4">
        <v>0</v>
      </c>
      <c r="S441" s="4" t="s">
        <v>235</v>
      </c>
      <c r="T441" s="4" t="s">
        <v>428</v>
      </c>
      <c r="U441" s="4">
        <v>0</v>
      </c>
      <c r="V441" s="4">
        <v>44</v>
      </c>
      <c r="W441" s="4">
        <v>65</v>
      </c>
    </row>
    <row r="442" spans="1:23" ht="11.25" customHeight="1" x14ac:dyDescent="0.3">
      <c r="A442" s="4" t="s">
        <v>21</v>
      </c>
      <c r="B442" s="4" t="s">
        <v>37</v>
      </c>
      <c r="C442" s="4" t="s">
        <v>33</v>
      </c>
      <c r="D442" s="4" t="s">
        <v>41</v>
      </c>
      <c r="E442" s="4" t="s">
        <v>25</v>
      </c>
      <c r="F442" s="4" t="s">
        <v>25</v>
      </c>
      <c r="G442" s="4" t="s">
        <v>25</v>
      </c>
      <c r="H442" s="4" t="s">
        <v>34</v>
      </c>
      <c r="I442" s="5">
        <v>44682</v>
      </c>
      <c r="J442" s="6">
        <v>0</v>
      </c>
      <c r="K442" s="6">
        <v>0</v>
      </c>
      <c r="L442" s="6">
        <v>0.215</v>
      </c>
      <c r="M442" s="6">
        <v>0.215</v>
      </c>
      <c r="N442" s="6">
        <v>0.215</v>
      </c>
      <c r="O442" s="6">
        <v>0.215</v>
      </c>
      <c r="P442" s="6">
        <v>0</v>
      </c>
      <c r="Q442" s="4" t="s">
        <v>26</v>
      </c>
      <c r="R442" s="4">
        <v>0</v>
      </c>
      <c r="S442" s="4" t="s">
        <v>236</v>
      </c>
      <c r="T442" s="4" t="s">
        <v>429</v>
      </c>
      <c r="U442" s="4">
        <v>0</v>
      </c>
      <c r="V442" s="4">
        <v>44</v>
      </c>
      <c r="W442" s="4">
        <v>65</v>
      </c>
    </row>
    <row r="443" spans="1:23" ht="11.25" customHeight="1" x14ac:dyDescent="0.3">
      <c r="A443" s="4" t="s">
        <v>21</v>
      </c>
      <c r="B443" s="4" t="s">
        <v>37</v>
      </c>
      <c r="C443" s="4" t="s">
        <v>33</v>
      </c>
      <c r="D443" s="4" t="s">
        <v>41</v>
      </c>
      <c r="E443" s="4" t="s">
        <v>25</v>
      </c>
      <c r="F443" s="4" t="s">
        <v>25</v>
      </c>
      <c r="G443" s="4" t="s">
        <v>25</v>
      </c>
      <c r="H443" s="4" t="s">
        <v>34</v>
      </c>
      <c r="I443" s="5">
        <v>44713</v>
      </c>
      <c r="J443" s="6">
        <v>0</v>
      </c>
      <c r="K443" s="6">
        <v>0</v>
      </c>
      <c r="L443" s="6">
        <v>0.14899999999999999</v>
      </c>
      <c r="M443" s="6">
        <v>0.14899999999999999</v>
      </c>
      <c r="N443" s="6">
        <v>0.14899999999999999</v>
      </c>
      <c r="O443" s="6">
        <v>0.14899999999999999</v>
      </c>
      <c r="P443" s="6">
        <v>0</v>
      </c>
      <c r="Q443" s="4" t="s">
        <v>26</v>
      </c>
      <c r="R443" s="4">
        <v>0</v>
      </c>
      <c r="S443" s="4" t="s">
        <v>237</v>
      </c>
      <c r="T443" s="4" t="s">
        <v>430</v>
      </c>
      <c r="U443" s="4">
        <v>0</v>
      </c>
      <c r="V443" s="4">
        <v>44</v>
      </c>
      <c r="W443" s="4">
        <v>65</v>
      </c>
    </row>
    <row r="444" spans="1:23" ht="11.25" customHeight="1" x14ac:dyDescent="0.3">
      <c r="A444" s="4" t="s">
        <v>28</v>
      </c>
      <c r="B444" s="4" t="s">
        <v>37</v>
      </c>
      <c r="C444" s="4" t="s">
        <v>33</v>
      </c>
      <c r="D444" s="4" t="s">
        <v>41</v>
      </c>
      <c r="E444" s="4" t="s">
        <v>25</v>
      </c>
      <c r="F444" s="4" t="s">
        <v>25</v>
      </c>
      <c r="G444" s="4" t="s">
        <v>25</v>
      </c>
      <c r="H444" s="4" t="s">
        <v>34</v>
      </c>
      <c r="I444" s="5">
        <v>44713</v>
      </c>
      <c r="J444" s="6">
        <v>0</v>
      </c>
      <c r="K444" s="6">
        <v>0</v>
      </c>
      <c r="L444" s="6">
        <v>3.3000000000000002E-2</v>
      </c>
      <c r="M444" s="6">
        <v>3.3000000000000002E-2</v>
      </c>
      <c r="N444" s="6">
        <v>3.3000000000000002E-2</v>
      </c>
      <c r="O444" s="6">
        <v>3.3000000000000002E-2</v>
      </c>
      <c r="P444" s="6">
        <v>0</v>
      </c>
      <c r="Q444" s="4" t="s">
        <v>26</v>
      </c>
      <c r="R444" s="4">
        <v>0</v>
      </c>
      <c r="S444" s="4" t="s">
        <v>237</v>
      </c>
      <c r="T444" s="4" t="s">
        <v>430</v>
      </c>
      <c r="U444" s="4">
        <v>0</v>
      </c>
      <c r="V444" s="4">
        <v>44</v>
      </c>
      <c r="W444" s="4">
        <v>65</v>
      </c>
    </row>
    <row r="445" spans="1:23" ht="11.25" customHeight="1" x14ac:dyDescent="0.3">
      <c r="A445" s="4" t="s">
        <v>21</v>
      </c>
      <c r="B445" s="4" t="s">
        <v>37</v>
      </c>
      <c r="C445" s="4" t="s">
        <v>33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34</v>
      </c>
      <c r="I445" s="5">
        <v>44743</v>
      </c>
      <c r="J445" s="6">
        <v>0</v>
      </c>
      <c r="K445" s="6">
        <v>0</v>
      </c>
      <c r="L445" s="6">
        <v>3.1E-2</v>
      </c>
      <c r="M445" s="6">
        <v>3.1E-2</v>
      </c>
      <c r="N445" s="6">
        <v>3.1E-2</v>
      </c>
      <c r="O445" s="6">
        <v>3.1E-2</v>
      </c>
      <c r="P445" s="6">
        <v>0</v>
      </c>
      <c r="Q445" s="4" t="s">
        <v>26</v>
      </c>
      <c r="R445" s="4">
        <v>0</v>
      </c>
      <c r="S445" s="4" t="s">
        <v>238</v>
      </c>
      <c r="T445" s="4" t="s">
        <v>431</v>
      </c>
      <c r="U445" s="4">
        <v>0</v>
      </c>
      <c r="V445" s="4">
        <v>44</v>
      </c>
      <c r="W445" s="4">
        <v>65</v>
      </c>
    </row>
    <row r="446" spans="1:23" ht="11.25" customHeight="1" x14ac:dyDescent="0.3">
      <c r="A446" s="4" t="s">
        <v>28</v>
      </c>
      <c r="B446" s="4" t="s">
        <v>37</v>
      </c>
      <c r="C446" s="4" t="s">
        <v>33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34</v>
      </c>
      <c r="I446" s="5">
        <v>44743</v>
      </c>
      <c r="J446" s="6">
        <v>0</v>
      </c>
      <c r="K446" s="6">
        <v>0</v>
      </c>
      <c r="L446" s="6">
        <v>2.5999999999999999E-2</v>
      </c>
      <c r="M446" s="6">
        <v>2.5999999999999999E-2</v>
      </c>
      <c r="N446" s="6">
        <v>2.5999999999999999E-2</v>
      </c>
      <c r="O446" s="6">
        <v>2.5999999999999999E-2</v>
      </c>
      <c r="P446" s="6">
        <v>0</v>
      </c>
      <c r="Q446" s="4" t="s">
        <v>26</v>
      </c>
      <c r="R446" s="4">
        <v>0</v>
      </c>
      <c r="S446" s="4" t="s">
        <v>238</v>
      </c>
      <c r="T446" s="4" t="s">
        <v>431</v>
      </c>
      <c r="U446" s="4">
        <v>0</v>
      </c>
      <c r="V446" s="4">
        <v>44</v>
      </c>
      <c r="W446" s="4">
        <v>65</v>
      </c>
    </row>
    <row r="447" spans="1:23" ht="11.25" customHeight="1" x14ac:dyDescent="0.3">
      <c r="A447" s="4" t="s">
        <v>21</v>
      </c>
      <c r="B447" s="4" t="s">
        <v>37</v>
      </c>
      <c r="C447" s="4" t="s">
        <v>33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34</v>
      </c>
      <c r="I447" s="5">
        <v>44774</v>
      </c>
      <c r="J447" s="6">
        <v>0</v>
      </c>
      <c r="K447" s="6">
        <v>0</v>
      </c>
      <c r="L447" s="6">
        <v>5.8999999999999997E-2</v>
      </c>
      <c r="M447" s="6">
        <v>5.8999999999999997E-2</v>
      </c>
      <c r="N447" s="6">
        <v>5.8999999999999997E-2</v>
      </c>
      <c r="O447" s="6">
        <v>5.8999999999999997E-2</v>
      </c>
      <c r="P447" s="6">
        <v>0</v>
      </c>
      <c r="Q447" s="4" t="s">
        <v>26</v>
      </c>
      <c r="R447" s="4">
        <v>0</v>
      </c>
      <c r="S447" s="4" t="s">
        <v>239</v>
      </c>
      <c r="T447" s="4" t="s">
        <v>432</v>
      </c>
      <c r="U447" s="4">
        <v>0</v>
      </c>
      <c r="V447" s="4">
        <v>44</v>
      </c>
      <c r="W447" s="4">
        <v>65</v>
      </c>
    </row>
    <row r="448" spans="1:23" ht="11.25" customHeight="1" x14ac:dyDescent="0.3">
      <c r="A448" s="4" t="s">
        <v>28</v>
      </c>
      <c r="B448" s="4" t="s">
        <v>37</v>
      </c>
      <c r="C448" s="4" t="s">
        <v>33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34</v>
      </c>
      <c r="I448" s="5">
        <v>44774</v>
      </c>
      <c r="J448" s="6">
        <v>0</v>
      </c>
      <c r="K448" s="6">
        <v>0</v>
      </c>
      <c r="L448" s="6">
        <v>3.2000000000000001E-2</v>
      </c>
      <c r="M448" s="6">
        <v>3.2000000000000001E-2</v>
      </c>
      <c r="N448" s="6">
        <v>3.2000000000000001E-2</v>
      </c>
      <c r="O448" s="6">
        <v>3.2000000000000001E-2</v>
      </c>
      <c r="P448" s="6">
        <v>0</v>
      </c>
      <c r="Q448" s="4" t="s">
        <v>26</v>
      </c>
      <c r="R448" s="4">
        <v>0</v>
      </c>
      <c r="S448" s="4" t="s">
        <v>239</v>
      </c>
      <c r="T448" s="4" t="s">
        <v>432</v>
      </c>
      <c r="U448" s="4">
        <v>0</v>
      </c>
      <c r="V448" s="4">
        <v>44</v>
      </c>
      <c r="W448" s="4">
        <v>65</v>
      </c>
    </row>
    <row r="449" spans="1:23" ht="11.25" customHeight="1" x14ac:dyDescent="0.3">
      <c r="A449" s="4" t="s">
        <v>21</v>
      </c>
      <c r="B449" s="4" t="s">
        <v>37</v>
      </c>
      <c r="C449" s="4" t="s">
        <v>33</v>
      </c>
      <c r="D449" s="4" t="s">
        <v>38</v>
      </c>
      <c r="E449" s="4" t="s">
        <v>25</v>
      </c>
      <c r="F449" s="4" t="s">
        <v>25</v>
      </c>
      <c r="G449" s="4" t="s">
        <v>25</v>
      </c>
      <c r="H449" s="4" t="s">
        <v>35</v>
      </c>
      <c r="I449" s="5">
        <v>44440</v>
      </c>
      <c r="J449" s="6">
        <v>0</v>
      </c>
      <c r="K449" s="6">
        <v>0</v>
      </c>
      <c r="L449" s="6">
        <v>15.238</v>
      </c>
      <c r="M449" s="6">
        <v>15.238</v>
      </c>
      <c r="N449" s="6">
        <v>15.238</v>
      </c>
      <c r="O449" s="6">
        <v>15.238</v>
      </c>
      <c r="P449" s="6">
        <v>0</v>
      </c>
      <c r="Q449" s="4" t="s">
        <v>26</v>
      </c>
      <c r="R449" s="4">
        <v>0</v>
      </c>
      <c r="S449" s="4" t="s">
        <v>204</v>
      </c>
      <c r="T449" s="4" t="s">
        <v>397</v>
      </c>
      <c r="U449" s="4">
        <v>0</v>
      </c>
      <c r="V449" s="4">
        <v>78</v>
      </c>
      <c r="W449" s="4">
        <v>60</v>
      </c>
    </row>
    <row r="450" spans="1:23" ht="11.25" customHeight="1" x14ac:dyDescent="0.3">
      <c r="A450" s="4" t="s">
        <v>21</v>
      </c>
      <c r="B450" s="4" t="s">
        <v>37</v>
      </c>
      <c r="C450" s="4" t="s">
        <v>33</v>
      </c>
      <c r="D450" s="4" t="s">
        <v>38</v>
      </c>
      <c r="E450" s="4" t="s">
        <v>25</v>
      </c>
      <c r="F450" s="4" t="s">
        <v>25</v>
      </c>
      <c r="G450" s="4" t="s">
        <v>25</v>
      </c>
      <c r="H450" s="4" t="s">
        <v>35</v>
      </c>
      <c r="I450" s="5">
        <v>44470</v>
      </c>
      <c r="J450" s="6">
        <v>0</v>
      </c>
      <c r="K450" s="6">
        <v>0</v>
      </c>
      <c r="L450" s="6">
        <v>11.590999999999999</v>
      </c>
      <c r="M450" s="6">
        <v>11.590999999999999</v>
      </c>
      <c r="N450" s="6">
        <v>11.590999999999999</v>
      </c>
      <c r="O450" s="6">
        <v>11.590999999999999</v>
      </c>
      <c r="P450" s="6">
        <v>0</v>
      </c>
      <c r="Q450" s="4" t="s">
        <v>26</v>
      </c>
      <c r="R450" s="4">
        <v>0</v>
      </c>
      <c r="S450" s="4" t="s">
        <v>205</v>
      </c>
      <c r="T450" s="4" t="s">
        <v>398</v>
      </c>
      <c r="U450" s="4">
        <v>0</v>
      </c>
      <c r="V450" s="4">
        <v>78</v>
      </c>
      <c r="W450" s="4">
        <v>60</v>
      </c>
    </row>
    <row r="451" spans="1:23" ht="11.25" customHeight="1" x14ac:dyDescent="0.3">
      <c r="A451" s="4" t="s">
        <v>21</v>
      </c>
      <c r="B451" s="4" t="s">
        <v>37</v>
      </c>
      <c r="C451" s="4" t="s">
        <v>33</v>
      </c>
      <c r="D451" s="4" t="s">
        <v>38</v>
      </c>
      <c r="E451" s="4" t="s">
        <v>25</v>
      </c>
      <c r="F451" s="4" t="s">
        <v>25</v>
      </c>
      <c r="G451" s="4" t="s">
        <v>25</v>
      </c>
      <c r="H451" s="4" t="s">
        <v>35</v>
      </c>
      <c r="I451" s="5">
        <v>44501</v>
      </c>
      <c r="J451" s="6">
        <v>0</v>
      </c>
      <c r="K451" s="6">
        <v>0</v>
      </c>
      <c r="L451" s="6">
        <v>12.178000000000001</v>
      </c>
      <c r="M451" s="6">
        <v>12.178000000000001</v>
      </c>
      <c r="N451" s="6">
        <v>12.178000000000001</v>
      </c>
      <c r="O451" s="6">
        <v>12.178000000000001</v>
      </c>
      <c r="P451" s="6">
        <v>0</v>
      </c>
      <c r="Q451" s="4" t="s">
        <v>26</v>
      </c>
      <c r="R451" s="4">
        <v>0</v>
      </c>
      <c r="S451" s="4" t="s">
        <v>206</v>
      </c>
      <c r="T451" s="4" t="s">
        <v>399</v>
      </c>
      <c r="U451" s="4">
        <v>0</v>
      </c>
      <c r="V451" s="4">
        <v>78</v>
      </c>
      <c r="W451" s="4">
        <v>60</v>
      </c>
    </row>
    <row r="452" spans="1:23" ht="11.25" customHeight="1" x14ac:dyDescent="0.3">
      <c r="A452" s="4" t="s">
        <v>28</v>
      </c>
      <c r="B452" s="4" t="s">
        <v>37</v>
      </c>
      <c r="C452" s="4" t="s">
        <v>33</v>
      </c>
      <c r="D452" s="4" t="s">
        <v>38</v>
      </c>
      <c r="E452" s="4" t="s">
        <v>25</v>
      </c>
      <c r="F452" s="4" t="s">
        <v>25</v>
      </c>
      <c r="G452" s="4" t="s">
        <v>25</v>
      </c>
      <c r="H452" s="4" t="s">
        <v>35</v>
      </c>
      <c r="I452" s="5">
        <v>44501</v>
      </c>
      <c r="J452" s="6">
        <v>0</v>
      </c>
      <c r="K452" s="6">
        <v>0</v>
      </c>
      <c r="L452" s="6">
        <v>0.24199999999999999</v>
      </c>
      <c r="M452" s="6">
        <v>0.24199999999999999</v>
      </c>
      <c r="N452" s="6">
        <v>0.24199999999999999</v>
      </c>
      <c r="O452" s="6">
        <v>0.24199999999999999</v>
      </c>
      <c r="P452" s="6">
        <v>0</v>
      </c>
      <c r="Q452" s="4" t="s">
        <v>26</v>
      </c>
      <c r="R452" s="4">
        <v>0</v>
      </c>
      <c r="S452" s="4" t="s">
        <v>206</v>
      </c>
      <c r="T452" s="4" t="s">
        <v>399</v>
      </c>
      <c r="U452" s="4">
        <v>0</v>
      </c>
      <c r="V452" s="4">
        <v>78</v>
      </c>
      <c r="W452" s="4">
        <v>60</v>
      </c>
    </row>
    <row r="453" spans="1:23" ht="11.25" customHeight="1" x14ac:dyDescent="0.3">
      <c r="A453" s="4" t="s">
        <v>21</v>
      </c>
      <c r="B453" s="4" t="s">
        <v>37</v>
      </c>
      <c r="C453" s="4" t="s">
        <v>33</v>
      </c>
      <c r="D453" s="4" t="s">
        <v>38</v>
      </c>
      <c r="E453" s="4" t="s">
        <v>25</v>
      </c>
      <c r="F453" s="4" t="s">
        <v>25</v>
      </c>
      <c r="G453" s="4" t="s">
        <v>25</v>
      </c>
      <c r="H453" s="4" t="s">
        <v>35</v>
      </c>
      <c r="I453" s="5">
        <v>44531</v>
      </c>
      <c r="J453" s="6">
        <v>0</v>
      </c>
      <c r="K453" s="6">
        <v>0</v>
      </c>
      <c r="L453" s="6">
        <v>10.407</v>
      </c>
      <c r="M453" s="6">
        <v>10.407</v>
      </c>
      <c r="N453" s="6">
        <v>10.407</v>
      </c>
      <c r="O453" s="6">
        <v>10.407</v>
      </c>
      <c r="P453" s="6">
        <v>0</v>
      </c>
      <c r="Q453" s="4" t="s">
        <v>26</v>
      </c>
      <c r="R453" s="4">
        <v>0</v>
      </c>
      <c r="S453" s="4" t="s">
        <v>207</v>
      </c>
      <c r="T453" s="4" t="s">
        <v>400</v>
      </c>
      <c r="U453" s="4">
        <v>0</v>
      </c>
      <c r="V453" s="4">
        <v>78</v>
      </c>
      <c r="W453" s="4">
        <v>60</v>
      </c>
    </row>
    <row r="454" spans="1:23" ht="11.25" customHeight="1" x14ac:dyDescent="0.3">
      <c r="A454" s="4" t="s">
        <v>21</v>
      </c>
      <c r="B454" s="4" t="s">
        <v>37</v>
      </c>
      <c r="C454" s="4" t="s">
        <v>33</v>
      </c>
      <c r="D454" s="4" t="s">
        <v>38</v>
      </c>
      <c r="E454" s="4" t="s">
        <v>25</v>
      </c>
      <c r="F454" s="4" t="s">
        <v>25</v>
      </c>
      <c r="G454" s="4" t="s">
        <v>25</v>
      </c>
      <c r="H454" s="4" t="s">
        <v>35</v>
      </c>
      <c r="I454" s="5">
        <v>44562</v>
      </c>
      <c r="J454" s="6">
        <v>0</v>
      </c>
      <c r="K454" s="6">
        <v>0</v>
      </c>
      <c r="L454" s="6">
        <v>10.179</v>
      </c>
      <c r="M454" s="6">
        <v>10.179</v>
      </c>
      <c r="N454" s="6">
        <v>10.179</v>
      </c>
      <c r="O454" s="6">
        <v>10.179</v>
      </c>
      <c r="P454" s="6">
        <v>0</v>
      </c>
      <c r="Q454" s="4" t="s">
        <v>26</v>
      </c>
      <c r="R454" s="4">
        <v>0</v>
      </c>
      <c r="S454" s="4" t="s">
        <v>208</v>
      </c>
      <c r="T454" s="4" t="s">
        <v>401</v>
      </c>
      <c r="U454" s="4">
        <v>0</v>
      </c>
      <c r="V454" s="4">
        <v>78</v>
      </c>
      <c r="W454" s="4">
        <v>60</v>
      </c>
    </row>
    <row r="455" spans="1:23" ht="11.25" customHeight="1" x14ac:dyDescent="0.3">
      <c r="A455" s="4" t="s">
        <v>28</v>
      </c>
      <c r="B455" s="4" t="s">
        <v>37</v>
      </c>
      <c r="C455" s="4" t="s">
        <v>33</v>
      </c>
      <c r="D455" s="4" t="s">
        <v>38</v>
      </c>
      <c r="E455" s="4" t="s">
        <v>25</v>
      </c>
      <c r="F455" s="4" t="s">
        <v>25</v>
      </c>
      <c r="G455" s="4" t="s">
        <v>25</v>
      </c>
      <c r="H455" s="4" t="s">
        <v>35</v>
      </c>
      <c r="I455" s="5">
        <v>44562</v>
      </c>
      <c r="J455" s="6">
        <v>0</v>
      </c>
      <c r="K455" s="6">
        <v>0</v>
      </c>
      <c r="L455" s="6">
        <v>0.24199999999999999</v>
      </c>
      <c r="M455" s="6">
        <v>0.24199999999999999</v>
      </c>
      <c r="N455" s="6">
        <v>0.24199999999999999</v>
      </c>
      <c r="O455" s="6">
        <v>0.24199999999999999</v>
      </c>
      <c r="P455" s="6">
        <v>0</v>
      </c>
      <c r="Q455" s="4" t="s">
        <v>26</v>
      </c>
      <c r="R455" s="4">
        <v>0</v>
      </c>
      <c r="S455" s="4" t="s">
        <v>208</v>
      </c>
      <c r="T455" s="4" t="s">
        <v>401</v>
      </c>
      <c r="U455" s="4">
        <v>0</v>
      </c>
      <c r="V455" s="4">
        <v>78</v>
      </c>
      <c r="W455" s="4">
        <v>60</v>
      </c>
    </row>
    <row r="456" spans="1:23" ht="11.25" customHeight="1" x14ac:dyDescent="0.3">
      <c r="A456" s="4" t="s">
        <v>21</v>
      </c>
      <c r="B456" s="4" t="s">
        <v>37</v>
      </c>
      <c r="C456" s="4" t="s">
        <v>33</v>
      </c>
      <c r="D456" s="4" t="s">
        <v>38</v>
      </c>
      <c r="E456" s="4" t="s">
        <v>25</v>
      </c>
      <c r="F456" s="4" t="s">
        <v>25</v>
      </c>
      <c r="G456" s="4" t="s">
        <v>25</v>
      </c>
      <c r="H456" s="4" t="s">
        <v>35</v>
      </c>
      <c r="I456" s="5">
        <v>44593</v>
      </c>
      <c r="J456" s="6">
        <v>0</v>
      </c>
      <c r="K456" s="6">
        <v>0</v>
      </c>
      <c r="L456" s="6">
        <v>12.564</v>
      </c>
      <c r="M456" s="6">
        <v>12.564</v>
      </c>
      <c r="N456" s="6">
        <v>12.564</v>
      </c>
      <c r="O456" s="6">
        <v>12.564</v>
      </c>
      <c r="P456" s="6">
        <v>0</v>
      </c>
      <c r="Q456" s="4" t="s">
        <v>26</v>
      </c>
      <c r="R456" s="4">
        <v>0</v>
      </c>
      <c r="S456" s="4" t="s">
        <v>209</v>
      </c>
      <c r="T456" s="4" t="s">
        <v>402</v>
      </c>
      <c r="U456" s="4">
        <v>0</v>
      </c>
      <c r="V456" s="4">
        <v>78</v>
      </c>
      <c r="W456" s="4">
        <v>60</v>
      </c>
    </row>
    <row r="457" spans="1:23" ht="11.25" customHeight="1" x14ac:dyDescent="0.3">
      <c r="A457" s="4" t="s">
        <v>21</v>
      </c>
      <c r="B457" s="4" t="s">
        <v>37</v>
      </c>
      <c r="C457" s="4" t="s">
        <v>33</v>
      </c>
      <c r="D457" s="4" t="s">
        <v>38</v>
      </c>
      <c r="E457" s="4" t="s">
        <v>25</v>
      </c>
      <c r="F457" s="4" t="s">
        <v>25</v>
      </c>
      <c r="G457" s="4" t="s">
        <v>25</v>
      </c>
      <c r="H457" s="4" t="s">
        <v>35</v>
      </c>
      <c r="I457" s="5">
        <v>44621</v>
      </c>
      <c r="J457" s="6">
        <v>0</v>
      </c>
      <c r="K457" s="6">
        <v>0</v>
      </c>
      <c r="L457" s="6">
        <v>12.347</v>
      </c>
      <c r="M457" s="6">
        <v>12.347</v>
      </c>
      <c r="N457" s="6">
        <v>12.347</v>
      </c>
      <c r="O457" s="6">
        <v>12.347</v>
      </c>
      <c r="P457" s="6">
        <v>0</v>
      </c>
      <c r="Q457" s="4" t="s">
        <v>26</v>
      </c>
      <c r="R457" s="4">
        <v>0</v>
      </c>
      <c r="S457" s="4" t="s">
        <v>210</v>
      </c>
      <c r="T457" s="4" t="s">
        <v>403</v>
      </c>
      <c r="U457" s="4">
        <v>0</v>
      </c>
      <c r="V457" s="4">
        <v>78</v>
      </c>
      <c r="W457" s="4">
        <v>60</v>
      </c>
    </row>
    <row r="458" spans="1:23" ht="11.25" customHeight="1" x14ac:dyDescent="0.3">
      <c r="A458" s="4" t="s">
        <v>28</v>
      </c>
      <c r="B458" s="4" t="s">
        <v>37</v>
      </c>
      <c r="C458" s="4" t="s">
        <v>33</v>
      </c>
      <c r="D458" s="4" t="s">
        <v>38</v>
      </c>
      <c r="E458" s="4" t="s">
        <v>25</v>
      </c>
      <c r="F458" s="4" t="s">
        <v>25</v>
      </c>
      <c r="G458" s="4" t="s">
        <v>25</v>
      </c>
      <c r="H458" s="4" t="s">
        <v>35</v>
      </c>
      <c r="I458" s="5">
        <v>44621</v>
      </c>
      <c r="J458" s="6">
        <v>0</v>
      </c>
      <c r="K458" s="6">
        <v>0</v>
      </c>
      <c r="L458" s="6">
        <v>0.24199999999999999</v>
      </c>
      <c r="M458" s="6">
        <v>0.24199999999999999</v>
      </c>
      <c r="N458" s="6">
        <v>0.24199999999999999</v>
      </c>
      <c r="O458" s="6">
        <v>0.24199999999999999</v>
      </c>
      <c r="P458" s="6">
        <v>0</v>
      </c>
      <c r="Q458" s="4" t="s">
        <v>26</v>
      </c>
      <c r="R458" s="4">
        <v>0</v>
      </c>
      <c r="S458" s="4" t="s">
        <v>210</v>
      </c>
      <c r="T458" s="4" t="s">
        <v>403</v>
      </c>
      <c r="U458" s="4">
        <v>0</v>
      </c>
      <c r="V458" s="4">
        <v>78</v>
      </c>
      <c r="W458" s="4">
        <v>60</v>
      </c>
    </row>
    <row r="459" spans="1:23" ht="11.25" customHeight="1" x14ac:dyDescent="0.3">
      <c r="A459" s="4" t="s">
        <v>21</v>
      </c>
      <c r="B459" s="4" t="s">
        <v>37</v>
      </c>
      <c r="C459" s="4" t="s">
        <v>33</v>
      </c>
      <c r="D459" s="4" t="s">
        <v>38</v>
      </c>
      <c r="E459" s="4" t="s">
        <v>25</v>
      </c>
      <c r="F459" s="4" t="s">
        <v>25</v>
      </c>
      <c r="G459" s="4" t="s">
        <v>25</v>
      </c>
      <c r="H459" s="4" t="s">
        <v>35</v>
      </c>
      <c r="I459" s="5">
        <v>44652</v>
      </c>
      <c r="J459" s="6">
        <v>0</v>
      </c>
      <c r="K459" s="6">
        <v>0</v>
      </c>
      <c r="L459" s="6">
        <v>11.473000000000001</v>
      </c>
      <c r="M459" s="6">
        <v>11.473000000000001</v>
      </c>
      <c r="N459" s="6">
        <v>11.473000000000001</v>
      </c>
      <c r="O459" s="6">
        <v>11.473000000000001</v>
      </c>
      <c r="P459" s="6">
        <v>0</v>
      </c>
      <c r="Q459" s="4" t="s">
        <v>26</v>
      </c>
      <c r="R459" s="4">
        <v>0</v>
      </c>
      <c r="S459" s="4" t="s">
        <v>211</v>
      </c>
      <c r="T459" s="4" t="s">
        <v>404</v>
      </c>
      <c r="U459" s="4">
        <v>0</v>
      </c>
      <c r="V459" s="4">
        <v>78</v>
      </c>
      <c r="W459" s="4">
        <v>60</v>
      </c>
    </row>
    <row r="460" spans="1:23" ht="11.25" customHeight="1" x14ac:dyDescent="0.3">
      <c r="A460" s="4" t="s">
        <v>28</v>
      </c>
      <c r="B460" s="4" t="s">
        <v>37</v>
      </c>
      <c r="C460" s="4" t="s">
        <v>33</v>
      </c>
      <c r="D460" s="4" t="s">
        <v>38</v>
      </c>
      <c r="E460" s="4" t="s">
        <v>25</v>
      </c>
      <c r="F460" s="4" t="s">
        <v>25</v>
      </c>
      <c r="G460" s="4" t="s">
        <v>25</v>
      </c>
      <c r="H460" s="4" t="s">
        <v>35</v>
      </c>
      <c r="I460" s="5">
        <v>44652</v>
      </c>
      <c r="J460" s="6">
        <v>0</v>
      </c>
      <c r="K460" s="6">
        <v>0</v>
      </c>
      <c r="L460" s="6">
        <v>0.24199999999999999</v>
      </c>
      <c r="M460" s="6">
        <v>0.24199999999999999</v>
      </c>
      <c r="N460" s="6">
        <v>0.24199999999999999</v>
      </c>
      <c r="O460" s="6">
        <v>0.24199999999999999</v>
      </c>
      <c r="P460" s="6">
        <v>0</v>
      </c>
      <c r="Q460" s="4" t="s">
        <v>26</v>
      </c>
      <c r="R460" s="4">
        <v>0</v>
      </c>
      <c r="S460" s="4" t="s">
        <v>211</v>
      </c>
      <c r="T460" s="4" t="s">
        <v>404</v>
      </c>
      <c r="U460" s="4">
        <v>0</v>
      </c>
      <c r="V460" s="4">
        <v>78</v>
      </c>
      <c r="W460" s="4">
        <v>60</v>
      </c>
    </row>
    <row r="461" spans="1:23" ht="11.25" customHeight="1" x14ac:dyDescent="0.3">
      <c r="A461" s="4" t="s">
        <v>21</v>
      </c>
      <c r="B461" s="4" t="s">
        <v>37</v>
      </c>
      <c r="C461" s="4" t="s">
        <v>33</v>
      </c>
      <c r="D461" s="4" t="s">
        <v>38</v>
      </c>
      <c r="E461" s="4" t="s">
        <v>25</v>
      </c>
      <c r="F461" s="4" t="s">
        <v>25</v>
      </c>
      <c r="G461" s="4" t="s">
        <v>25</v>
      </c>
      <c r="H461" s="4" t="s">
        <v>35</v>
      </c>
      <c r="I461" s="5">
        <v>44682</v>
      </c>
      <c r="J461" s="6">
        <v>0</v>
      </c>
      <c r="K461" s="6">
        <v>0</v>
      </c>
      <c r="L461" s="6">
        <v>13.253</v>
      </c>
      <c r="M461" s="6">
        <v>13.253</v>
      </c>
      <c r="N461" s="6">
        <v>13.253</v>
      </c>
      <c r="O461" s="6">
        <v>13.253</v>
      </c>
      <c r="P461" s="6">
        <v>0</v>
      </c>
      <c r="Q461" s="4" t="s">
        <v>26</v>
      </c>
      <c r="R461" s="4">
        <v>0</v>
      </c>
      <c r="S461" s="4" t="s">
        <v>212</v>
      </c>
      <c r="T461" s="4" t="s">
        <v>405</v>
      </c>
      <c r="U461" s="4">
        <v>0</v>
      </c>
      <c r="V461" s="4">
        <v>78</v>
      </c>
      <c r="W461" s="4">
        <v>60</v>
      </c>
    </row>
    <row r="462" spans="1:23" ht="11.25" customHeight="1" x14ac:dyDescent="0.3">
      <c r="A462" s="4" t="s">
        <v>28</v>
      </c>
      <c r="B462" s="4" t="s">
        <v>37</v>
      </c>
      <c r="C462" s="4" t="s">
        <v>33</v>
      </c>
      <c r="D462" s="4" t="s">
        <v>38</v>
      </c>
      <c r="E462" s="4" t="s">
        <v>25</v>
      </c>
      <c r="F462" s="4" t="s">
        <v>25</v>
      </c>
      <c r="G462" s="4" t="s">
        <v>25</v>
      </c>
      <c r="H462" s="4" t="s">
        <v>35</v>
      </c>
      <c r="I462" s="5">
        <v>44682</v>
      </c>
      <c r="J462" s="6">
        <v>0</v>
      </c>
      <c r="K462" s="6">
        <v>0</v>
      </c>
      <c r="L462" s="6">
        <v>0.24199999999999999</v>
      </c>
      <c r="M462" s="6">
        <v>0.24199999999999999</v>
      </c>
      <c r="N462" s="6">
        <v>0.24199999999999999</v>
      </c>
      <c r="O462" s="6">
        <v>0.24199999999999999</v>
      </c>
      <c r="P462" s="6">
        <v>0</v>
      </c>
      <c r="Q462" s="4" t="s">
        <v>26</v>
      </c>
      <c r="R462" s="4">
        <v>0</v>
      </c>
      <c r="S462" s="4" t="s">
        <v>212</v>
      </c>
      <c r="T462" s="4" t="s">
        <v>405</v>
      </c>
      <c r="U462" s="4">
        <v>0</v>
      </c>
      <c r="V462" s="4">
        <v>78</v>
      </c>
      <c r="W462" s="4">
        <v>60</v>
      </c>
    </row>
    <row r="463" spans="1:23" ht="11.25" customHeight="1" x14ac:dyDescent="0.3">
      <c r="A463" s="4" t="s">
        <v>21</v>
      </c>
      <c r="B463" s="4" t="s">
        <v>37</v>
      </c>
      <c r="C463" s="4" t="s">
        <v>33</v>
      </c>
      <c r="D463" s="4" t="s">
        <v>38</v>
      </c>
      <c r="E463" s="4" t="s">
        <v>25</v>
      </c>
      <c r="F463" s="4" t="s">
        <v>25</v>
      </c>
      <c r="G463" s="4" t="s">
        <v>25</v>
      </c>
      <c r="H463" s="4" t="s">
        <v>35</v>
      </c>
      <c r="I463" s="5">
        <v>44713</v>
      </c>
      <c r="J463" s="6">
        <v>0</v>
      </c>
      <c r="K463" s="6">
        <v>0</v>
      </c>
      <c r="L463" s="6">
        <v>9.5050000000000008</v>
      </c>
      <c r="M463" s="6">
        <v>9.5050000000000008</v>
      </c>
      <c r="N463" s="6">
        <v>9.5050000000000008</v>
      </c>
      <c r="O463" s="6">
        <v>9.5050000000000008</v>
      </c>
      <c r="P463" s="6">
        <v>0</v>
      </c>
      <c r="Q463" s="4" t="s">
        <v>26</v>
      </c>
      <c r="R463" s="4">
        <v>0</v>
      </c>
      <c r="S463" s="4" t="s">
        <v>213</v>
      </c>
      <c r="T463" s="4" t="s">
        <v>406</v>
      </c>
      <c r="U463" s="4">
        <v>0</v>
      </c>
      <c r="V463" s="4">
        <v>78</v>
      </c>
      <c r="W463" s="4">
        <v>60</v>
      </c>
    </row>
    <row r="464" spans="1:23" ht="11.25" customHeight="1" x14ac:dyDescent="0.3">
      <c r="A464" s="4" t="s">
        <v>28</v>
      </c>
      <c r="B464" s="4" t="s">
        <v>37</v>
      </c>
      <c r="C464" s="4" t="s">
        <v>33</v>
      </c>
      <c r="D464" s="4" t="s">
        <v>38</v>
      </c>
      <c r="E464" s="4" t="s">
        <v>25</v>
      </c>
      <c r="F464" s="4" t="s">
        <v>25</v>
      </c>
      <c r="G464" s="4" t="s">
        <v>25</v>
      </c>
      <c r="H464" s="4" t="s">
        <v>35</v>
      </c>
      <c r="I464" s="5">
        <v>44713</v>
      </c>
      <c r="J464" s="6">
        <v>0</v>
      </c>
      <c r="K464" s="6">
        <v>0</v>
      </c>
      <c r="L464" s="6">
        <v>0.24199999999999999</v>
      </c>
      <c r="M464" s="6">
        <v>0.24199999999999999</v>
      </c>
      <c r="N464" s="6">
        <v>0.24199999999999999</v>
      </c>
      <c r="O464" s="6">
        <v>0.24199999999999999</v>
      </c>
      <c r="P464" s="6">
        <v>0</v>
      </c>
      <c r="Q464" s="4" t="s">
        <v>26</v>
      </c>
      <c r="R464" s="4">
        <v>0</v>
      </c>
      <c r="S464" s="4" t="s">
        <v>213</v>
      </c>
      <c r="T464" s="4" t="s">
        <v>406</v>
      </c>
      <c r="U464" s="4">
        <v>0</v>
      </c>
      <c r="V464" s="4">
        <v>78</v>
      </c>
      <c r="W464" s="4">
        <v>60</v>
      </c>
    </row>
    <row r="465" spans="1:23" ht="11.25" customHeight="1" x14ac:dyDescent="0.3">
      <c r="A465" s="4" t="s">
        <v>21</v>
      </c>
      <c r="B465" s="4" t="s">
        <v>37</v>
      </c>
      <c r="C465" s="4" t="s">
        <v>33</v>
      </c>
      <c r="D465" s="4" t="s">
        <v>38</v>
      </c>
      <c r="E465" s="4" t="s">
        <v>25</v>
      </c>
      <c r="F465" s="4" t="s">
        <v>25</v>
      </c>
      <c r="G465" s="4" t="s">
        <v>25</v>
      </c>
      <c r="H465" s="4" t="s">
        <v>35</v>
      </c>
      <c r="I465" s="5">
        <v>44743</v>
      </c>
      <c r="J465" s="6">
        <v>0</v>
      </c>
      <c r="K465" s="6">
        <v>0</v>
      </c>
      <c r="L465" s="6">
        <v>9.4589999999999996</v>
      </c>
      <c r="M465" s="6">
        <v>9.4589999999999996</v>
      </c>
      <c r="N465" s="6">
        <v>9.4589999999999996</v>
      </c>
      <c r="O465" s="6">
        <v>9.4589999999999996</v>
      </c>
      <c r="P465" s="6">
        <v>0</v>
      </c>
      <c r="Q465" s="4" t="s">
        <v>26</v>
      </c>
      <c r="R465" s="4">
        <v>0</v>
      </c>
      <c r="S465" s="4" t="s">
        <v>214</v>
      </c>
      <c r="T465" s="4" t="s">
        <v>407</v>
      </c>
      <c r="U465" s="4">
        <v>0</v>
      </c>
      <c r="V465" s="4">
        <v>78</v>
      </c>
      <c r="W465" s="4">
        <v>60</v>
      </c>
    </row>
    <row r="466" spans="1:23" ht="11.25" customHeight="1" x14ac:dyDescent="0.3">
      <c r="A466" s="4" t="s">
        <v>28</v>
      </c>
      <c r="B466" s="4" t="s">
        <v>37</v>
      </c>
      <c r="C466" s="4" t="s">
        <v>33</v>
      </c>
      <c r="D466" s="4" t="s">
        <v>38</v>
      </c>
      <c r="E466" s="4" t="s">
        <v>25</v>
      </c>
      <c r="F466" s="4" t="s">
        <v>25</v>
      </c>
      <c r="G466" s="4" t="s">
        <v>25</v>
      </c>
      <c r="H466" s="4" t="s">
        <v>35</v>
      </c>
      <c r="I466" s="5">
        <v>44743</v>
      </c>
      <c r="J466" s="6">
        <v>0</v>
      </c>
      <c r="K466" s="6">
        <v>0</v>
      </c>
      <c r="L466" s="6">
        <v>0.24199999999999999</v>
      </c>
      <c r="M466" s="6">
        <v>0.24199999999999999</v>
      </c>
      <c r="N466" s="6">
        <v>0.24199999999999999</v>
      </c>
      <c r="O466" s="6">
        <v>0.24199999999999999</v>
      </c>
      <c r="P466" s="6">
        <v>0</v>
      </c>
      <c r="Q466" s="4" t="s">
        <v>26</v>
      </c>
      <c r="R466" s="4">
        <v>0</v>
      </c>
      <c r="S466" s="4" t="s">
        <v>214</v>
      </c>
      <c r="T466" s="4" t="s">
        <v>407</v>
      </c>
      <c r="U466" s="4">
        <v>0</v>
      </c>
      <c r="V466" s="4">
        <v>78</v>
      </c>
      <c r="W466" s="4">
        <v>60</v>
      </c>
    </row>
    <row r="467" spans="1:23" ht="11.25" customHeight="1" x14ac:dyDescent="0.3">
      <c r="A467" s="4" t="s">
        <v>21</v>
      </c>
      <c r="B467" s="4" t="s">
        <v>37</v>
      </c>
      <c r="C467" s="4" t="s">
        <v>33</v>
      </c>
      <c r="D467" s="4" t="s">
        <v>38</v>
      </c>
      <c r="E467" s="4" t="s">
        <v>25</v>
      </c>
      <c r="F467" s="4" t="s">
        <v>25</v>
      </c>
      <c r="G467" s="4" t="s">
        <v>25</v>
      </c>
      <c r="H467" s="4" t="s">
        <v>35</v>
      </c>
      <c r="I467" s="5">
        <v>44774</v>
      </c>
      <c r="J467" s="6">
        <v>0</v>
      </c>
      <c r="K467" s="6">
        <v>0</v>
      </c>
      <c r="L467" s="6">
        <v>12.476000000000001</v>
      </c>
      <c r="M467" s="6">
        <v>12.476000000000001</v>
      </c>
      <c r="N467" s="6">
        <v>12.476000000000001</v>
      </c>
      <c r="O467" s="6">
        <v>12.476000000000001</v>
      </c>
      <c r="P467" s="6">
        <v>0</v>
      </c>
      <c r="Q467" s="4" t="s">
        <v>26</v>
      </c>
      <c r="R467" s="4">
        <v>0</v>
      </c>
      <c r="S467" s="4" t="s">
        <v>215</v>
      </c>
      <c r="T467" s="4" t="s">
        <v>408</v>
      </c>
      <c r="U467" s="4">
        <v>0</v>
      </c>
      <c r="V467" s="4">
        <v>78</v>
      </c>
      <c r="W467" s="4">
        <v>60</v>
      </c>
    </row>
    <row r="468" spans="1:23" ht="11.25" customHeight="1" x14ac:dyDescent="0.3">
      <c r="A468" s="4" t="s">
        <v>21</v>
      </c>
      <c r="B468" s="4" t="s">
        <v>37</v>
      </c>
      <c r="C468" s="4" t="s">
        <v>33</v>
      </c>
      <c r="D468" s="4" t="s">
        <v>38</v>
      </c>
      <c r="E468" s="4" t="s">
        <v>25</v>
      </c>
      <c r="F468" s="4" t="s">
        <v>25</v>
      </c>
      <c r="G468" s="4" t="s">
        <v>25</v>
      </c>
      <c r="H468" s="4" t="s">
        <v>36</v>
      </c>
      <c r="I468" s="5">
        <v>44440</v>
      </c>
      <c r="J468" s="6">
        <v>0</v>
      </c>
      <c r="K468" s="6">
        <v>0</v>
      </c>
      <c r="L468" s="6">
        <v>0.46</v>
      </c>
      <c r="M468" s="6">
        <v>0.46</v>
      </c>
      <c r="N468" s="6">
        <v>0.46</v>
      </c>
      <c r="O468" s="6">
        <v>0.46</v>
      </c>
      <c r="P468" s="6">
        <v>0</v>
      </c>
      <c r="Q468" s="4" t="s">
        <v>26</v>
      </c>
      <c r="R468" s="4">
        <v>0</v>
      </c>
      <c r="S468" s="4" t="s">
        <v>216</v>
      </c>
      <c r="T468" s="4" t="s">
        <v>409</v>
      </c>
      <c r="U468" s="4">
        <v>0</v>
      </c>
      <c r="V468" s="4">
        <v>76</v>
      </c>
      <c r="W468" s="4">
        <v>54</v>
      </c>
    </row>
    <row r="469" spans="1:23" ht="11.25" customHeight="1" x14ac:dyDescent="0.3">
      <c r="A469" s="4" t="s">
        <v>21</v>
      </c>
      <c r="B469" s="4" t="s">
        <v>37</v>
      </c>
      <c r="C469" s="4" t="s">
        <v>33</v>
      </c>
      <c r="D469" s="4" t="s">
        <v>38</v>
      </c>
      <c r="E469" s="4" t="s">
        <v>25</v>
      </c>
      <c r="F469" s="4" t="s">
        <v>25</v>
      </c>
      <c r="G469" s="4" t="s">
        <v>25</v>
      </c>
      <c r="H469" s="4" t="s">
        <v>36</v>
      </c>
      <c r="I469" s="5">
        <v>44470</v>
      </c>
      <c r="J469" s="6">
        <v>0</v>
      </c>
      <c r="K469" s="6">
        <v>0</v>
      </c>
      <c r="L469" s="6">
        <v>0.47799999999999998</v>
      </c>
      <c r="M469" s="6">
        <v>0.47799999999999998</v>
      </c>
      <c r="N469" s="6">
        <v>0.47799999999999998</v>
      </c>
      <c r="O469" s="6">
        <v>0.47799999999999998</v>
      </c>
      <c r="P469" s="6">
        <v>0</v>
      </c>
      <c r="Q469" s="4" t="s">
        <v>26</v>
      </c>
      <c r="R469" s="4">
        <v>0</v>
      </c>
      <c r="S469" s="4" t="s">
        <v>217</v>
      </c>
      <c r="T469" s="4" t="s">
        <v>410</v>
      </c>
      <c r="U469" s="4">
        <v>0</v>
      </c>
      <c r="V469" s="4">
        <v>76</v>
      </c>
      <c r="W469" s="4">
        <v>54</v>
      </c>
    </row>
    <row r="470" spans="1:23" ht="11.25" customHeight="1" x14ac:dyDescent="0.3">
      <c r="A470" s="4" t="s">
        <v>21</v>
      </c>
      <c r="B470" s="4" t="s">
        <v>37</v>
      </c>
      <c r="C470" s="4" t="s">
        <v>33</v>
      </c>
      <c r="D470" s="4" t="s">
        <v>38</v>
      </c>
      <c r="E470" s="4" t="s">
        <v>25</v>
      </c>
      <c r="F470" s="4" t="s">
        <v>25</v>
      </c>
      <c r="G470" s="4" t="s">
        <v>25</v>
      </c>
      <c r="H470" s="4" t="s">
        <v>36</v>
      </c>
      <c r="I470" s="5">
        <v>44501</v>
      </c>
      <c r="J470" s="6">
        <v>0</v>
      </c>
      <c r="K470" s="6">
        <v>0</v>
      </c>
      <c r="L470" s="6">
        <v>0.32800000000000001</v>
      </c>
      <c r="M470" s="6">
        <v>0.32800000000000001</v>
      </c>
      <c r="N470" s="6">
        <v>0.32800000000000001</v>
      </c>
      <c r="O470" s="6">
        <v>0.32800000000000001</v>
      </c>
      <c r="P470" s="6">
        <v>0</v>
      </c>
      <c r="Q470" s="4" t="s">
        <v>26</v>
      </c>
      <c r="R470" s="4">
        <v>0</v>
      </c>
      <c r="S470" s="4" t="s">
        <v>218</v>
      </c>
      <c r="T470" s="4" t="s">
        <v>411</v>
      </c>
      <c r="U470" s="4">
        <v>0</v>
      </c>
      <c r="V470" s="4">
        <v>76</v>
      </c>
      <c r="W470" s="4">
        <v>54</v>
      </c>
    </row>
    <row r="471" spans="1:23" ht="11.25" customHeight="1" x14ac:dyDescent="0.3">
      <c r="A471" s="4" t="s">
        <v>21</v>
      </c>
      <c r="B471" s="4" t="s">
        <v>37</v>
      </c>
      <c r="C471" s="4" t="s">
        <v>33</v>
      </c>
      <c r="D471" s="4" t="s">
        <v>38</v>
      </c>
      <c r="E471" s="4" t="s">
        <v>25</v>
      </c>
      <c r="F471" s="4" t="s">
        <v>25</v>
      </c>
      <c r="G471" s="4" t="s">
        <v>25</v>
      </c>
      <c r="H471" s="4" t="s">
        <v>36</v>
      </c>
      <c r="I471" s="5">
        <v>44531</v>
      </c>
      <c r="J471" s="6">
        <v>0</v>
      </c>
      <c r="K471" s="6">
        <v>0</v>
      </c>
      <c r="L471" s="6">
        <v>0.29899999999999999</v>
      </c>
      <c r="M471" s="6">
        <v>0.29899999999999999</v>
      </c>
      <c r="N471" s="6">
        <v>0.29899999999999999</v>
      </c>
      <c r="O471" s="6">
        <v>0.29899999999999999</v>
      </c>
      <c r="P471" s="6">
        <v>0</v>
      </c>
      <c r="Q471" s="4" t="s">
        <v>26</v>
      </c>
      <c r="R471" s="4">
        <v>0</v>
      </c>
      <c r="S471" s="4" t="s">
        <v>219</v>
      </c>
      <c r="T471" s="4" t="s">
        <v>412</v>
      </c>
      <c r="U471" s="4">
        <v>0</v>
      </c>
      <c r="V471" s="4">
        <v>76</v>
      </c>
      <c r="W471" s="4">
        <v>54</v>
      </c>
    </row>
    <row r="472" spans="1:23" ht="11.25" customHeight="1" x14ac:dyDescent="0.3">
      <c r="A472" s="4" t="s">
        <v>21</v>
      </c>
      <c r="B472" s="4" t="s">
        <v>37</v>
      </c>
      <c r="C472" s="4" t="s">
        <v>33</v>
      </c>
      <c r="D472" s="4" t="s">
        <v>38</v>
      </c>
      <c r="E472" s="4" t="s">
        <v>25</v>
      </c>
      <c r="F472" s="4" t="s">
        <v>25</v>
      </c>
      <c r="G472" s="4" t="s">
        <v>25</v>
      </c>
      <c r="H472" s="4" t="s">
        <v>36</v>
      </c>
      <c r="I472" s="5">
        <v>44562</v>
      </c>
      <c r="J472" s="6">
        <v>0</v>
      </c>
      <c r="K472" s="6">
        <v>0</v>
      </c>
      <c r="L472" s="6">
        <v>0.28699999999999998</v>
      </c>
      <c r="M472" s="6">
        <v>0.28699999999999998</v>
      </c>
      <c r="N472" s="6">
        <v>0.28699999999999998</v>
      </c>
      <c r="O472" s="6">
        <v>0.28699999999999998</v>
      </c>
      <c r="P472" s="6">
        <v>0</v>
      </c>
      <c r="Q472" s="4" t="s">
        <v>26</v>
      </c>
      <c r="R472" s="4">
        <v>0</v>
      </c>
      <c r="S472" s="4" t="s">
        <v>220</v>
      </c>
      <c r="T472" s="4" t="s">
        <v>413</v>
      </c>
      <c r="U472" s="4">
        <v>0</v>
      </c>
      <c r="V472" s="4">
        <v>76</v>
      </c>
      <c r="W472" s="4">
        <v>54</v>
      </c>
    </row>
    <row r="473" spans="1:23" ht="11.25" customHeight="1" x14ac:dyDescent="0.3">
      <c r="A473" s="4" t="s">
        <v>21</v>
      </c>
      <c r="B473" s="4" t="s">
        <v>37</v>
      </c>
      <c r="C473" s="4" t="s">
        <v>33</v>
      </c>
      <c r="D473" s="4" t="s">
        <v>38</v>
      </c>
      <c r="E473" s="4" t="s">
        <v>25</v>
      </c>
      <c r="F473" s="4" t="s">
        <v>25</v>
      </c>
      <c r="G473" s="4" t="s">
        <v>25</v>
      </c>
      <c r="H473" s="4" t="s">
        <v>36</v>
      </c>
      <c r="I473" s="5">
        <v>44593</v>
      </c>
      <c r="J473" s="6">
        <v>0</v>
      </c>
      <c r="K473" s="6">
        <v>0</v>
      </c>
      <c r="L473" s="6">
        <v>0.35599999999999998</v>
      </c>
      <c r="M473" s="6">
        <v>0.35599999999999998</v>
      </c>
      <c r="N473" s="6">
        <v>0.35599999999999998</v>
      </c>
      <c r="O473" s="6">
        <v>0.35599999999999998</v>
      </c>
      <c r="P473" s="6">
        <v>0</v>
      </c>
      <c r="Q473" s="4" t="s">
        <v>26</v>
      </c>
      <c r="R473" s="4">
        <v>0</v>
      </c>
      <c r="S473" s="4" t="s">
        <v>221</v>
      </c>
      <c r="T473" s="4" t="s">
        <v>414</v>
      </c>
      <c r="U473" s="4">
        <v>0</v>
      </c>
      <c r="V473" s="4">
        <v>76</v>
      </c>
      <c r="W473" s="4">
        <v>54</v>
      </c>
    </row>
    <row r="474" spans="1:23" ht="11.25" customHeight="1" x14ac:dyDescent="0.3">
      <c r="A474" s="4" t="s">
        <v>21</v>
      </c>
      <c r="B474" s="4" t="s">
        <v>37</v>
      </c>
      <c r="C474" s="4" t="s">
        <v>33</v>
      </c>
      <c r="D474" s="4" t="s">
        <v>38</v>
      </c>
      <c r="E474" s="4" t="s">
        <v>25</v>
      </c>
      <c r="F474" s="4" t="s">
        <v>25</v>
      </c>
      <c r="G474" s="4" t="s">
        <v>25</v>
      </c>
      <c r="H474" s="4" t="s">
        <v>36</v>
      </c>
      <c r="I474" s="5">
        <v>44621</v>
      </c>
      <c r="J474" s="6">
        <v>0</v>
      </c>
      <c r="K474" s="6">
        <v>0</v>
      </c>
      <c r="L474" s="6">
        <v>0.34499999999999997</v>
      </c>
      <c r="M474" s="6">
        <v>0.34499999999999997</v>
      </c>
      <c r="N474" s="6">
        <v>0.34499999999999997</v>
      </c>
      <c r="O474" s="6">
        <v>0.34499999999999997</v>
      </c>
      <c r="P474" s="6">
        <v>0</v>
      </c>
      <c r="Q474" s="4" t="s">
        <v>26</v>
      </c>
      <c r="R474" s="4">
        <v>0</v>
      </c>
      <c r="S474" s="4" t="s">
        <v>222</v>
      </c>
      <c r="T474" s="4" t="s">
        <v>415</v>
      </c>
      <c r="U474" s="4">
        <v>0</v>
      </c>
      <c r="V474" s="4">
        <v>76</v>
      </c>
      <c r="W474" s="4">
        <v>54</v>
      </c>
    </row>
    <row r="475" spans="1:23" ht="11.25" customHeight="1" x14ac:dyDescent="0.3">
      <c r="A475" s="4" t="s">
        <v>21</v>
      </c>
      <c r="B475" s="4" t="s">
        <v>37</v>
      </c>
      <c r="C475" s="4" t="s">
        <v>33</v>
      </c>
      <c r="D475" s="4" t="s">
        <v>38</v>
      </c>
      <c r="E475" s="4" t="s">
        <v>25</v>
      </c>
      <c r="F475" s="4" t="s">
        <v>25</v>
      </c>
      <c r="G475" s="4" t="s">
        <v>25</v>
      </c>
      <c r="H475" s="4" t="s">
        <v>36</v>
      </c>
      <c r="I475" s="5">
        <v>44652</v>
      </c>
      <c r="J475" s="6">
        <v>0</v>
      </c>
      <c r="K475" s="6">
        <v>0</v>
      </c>
      <c r="L475" s="6">
        <v>0.16300000000000001</v>
      </c>
      <c r="M475" s="6">
        <v>0.16300000000000001</v>
      </c>
      <c r="N475" s="6">
        <v>0.16300000000000001</v>
      </c>
      <c r="O475" s="6">
        <v>0.16300000000000001</v>
      </c>
      <c r="P475" s="6">
        <v>0</v>
      </c>
      <c r="Q475" s="4" t="s">
        <v>26</v>
      </c>
      <c r="R475" s="4">
        <v>0</v>
      </c>
      <c r="S475" s="4" t="s">
        <v>223</v>
      </c>
      <c r="T475" s="4" t="s">
        <v>416</v>
      </c>
      <c r="U475" s="4">
        <v>0</v>
      </c>
      <c r="V475" s="4">
        <v>76</v>
      </c>
      <c r="W475" s="4">
        <v>54</v>
      </c>
    </row>
    <row r="476" spans="1:23" ht="11.25" customHeight="1" x14ac:dyDescent="0.3">
      <c r="A476" s="4" t="s">
        <v>21</v>
      </c>
      <c r="B476" s="4" t="s">
        <v>37</v>
      </c>
      <c r="C476" s="4" t="s">
        <v>33</v>
      </c>
      <c r="D476" s="4" t="s">
        <v>38</v>
      </c>
      <c r="E476" s="4" t="s">
        <v>25</v>
      </c>
      <c r="F476" s="4" t="s">
        <v>25</v>
      </c>
      <c r="G476" s="4" t="s">
        <v>25</v>
      </c>
      <c r="H476" s="4" t="s">
        <v>36</v>
      </c>
      <c r="I476" s="5">
        <v>44682</v>
      </c>
      <c r="J476" s="6">
        <v>0</v>
      </c>
      <c r="K476" s="6">
        <v>0</v>
      </c>
      <c r="L476" s="6">
        <v>0.19600000000000001</v>
      </c>
      <c r="M476" s="6">
        <v>0.19600000000000001</v>
      </c>
      <c r="N476" s="6">
        <v>0.19600000000000001</v>
      </c>
      <c r="O476" s="6">
        <v>0.19600000000000001</v>
      </c>
      <c r="P476" s="6">
        <v>0</v>
      </c>
      <c r="Q476" s="4" t="s">
        <v>26</v>
      </c>
      <c r="R476" s="4">
        <v>0</v>
      </c>
      <c r="S476" s="4" t="s">
        <v>224</v>
      </c>
      <c r="T476" s="4" t="s">
        <v>417</v>
      </c>
      <c r="U476" s="4">
        <v>0</v>
      </c>
      <c r="V476" s="4">
        <v>76</v>
      </c>
      <c r="W476" s="4">
        <v>54</v>
      </c>
    </row>
    <row r="477" spans="1:23" ht="11.25" customHeight="1" x14ac:dyDescent="0.3">
      <c r="A477" s="4" t="s">
        <v>21</v>
      </c>
      <c r="B477" s="4" t="s">
        <v>37</v>
      </c>
      <c r="C477" s="4" t="s">
        <v>33</v>
      </c>
      <c r="D477" s="4" t="s">
        <v>38</v>
      </c>
      <c r="E477" s="4" t="s">
        <v>25</v>
      </c>
      <c r="F477" s="4" t="s">
        <v>25</v>
      </c>
      <c r="G477" s="4" t="s">
        <v>25</v>
      </c>
      <c r="H477" s="4" t="s">
        <v>36</v>
      </c>
      <c r="I477" s="5">
        <v>44713</v>
      </c>
      <c r="J477" s="6">
        <v>0</v>
      </c>
      <c r="K477" s="6">
        <v>0</v>
      </c>
      <c r="L477" s="6">
        <v>0.13800000000000001</v>
      </c>
      <c r="M477" s="6">
        <v>0.13800000000000001</v>
      </c>
      <c r="N477" s="6">
        <v>0.13800000000000001</v>
      </c>
      <c r="O477" s="6">
        <v>0.13800000000000001</v>
      </c>
      <c r="P477" s="6">
        <v>0</v>
      </c>
      <c r="Q477" s="4" t="s">
        <v>26</v>
      </c>
      <c r="R477" s="4">
        <v>0</v>
      </c>
      <c r="S477" s="4" t="s">
        <v>225</v>
      </c>
      <c r="T477" s="4" t="s">
        <v>418</v>
      </c>
      <c r="U477" s="4">
        <v>0</v>
      </c>
      <c r="V477" s="4">
        <v>76</v>
      </c>
      <c r="W477" s="4">
        <v>54</v>
      </c>
    </row>
    <row r="478" spans="1:23" ht="11.25" customHeight="1" x14ac:dyDescent="0.3">
      <c r="A478" s="4" t="s">
        <v>21</v>
      </c>
      <c r="B478" s="4" t="s">
        <v>37</v>
      </c>
      <c r="C478" s="4" t="s">
        <v>33</v>
      </c>
      <c r="D478" s="4" t="s">
        <v>38</v>
      </c>
      <c r="E478" s="4" t="s">
        <v>25</v>
      </c>
      <c r="F478" s="4" t="s">
        <v>25</v>
      </c>
      <c r="G478" s="4" t="s">
        <v>25</v>
      </c>
      <c r="H478" s="4" t="s">
        <v>36</v>
      </c>
      <c r="I478" s="5">
        <v>44743</v>
      </c>
      <c r="J478" s="6">
        <v>0</v>
      </c>
      <c r="K478" s="6">
        <v>0</v>
      </c>
      <c r="L478" s="6">
        <v>0.11</v>
      </c>
      <c r="M478" s="6">
        <v>0.11</v>
      </c>
      <c r="N478" s="6">
        <v>0.11</v>
      </c>
      <c r="O478" s="6">
        <v>0.11</v>
      </c>
      <c r="P478" s="6">
        <v>0</v>
      </c>
      <c r="Q478" s="4" t="s">
        <v>26</v>
      </c>
      <c r="R478" s="4">
        <v>0</v>
      </c>
      <c r="S478" s="4" t="s">
        <v>226</v>
      </c>
      <c r="T478" s="4" t="s">
        <v>419</v>
      </c>
      <c r="U478" s="4">
        <v>0</v>
      </c>
      <c r="V478" s="4">
        <v>76</v>
      </c>
      <c r="W478" s="4">
        <v>54</v>
      </c>
    </row>
    <row r="479" spans="1:23" ht="11.25" customHeight="1" x14ac:dyDescent="0.3">
      <c r="A479" s="4" t="s">
        <v>21</v>
      </c>
      <c r="B479" s="4" t="s">
        <v>37</v>
      </c>
      <c r="C479" s="4" t="s">
        <v>33</v>
      </c>
      <c r="D479" s="4" t="s">
        <v>38</v>
      </c>
      <c r="E479" s="4" t="s">
        <v>25</v>
      </c>
      <c r="F479" s="4" t="s">
        <v>25</v>
      </c>
      <c r="G479" s="4" t="s">
        <v>25</v>
      </c>
      <c r="H479" s="4" t="s">
        <v>36</v>
      </c>
      <c r="I479" s="5">
        <v>44774</v>
      </c>
      <c r="J479" s="6">
        <v>0</v>
      </c>
      <c r="K479" s="6">
        <v>0</v>
      </c>
      <c r="L479" s="6">
        <v>0.13700000000000001</v>
      </c>
      <c r="M479" s="6">
        <v>0.13700000000000001</v>
      </c>
      <c r="N479" s="6">
        <v>0.13700000000000001</v>
      </c>
      <c r="O479" s="6">
        <v>0.13700000000000001</v>
      </c>
      <c r="P479" s="6">
        <v>0</v>
      </c>
      <c r="Q479" s="4" t="s">
        <v>26</v>
      </c>
      <c r="R479" s="4">
        <v>0</v>
      </c>
      <c r="S479" s="4" t="s">
        <v>227</v>
      </c>
      <c r="T479" s="4" t="s">
        <v>420</v>
      </c>
      <c r="U479" s="4">
        <v>0</v>
      </c>
      <c r="V479" s="4">
        <v>76</v>
      </c>
      <c r="W479" s="4">
        <v>54</v>
      </c>
    </row>
    <row r="480" spans="1:23" ht="11.25" customHeight="1" x14ac:dyDescent="0.3">
      <c r="A480" s="4" t="s">
        <v>21</v>
      </c>
      <c r="B480" s="4" t="s">
        <v>37</v>
      </c>
      <c r="C480" s="4" t="s">
        <v>33</v>
      </c>
      <c r="D480" s="4" t="s">
        <v>38</v>
      </c>
      <c r="E480" s="4" t="s">
        <v>25</v>
      </c>
      <c r="F480" s="4" t="s">
        <v>25</v>
      </c>
      <c r="G480" s="4" t="s">
        <v>25</v>
      </c>
      <c r="H480" s="4" t="s">
        <v>34</v>
      </c>
      <c r="I480" s="5">
        <v>44440</v>
      </c>
      <c r="J480" s="6">
        <v>0</v>
      </c>
      <c r="K480" s="6">
        <v>0</v>
      </c>
      <c r="L480" s="6">
        <v>0.09</v>
      </c>
      <c r="M480" s="6">
        <v>0.09</v>
      </c>
      <c r="N480" s="6">
        <v>0.09</v>
      </c>
      <c r="O480" s="6">
        <v>0.09</v>
      </c>
      <c r="P480" s="6">
        <v>0</v>
      </c>
      <c r="Q480" s="4" t="s">
        <v>26</v>
      </c>
      <c r="R480" s="4">
        <v>0</v>
      </c>
      <c r="S480" s="4" t="s">
        <v>228</v>
      </c>
      <c r="T480" s="4" t="s">
        <v>421</v>
      </c>
      <c r="U480" s="4">
        <v>0</v>
      </c>
      <c r="V480" s="4">
        <v>44</v>
      </c>
      <c r="W480" s="4">
        <v>65</v>
      </c>
    </row>
    <row r="481" spans="1:23" ht="11.25" customHeight="1" x14ac:dyDescent="0.3">
      <c r="A481" s="4" t="s">
        <v>21</v>
      </c>
      <c r="B481" s="4" t="s">
        <v>37</v>
      </c>
      <c r="C481" s="4" t="s">
        <v>33</v>
      </c>
      <c r="D481" s="4" t="s">
        <v>38</v>
      </c>
      <c r="E481" s="4" t="s">
        <v>25</v>
      </c>
      <c r="F481" s="4" t="s">
        <v>25</v>
      </c>
      <c r="G481" s="4" t="s">
        <v>25</v>
      </c>
      <c r="H481" s="4" t="s">
        <v>34</v>
      </c>
      <c r="I481" s="5">
        <v>44470</v>
      </c>
      <c r="J481" s="6">
        <v>0</v>
      </c>
      <c r="K481" s="6">
        <v>0</v>
      </c>
      <c r="L481" s="6">
        <v>0.14599999999999999</v>
      </c>
      <c r="M481" s="6">
        <v>0.14599999999999999</v>
      </c>
      <c r="N481" s="6">
        <v>0.14599999999999999</v>
      </c>
      <c r="O481" s="6">
        <v>0.14599999999999999</v>
      </c>
      <c r="P481" s="6">
        <v>0</v>
      </c>
      <c r="Q481" s="4" t="s">
        <v>26</v>
      </c>
      <c r="R481" s="4">
        <v>0</v>
      </c>
      <c r="S481" s="4" t="s">
        <v>229</v>
      </c>
      <c r="T481" s="4" t="s">
        <v>422</v>
      </c>
      <c r="U481" s="4">
        <v>0</v>
      </c>
      <c r="V481" s="4">
        <v>44</v>
      </c>
      <c r="W481" s="4">
        <v>65</v>
      </c>
    </row>
    <row r="482" spans="1:23" ht="11.25" customHeight="1" x14ac:dyDescent="0.3">
      <c r="A482" s="4" t="s">
        <v>21</v>
      </c>
      <c r="B482" s="4" t="s">
        <v>37</v>
      </c>
      <c r="C482" s="4" t="s">
        <v>33</v>
      </c>
      <c r="D482" s="4" t="s">
        <v>38</v>
      </c>
      <c r="E482" s="4" t="s">
        <v>25</v>
      </c>
      <c r="F482" s="4" t="s">
        <v>25</v>
      </c>
      <c r="G482" s="4" t="s">
        <v>25</v>
      </c>
      <c r="H482" s="4" t="s">
        <v>34</v>
      </c>
      <c r="I482" s="5">
        <v>44501</v>
      </c>
      <c r="J482" s="6">
        <v>0</v>
      </c>
      <c r="K482" s="6">
        <v>0</v>
      </c>
      <c r="L482" s="6">
        <v>0.109</v>
      </c>
      <c r="M482" s="6">
        <v>0.109</v>
      </c>
      <c r="N482" s="6">
        <v>0.109</v>
      </c>
      <c r="O482" s="6">
        <v>0.109</v>
      </c>
      <c r="P482" s="6">
        <v>0</v>
      </c>
      <c r="Q482" s="4" t="s">
        <v>26</v>
      </c>
      <c r="R482" s="4">
        <v>0</v>
      </c>
      <c r="S482" s="4" t="s">
        <v>230</v>
      </c>
      <c r="T482" s="4" t="s">
        <v>423</v>
      </c>
      <c r="U482" s="4">
        <v>0</v>
      </c>
      <c r="V482" s="4">
        <v>44</v>
      </c>
      <c r="W482" s="4">
        <v>65</v>
      </c>
    </row>
    <row r="483" spans="1:23" ht="11.25" customHeight="1" x14ac:dyDescent="0.3">
      <c r="A483" s="4" t="s">
        <v>21</v>
      </c>
      <c r="B483" s="4" t="s">
        <v>37</v>
      </c>
      <c r="C483" s="4" t="s">
        <v>33</v>
      </c>
      <c r="D483" s="4" t="s">
        <v>38</v>
      </c>
      <c r="E483" s="4" t="s">
        <v>25</v>
      </c>
      <c r="F483" s="4" t="s">
        <v>25</v>
      </c>
      <c r="G483" s="4" t="s">
        <v>25</v>
      </c>
      <c r="H483" s="4" t="s">
        <v>34</v>
      </c>
      <c r="I483" s="5">
        <v>44531</v>
      </c>
      <c r="J483" s="6">
        <v>0</v>
      </c>
      <c r="K483" s="6">
        <v>0</v>
      </c>
      <c r="L483" s="6">
        <v>0.18</v>
      </c>
      <c r="M483" s="6">
        <v>0.18</v>
      </c>
      <c r="N483" s="6">
        <v>0.18</v>
      </c>
      <c r="O483" s="6">
        <v>0.18</v>
      </c>
      <c r="P483" s="6">
        <v>0</v>
      </c>
      <c r="Q483" s="4" t="s">
        <v>26</v>
      </c>
      <c r="R483" s="4">
        <v>0</v>
      </c>
      <c r="S483" s="4" t="s">
        <v>231</v>
      </c>
      <c r="T483" s="4" t="s">
        <v>424</v>
      </c>
      <c r="U483" s="4">
        <v>0</v>
      </c>
      <c r="V483" s="4">
        <v>44</v>
      </c>
      <c r="W483" s="4">
        <v>65</v>
      </c>
    </row>
    <row r="484" spans="1:23" ht="11.25" customHeight="1" x14ac:dyDescent="0.3">
      <c r="A484" s="4" t="s">
        <v>21</v>
      </c>
      <c r="B484" s="4" t="s">
        <v>37</v>
      </c>
      <c r="C484" s="4" t="s">
        <v>33</v>
      </c>
      <c r="D484" s="4" t="s">
        <v>38</v>
      </c>
      <c r="E484" s="4" t="s">
        <v>25</v>
      </c>
      <c r="F484" s="4" t="s">
        <v>25</v>
      </c>
      <c r="G484" s="4" t="s">
        <v>25</v>
      </c>
      <c r="H484" s="4" t="s">
        <v>34</v>
      </c>
      <c r="I484" s="5">
        <v>44562</v>
      </c>
      <c r="J484" s="6">
        <v>0</v>
      </c>
      <c r="K484" s="6">
        <v>0</v>
      </c>
      <c r="L484" s="6">
        <v>0.113</v>
      </c>
      <c r="M484" s="6">
        <v>0.113</v>
      </c>
      <c r="N484" s="6">
        <v>0.113</v>
      </c>
      <c r="O484" s="6">
        <v>0.113</v>
      </c>
      <c r="P484" s="6">
        <v>0</v>
      </c>
      <c r="Q484" s="4" t="s">
        <v>26</v>
      </c>
      <c r="R484" s="4">
        <v>0</v>
      </c>
      <c r="S484" s="4" t="s">
        <v>232</v>
      </c>
      <c r="T484" s="4" t="s">
        <v>425</v>
      </c>
      <c r="U484" s="4">
        <v>0</v>
      </c>
      <c r="V484" s="4">
        <v>44</v>
      </c>
      <c r="W484" s="4">
        <v>65</v>
      </c>
    </row>
    <row r="485" spans="1:23" ht="11.25" customHeight="1" x14ac:dyDescent="0.3">
      <c r="A485" s="4" t="s">
        <v>21</v>
      </c>
      <c r="B485" s="4" t="s">
        <v>37</v>
      </c>
      <c r="C485" s="4" t="s">
        <v>33</v>
      </c>
      <c r="D485" s="4" t="s">
        <v>38</v>
      </c>
      <c r="E485" s="4" t="s">
        <v>25</v>
      </c>
      <c r="F485" s="4" t="s">
        <v>25</v>
      </c>
      <c r="G485" s="4" t="s">
        <v>25</v>
      </c>
      <c r="H485" s="4" t="s">
        <v>34</v>
      </c>
      <c r="I485" s="5">
        <v>44593</v>
      </c>
      <c r="J485" s="6">
        <v>0</v>
      </c>
      <c r="K485" s="6">
        <v>0</v>
      </c>
      <c r="L485" s="6">
        <v>8.5000000000000006E-2</v>
      </c>
      <c r="M485" s="6">
        <v>8.5000000000000006E-2</v>
      </c>
      <c r="N485" s="6">
        <v>8.5000000000000006E-2</v>
      </c>
      <c r="O485" s="6">
        <v>8.5000000000000006E-2</v>
      </c>
      <c r="P485" s="6">
        <v>0</v>
      </c>
      <c r="Q485" s="4" t="s">
        <v>26</v>
      </c>
      <c r="R485" s="4">
        <v>0</v>
      </c>
      <c r="S485" s="4" t="s">
        <v>233</v>
      </c>
      <c r="T485" s="4" t="s">
        <v>426</v>
      </c>
      <c r="U485" s="4">
        <v>0</v>
      </c>
      <c r="V485" s="4">
        <v>44</v>
      </c>
      <c r="W485" s="4">
        <v>65</v>
      </c>
    </row>
    <row r="486" spans="1:23" ht="11.25" customHeight="1" x14ac:dyDescent="0.3">
      <c r="A486" s="4" t="s">
        <v>21</v>
      </c>
      <c r="B486" s="4" t="s">
        <v>37</v>
      </c>
      <c r="C486" s="4" t="s">
        <v>33</v>
      </c>
      <c r="D486" s="4" t="s">
        <v>38</v>
      </c>
      <c r="E486" s="4" t="s">
        <v>25</v>
      </c>
      <c r="F486" s="4" t="s">
        <v>25</v>
      </c>
      <c r="G486" s="4" t="s">
        <v>25</v>
      </c>
      <c r="H486" s="4" t="s">
        <v>34</v>
      </c>
      <c r="I486" s="5">
        <v>44621</v>
      </c>
      <c r="J486" s="6">
        <v>0</v>
      </c>
      <c r="K486" s="6">
        <v>0</v>
      </c>
      <c r="L486" s="6">
        <v>9.7000000000000003E-2</v>
      </c>
      <c r="M486" s="6">
        <v>9.7000000000000003E-2</v>
      </c>
      <c r="N486" s="6">
        <v>9.7000000000000003E-2</v>
      </c>
      <c r="O486" s="6">
        <v>9.7000000000000003E-2</v>
      </c>
      <c r="P486" s="6">
        <v>0</v>
      </c>
      <c r="Q486" s="4" t="s">
        <v>26</v>
      </c>
      <c r="R486" s="4">
        <v>0</v>
      </c>
      <c r="S486" s="4" t="s">
        <v>234</v>
      </c>
      <c r="T486" s="4" t="s">
        <v>427</v>
      </c>
      <c r="U486" s="4">
        <v>0</v>
      </c>
      <c r="V486" s="4">
        <v>44</v>
      </c>
      <c r="W486" s="4">
        <v>65</v>
      </c>
    </row>
    <row r="487" spans="1:23" ht="11.25" customHeight="1" x14ac:dyDescent="0.3">
      <c r="A487" s="4" t="s">
        <v>21</v>
      </c>
      <c r="B487" s="4" t="s">
        <v>37</v>
      </c>
      <c r="C487" s="4" t="s">
        <v>33</v>
      </c>
      <c r="D487" s="4" t="s">
        <v>38</v>
      </c>
      <c r="E487" s="4" t="s">
        <v>25</v>
      </c>
      <c r="F487" s="4" t="s">
        <v>25</v>
      </c>
      <c r="G487" s="4" t="s">
        <v>25</v>
      </c>
      <c r="H487" s="4" t="s">
        <v>34</v>
      </c>
      <c r="I487" s="5">
        <v>44652</v>
      </c>
      <c r="J487" s="6">
        <v>0</v>
      </c>
      <c r="K487" s="6">
        <v>0</v>
      </c>
      <c r="L487" s="6">
        <v>7.4999999999999997E-2</v>
      </c>
      <c r="M487" s="6">
        <v>7.4999999999999997E-2</v>
      </c>
      <c r="N487" s="6">
        <v>7.4999999999999997E-2</v>
      </c>
      <c r="O487" s="6">
        <v>7.4999999999999997E-2</v>
      </c>
      <c r="P487" s="6">
        <v>0</v>
      </c>
      <c r="Q487" s="4" t="s">
        <v>26</v>
      </c>
      <c r="R487" s="4">
        <v>0</v>
      </c>
      <c r="S487" s="4" t="s">
        <v>235</v>
      </c>
      <c r="T487" s="4" t="s">
        <v>428</v>
      </c>
      <c r="U487" s="4">
        <v>0</v>
      </c>
      <c r="V487" s="4">
        <v>44</v>
      </c>
      <c r="W487" s="4">
        <v>65</v>
      </c>
    </row>
    <row r="488" spans="1:23" ht="11.25" customHeight="1" x14ac:dyDescent="0.3">
      <c r="A488" s="4" t="s">
        <v>21</v>
      </c>
      <c r="B488" s="4" t="s">
        <v>37</v>
      </c>
      <c r="C488" s="4" t="s">
        <v>33</v>
      </c>
      <c r="D488" s="4" t="s">
        <v>38</v>
      </c>
      <c r="E488" s="4" t="s">
        <v>25</v>
      </c>
      <c r="F488" s="4" t="s">
        <v>25</v>
      </c>
      <c r="G488" s="4" t="s">
        <v>25</v>
      </c>
      <c r="H488" s="4" t="s">
        <v>34</v>
      </c>
      <c r="I488" s="5">
        <v>44682</v>
      </c>
      <c r="J488" s="6">
        <v>0</v>
      </c>
      <c r="K488" s="6">
        <v>0</v>
      </c>
      <c r="L488" s="6">
        <v>6.4000000000000001E-2</v>
      </c>
      <c r="M488" s="6">
        <v>6.4000000000000001E-2</v>
      </c>
      <c r="N488" s="6">
        <v>6.4000000000000001E-2</v>
      </c>
      <c r="O488" s="6">
        <v>6.4000000000000001E-2</v>
      </c>
      <c r="P488" s="6">
        <v>0</v>
      </c>
      <c r="Q488" s="4" t="s">
        <v>26</v>
      </c>
      <c r="R488" s="4">
        <v>0</v>
      </c>
      <c r="S488" s="4" t="s">
        <v>236</v>
      </c>
      <c r="T488" s="4" t="s">
        <v>429</v>
      </c>
      <c r="U488" s="4">
        <v>0</v>
      </c>
      <c r="V488" s="4">
        <v>44</v>
      </c>
      <c r="W488" s="4">
        <v>65</v>
      </c>
    </row>
    <row r="489" spans="1:23" ht="11.25" customHeight="1" x14ac:dyDescent="0.3">
      <c r="A489" s="4" t="s">
        <v>21</v>
      </c>
      <c r="B489" s="4" t="s">
        <v>37</v>
      </c>
      <c r="C489" s="4" t="s">
        <v>33</v>
      </c>
      <c r="D489" s="4" t="s">
        <v>38</v>
      </c>
      <c r="E489" s="4" t="s">
        <v>25</v>
      </c>
      <c r="F489" s="4" t="s">
        <v>25</v>
      </c>
      <c r="G489" s="4" t="s">
        <v>25</v>
      </c>
      <c r="H489" s="4" t="s">
        <v>34</v>
      </c>
      <c r="I489" s="5">
        <v>44713</v>
      </c>
      <c r="J489" s="6">
        <v>0</v>
      </c>
      <c r="K489" s="6">
        <v>0</v>
      </c>
      <c r="L489" s="6">
        <v>4.8000000000000001E-2</v>
      </c>
      <c r="M489" s="6">
        <v>4.8000000000000001E-2</v>
      </c>
      <c r="N489" s="6">
        <v>4.8000000000000001E-2</v>
      </c>
      <c r="O489" s="6">
        <v>4.8000000000000001E-2</v>
      </c>
      <c r="P489" s="6">
        <v>0</v>
      </c>
      <c r="Q489" s="4" t="s">
        <v>26</v>
      </c>
      <c r="R489" s="4">
        <v>0</v>
      </c>
      <c r="S489" s="4" t="s">
        <v>237</v>
      </c>
      <c r="T489" s="4" t="s">
        <v>430</v>
      </c>
      <c r="U489" s="4">
        <v>0</v>
      </c>
      <c r="V489" s="4">
        <v>44</v>
      </c>
      <c r="W489" s="4">
        <v>65</v>
      </c>
    </row>
    <row r="490" spans="1:23" ht="11.25" customHeight="1" x14ac:dyDescent="0.3">
      <c r="A490" s="4" t="s">
        <v>21</v>
      </c>
      <c r="B490" s="4" t="s">
        <v>37</v>
      </c>
      <c r="C490" s="4" t="s">
        <v>33</v>
      </c>
      <c r="D490" s="4" t="s">
        <v>38</v>
      </c>
      <c r="E490" s="4" t="s">
        <v>25</v>
      </c>
      <c r="F490" s="4" t="s">
        <v>25</v>
      </c>
      <c r="G490" s="4" t="s">
        <v>25</v>
      </c>
      <c r="H490" s="4" t="s">
        <v>34</v>
      </c>
      <c r="I490" s="5">
        <v>44743</v>
      </c>
      <c r="J490" s="6">
        <v>0</v>
      </c>
      <c r="K490" s="6">
        <v>0</v>
      </c>
      <c r="L490" s="6">
        <v>0.05</v>
      </c>
      <c r="M490" s="6">
        <v>0.05</v>
      </c>
      <c r="N490" s="6">
        <v>0.05</v>
      </c>
      <c r="O490" s="6">
        <v>0.05</v>
      </c>
      <c r="P490" s="6">
        <v>0</v>
      </c>
      <c r="Q490" s="4" t="s">
        <v>26</v>
      </c>
      <c r="R490" s="4">
        <v>0</v>
      </c>
      <c r="S490" s="4" t="s">
        <v>238</v>
      </c>
      <c r="T490" s="4" t="s">
        <v>431</v>
      </c>
      <c r="U490" s="4">
        <v>0</v>
      </c>
      <c r="V490" s="4">
        <v>44</v>
      </c>
      <c r="W490" s="4">
        <v>65</v>
      </c>
    </row>
    <row r="491" spans="1:23" ht="11.25" customHeight="1" x14ac:dyDescent="0.3">
      <c r="A491" s="4" t="s">
        <v>21</v>
      </c>
      <c r="B491" s="4" t="s">
        <v>37</v>
      </c>
      <c r="C491" s="4" t="s">
        <v>33</v>
      </c>
      <c r="D491" s="4" t="s">
        <v>38</v>
      </c>
      <c r="E491" s="4" t="s">
        <v>25</v>
      </c>
      <c r="F491" s="4" t="s">
        <v>25</v>
      </c>
      <c r="G491" s="4" t="s">
        <v>25</v>
      </c>
      <c r="H491" s="4" t="s">
        <v>34</v>
      </c>
      <c r="I491" s="5">
        <v>44774</v>
      </c>
      <c r="J491" s="6">
        <v>0</v>
      </c>
      <c r="K491" s="6">
        <v>0</v>
      </c>
      <c r="L491" s="6">
        <v>6.6000000000000003E-2</v>
      </c>
      <c r="M491" s="6">
        <v>6.6000000000000003E-2</v>
      </c>
      <c r="N491" s="6">
        <v>6.6000000000000003E-2</v>
      </c>
      <c r="O491" s="6">
        <v>6.6000000000000003E-2</v>
      </c>
      <c r="P491" s="6">
        <v>0</v>
      </c>
      <c r="Q491" s="4" t="s">
        <v>26</v>
      </c>
      <c r="R491" s="4">
        <v>0</v>
      </c>
      <c r="S491" s="4" t="s">
        <v>239</v>
      </c>
      <c r="T491" s="4" t="s">
        <v>432</v>
      </c>
      <c r="U491" s="4">
        <v>0</v>
      </c>
      <c r="V491" s="4">
        <v>44</v>
      </c>
      <c r="W491" s="4">
        <v>65</v>
      </c>
    </row>
    <row r="492" spans="1:23" ht="11.25" customHeight="1" x14ac:dyDescent="0.3">
      <c r="A492" s="4" t="s">
        <v>21</v>
      </c>
      <c r="B492" s="4" t="s">
        <v>37</v>
      </c>
      <c r="C492" s="4" t="s">
        <v>23</v>
      </c>
      <c r="D492" s="4" t="s">
        <v>41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44440</v>
      </c>
      <c r="J492" s="6">
        <v>0</v>
      </c>
      <c r="K492" s="6">
        <v>0</v>
      </c>
      <c r="L492" s="6">
        <v>843.88099999999997</v>
      </c>
      <c r="M492" s="6">
        <v>843.88099999999997</v>
      </c>
      <c r="N492" s="6">
        <v>843.88099999999997</v>
      </c>
      <c r="O492" s="6">
        <v>843.88099999999997</v>
      </c>
      <c r="P492" s="6">
        <v>1111</v>
      </c>
      <c r="Q492" s="4" t="s">
        <v>26</v>
      </c>
      <c r="R492" s="4">
        <v>0</v>
      </c>
      <c r="S492" s="4" t="s">
        <v>240</v>
      </c>
      <c r="T492" s="4" t="s">
        <v>433</v>
      </c>
      <c r="U492" s="4">
        <v>0</v>
      </c>
      <c r="V492" s="4">
        <v>36</v>
      </c>
      <c r="W492" s="4">
        <v>81</v>
      </c>
    </row>
    <row r="493" spans="1:23" ht="11.25" customHeight="1" x14ac:dyDescent="0.3">
      <c r="A493" s="4" t="s">
        <v>28</v>
      </c>
      <c r="B493" s="4" t="s">
        <v>37</v>
      </c>
      <c r="C493" s="4" t="s">
        <v>23</v>
      </c>
      <c r="D493" s="4" t="s">
        <v>41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44440</v>
      </c>
      <c r="J493" s="6">
        <v>0</v>
      </c>
      <c r="K493" s="6">
        <v>0</v>
      </c>
      <c r="L493" s="6">
        <v>57.822000000000003</v>
      </c>
      <c r="M493" s="6">
        <v>57.822000000000003</v>
      </c>
      <c r="N493" s="6">
        <v>57.822000000000003</v>
      </c>
      <c r="O493" s="6">
        <v>57.822000000000003</v>
      </c>
      <c r="P493" s="6">
        <v>48</v>
      </c>
      <c r="Q493" s="4" t="s">
        <v>26</v>
      </c>
      <c r="R493" s="4">
        <v>0</v>
      </c>
      <c r="S493" s="4" t="s">
        <v>240</v>
      </c>
      <c r="T493" s="4" t="s">
        <v>433</v>
      </c>
      <c r="U493" s="4">
        <v>0</v>
      </c>
      <c r="V493" s="4">
        <v>36</v>
      </c>
      <c r="W493" s="4">
        <v>81</v>
      </c>
    </row>
    <row r="494" spans="1:23" ht="11.25" customHeight="1" x14ac:dyDescent="0.3">
      <c r="A494" s="4" t="s">
        <v>21</v>
      </c>
      <c r="B494" s="4" t="s">
        <v>37</v>
      </c>
      <c r="C494" s="4" t="s">
        <v>23</v>
      </c>
      <c r="D494" s="4" t="s">
        <v>41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44470</v>
      </c>
      <c r="J494" s="6">
        <v>0</v>
      </c>
      <c r="K494" s="6">
        <v>0</v>
      </c>
      <c r="L494" s="6">
        <v>817.37800000000004</v>
      </c>
      <c r="M494" s="6">
        <v>817.37800000000004</v>
      </c>
      <c r="N494" s="6">
        <v>817.37800000000004</v>
      </c>
      <c r="O494" s="6">
        <v>817.37800000000004</v>
      </c>
      <c r="P494" s="6">
        <v>1126</v>
      </c>
      <c r="Q494" s="4" t="s">
        <v>26</v>
      </c>
      <c r="R494" s="4">
        <v>0</v>
      </c>
      <c r="S494" s="4" t="s">
        <v>241</v>
      </c>
      <c r="T494" s="4" t="s">
        <v>434</v>
      </c>
      <c r="U494" s="4">
        <v>0</v>
      </c>
      <c r="V494" s="4">
        <v>36</v>
      </c>
      <c r="W494" s="4">
        <v>81</v>
      </c>
    </row>
    <row r="495" spans="1:23" ht="11.25" customHeight="1" x14ac:dyDescent="0.3">
      <c r="A495" s="4" t="s">
        <v>28</v>
      </c>
      <c r="B495" s="4" t="s">
        <v>37</v>
      </c>
      <c r="C495" s="4" t="s">
        <v>23</v>
      </c>
      <c r="D495" s="4" t="s">
        <v>41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44470</v>
      </c>
      <c r="J495" s="6">
        <v>0</v>
      </c>
      <c r="K495" s="6">
        <v>0</v>
      </c>
      <c r="L495" s="6">
        <v>58.777000000000001</v>
      </c>
      <c r="M495" s="6">
        <v>58.777000000000001</v>
      </c>
      <c r="N495" s="6">
        <v>58.777000000000001</v>
      </c>
      <c r="O495" s="6">
        <v>58.777000000000001</v>
      </c>
      <c r="P495" s="6">
        <v>49</v>
      </c>
      <c r="Q495" s="4" t="s">
        <v>26</v>
      </c>
      <c r="R495" s="4">
        <v>0</v>
      </c>
      <c r="S495" s="4" t="s">
        <v>241</v>
      </c>
      <c r="T495" s="4" t="s">
        <v>434</v>
      </c>
      <c r="U495" s="4">
        <v>0</v>
      </c>
      <c r="V495" s="4">
        <v>36</v>
      </c>
      <c r="W495" s="4">
        <v>81</v>
      </c>
    </row>
    <row r="496" spans="1:23" ht="11.25" customHeight="1" x14ac:dyDescent="0.3">
      <c r="A496" s="4" t="s">
        <v>21</v>
      </c>
      <c r="B496" s="4" t="s">
        <v>37</v>
      </c>
      <c r="C496" s="4" t="s">
        <v>23</v>
      </c>
      <c r="D496" s="4" t="s">
        <v>41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44501</v>
      </c>
      <c r="J496" s="6">
        <v>0</v>
      </c>
      <c r="K496" s="6">
        <v>0</v>
      </c>
      <c r="L496" s="6">
        <v>889.322</v>
      </c>
      <c r="M496" s="6">
        <v>889.322</v>
      </c>
      <c r="N496" s="6">
        <v>889.322</v>
      </c>
      <c r="O496" s="6">
        <v>889.322</v>
      </c>
      <c r="P496" s="6">
        <v>1125</v>
      </c>
      <c r="Q496" s="4" t="s">
        <v>26</v>
      </c>
      <c r="R496" s="4">
        <v>0</v>
      </c>
      <c r="S496" s="4" t="s">
        <v>242</v>
      </c>
      <c r="T496" s="4" t="s">
        <v>435</v>
      </c>
      <c r="U496" s="4">
        <v>0</v>
      </c>
      <c r="V496" s="4">
        <v>36</v>
      </c>
      <c r="W496" s="4">
        <v>81</v>
      </c>
    </row>
    <row r="497" spans="1:23" ht="11.25" customHeight="1" x14ac:dyDescent="0.3">
      <c r="A497" s="4" t="s">
        <v>28</v>
      </c>
      <c r="B497" s="4" t="s">
        <v>37</v>
      </c>
      <c r="C497" s="4" t="s">
        <v>23</v>
      </c>
      <c r="D497" s="4" t="s">
        <v>41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44501</v>
      </c>
      <c r="J497" s="6">
        <v>0</v>
      </c>
      <c r="K497" s="6">
        <v>0</v>
      </c>
      <c r="L497" s="6">
        <v>41.744999999999997</v>
      </c>
      <c r="M497" s="6">
        <v>41.744999999999997</v>
      </c>
      <c r="N497" s="6">
        <v>41.744999999999997</v>
      </c>
      <c r="O497" s="6">
        <v>41.744999999999997</v>
      </c>
      <c r="P497" s="6">
        <v>53</v>
      </c>
      <c r="Q497" s="4" t="s">
        <v>26</v>
      </c>
      <c r="R497" s="4">
        <v>0</v>
      </c>
      <c r="S497" s="4" t="s">
        <v>242</v>
      </c>
      <c r="T497" s="4" t="s">
        <v>435</v>
      </c>
      <c r="U497" s="4">
        <v>0</v>
      </c>
      <c r="V497" s="4">
        <v>36</v>
      </c>
      <c r="W497" s="4">
        <v>81</v>
      </c>
    </row>
    <row r="498" spans="1:23" ht="11.25" customHeight="1" x14ac:dyDescent="0.3">
      <c r="A498" s="4" t="s">
        <v>21</v>
      </c>
      <c r="B498" s="4" t="s">
        <v>37</v>
      </c>
      <c r="C498" s="4" t="s">
        <v>23</v>
      </c>
      <c r="D498" s="4" t="s">
        <v>41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44531</v>
      </c>
      <c r="J498" s="6">
        <v>0</v>
      </c>
      <c r="K498" s="6">
        <v>0</v>
      </c>
      <c r="L498" s="6">
        <v>874.52700000000004</v>
      </c>
      <c r="M498" s="6">
        <v>874.52700000000004</v>
      </c>
      <c r="N498" s="6">
        <v>874.52700000000004</v>
      </c>
      <c r="O498" s="6">
        <v>874.52700000000004</v>
      </c>
      <c r="P498" s="6">
        <v>1133</v>
      </c>
      <c r="Q498" s="4" t="s">
        <v>26</v>
      </c>
      <c r="R498" s="4">
        <v>0</v>
      </c>
      <c r="S498" s="4" t="s">
        <v>243</v>
      </c>
      <c r="T498" s="4" t="s">
        <v>436</v>
      </c>
      <c r="U498" s="4">
        <v>0</v>
      </c>
      <c r="V498" s="4">
        <v>36</v>
      </c>
      <c r="W498" s="4">
        <v>81</v>
      </c>
    </row>
    <row r="499" spans="1:23" ht="11.25" customHeight="1" x14ac:dyDescent="0.3">
      <c r="A499" s="4" t="s">
        <v>28</v>
      </c>
      <c r="B499" s="4" t="s">
        <v>37</v>
      </c>
      <c r="C499" s="4" t="s">
        <v>23</v>
      </c>
      <c r="D499" s="4" t="s">
        <v>41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44531</v>
      </c>
      <c r="J499" s="6">
        <v>0</v>
      </c>
      <c r="K499" s="6">
        <v>0</v>
      </c>
      <c r="L499" s="6">
        <v>32.83</v>
      </c>
      <c r="M499" s="6">
        <v>32.83</v>
      </c>
      <c r="N499" s="6">
        <v>32.83</v>
      </c>
      <c r="O499" s="6">
        <v>32.83</v>
      </c>
      <c r="P499" s="6">
        <v>54</v>
      </c>
      <c r="Q499" s="4" t="s">
        <v>26</v>
      </c>
      <c r="R499" s="4">
        <v>0</v>
      </c>
      <c r="S499" s="4" t="s">
        <v>243</v>
      </c>
      <c r="T499" s="4" t="s">
        <v>436</v>
      </c>
      <c r="U499" s="4">
        <v>0</v>
      </c>
      <c r="V499" s="4">
        <v>36</v>
      </c>
      <c r="W499" s="4">
        <v>81</v>
      </c>
    </row>
    <row r="500" spans="1:23" ht="11.25" customHeight="1" x14ac:dyDescent="0.3">
      <c r="A500" s="4" t="s">
        <v>21</v>
      </c>
      <c r="B500" s="4" t="s">
        <v>37</v>
      </c>
      <c r="C500" s="4" t="s">
        <v>23</v>
      </c>
      <c r="D500" s="4" t="s">
        <v>41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44562</v>
      </c>
      <c r="J500" s="6">
        <v>0</v>
      </c>
      <c r="K500" s="6">
        <v>0</v>
      </c>
      <c r="L500" s="6">
        <v>1291.8989999999999</v>
      </c>
      <c r="M500" s="6">
        <v>1291.8989999999999</v>
      </c>
      <c r="N500" s="6">
        <v>1291.8989999999999</v>
      </c>
      <c r="O500" s="6">
        <v>1291.8989999999999</v>
      </c>
      <c r="P500" s="6">
        <v>1135</v>
      </c>
      <c r="Q500" s="4" t="s">
        <v>26</v>
      </c>
      <c r="R500" s="4">
        <v>0</v>
      </c>
      <c r="S500" s="4" t="s">
        <v>244</v>
      </c>
      <c r="T500" s="4" t="s">
        <v>437</v>
      </c>
      <c r="U500" s="4">
        <v>0</v>
      </c>
      <c r="V500" s="4">
        <v>36</v>
      </c>
      <c r="W500" s="4">
        <v>81</v>
      </c>
    </row>
    <row r="501" spans="1:23" ht="11.25" customHeight="1" x14ac:dyDescent="0.3">
      <c r="A501" s="4" t="s">
        <v>27</v>
      </c>
      <c r="B501" s="4" t="s">
        <v>37</v>
      </c>
      <c r="C501" s="4" t="s">
        <v>23</v>
      </c>
      <c r="D501" s="4" t="s">
        <v>41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44562</v>
      </c>
      <c r="J501" s="6">
        <v>0</v>
      </c>
      <c r="K501" s="6">
        <v>0</v>
      </c>
      <c r="L501" s="6">
        <v>-2.7050000000000001</v>
      </c>
      <c r="M501" s="6">
        <v>-2.7050000000000001</v>
      </c>
      <c r="N501" s="6">
        <v>-2.7050000000000001</v>
      </c>
      <c r="O501" s="6">
        <v>-2.7050000000000001</v>
      </c>
      <c r="P501" s="6">
        <v>0</v>
      </c>
      <c r="Q501" s="4" t="s">
        <v>26</v>
      </c>
      <c r="R501" s="4">
        <v>0</v>
      </c>
      <c r="S501" s="4" t="s">
        <v>244</v>
      </c>
      <c r="T501" s="4" t="s">
        <v>437</v>
      </c>
      <c r="U501" s="4">
        <v>0</v>
      </c>
      <c r="V501" s="4">
        <v>36</v>
      </c>
      <c r="W501" s="4">
        <v>81</v>
      </c>
    </row>
    <row r="502" spans="1:23" ht="11.25" customHeight="1" x14ac:dyDescent="0.3">
      <c r="A502" s="4" t="s">
        <v>28</v>
      </c>
      <c r="B502" s="4" t="s">
        <v>37</v>
      </c>
      <c r="C502" s="4" t="s">
        <v>23</v>
      </c>
      <c r="D502" s="4" t="s">
        <v>41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44562</v>
      </c>
      <c r="J502" s="6">
        <v>0</v>
      </c>
      <c r="K502" s="6">
        <v>0</v>
      </c>
      <c r="L502" s="6">
        <v>65.289000000000001</v>
      </c>
      <c r="M502" s="6">
        <v>65.289000000000001</v>
      </c>
      <c r="N502" s="6">
        <v>65.289000000000001</v>
      </c>
      <c r="O502" s="6">
        <v>65.289000000000001</v>
      </c>
      <c r="P502" s="6">
        <v>61</v>
      </c>
      <c r="Q502" s="4" t="s">
        <v>26</v>
      </c>
      <c r="R502" s="4">
        <v>0</v>
      </c>
      <c r="S502" s="4" t="s">
        <v>244</v>
      </c>
      <c r="T502" s="4" t="s">
        <v>437</v>
      </c>
      <c r="U502" s="4">
        <v>0</v>
      </c>
      <c r="V502" s="4">
        <v>36</v>
      </c>
      <c r="W502" s="4">
        <v>81</v>
      </c>
    </row>
    <row r="503" spans="1:23" ht="11.25" customHeight="1" x14ac:dyDescent="0.3">
      <c r="A503" s="4" t="s">
        <v>21</v>
      </c>
      <c r="B503" s="4" t="s">
        <v>37</v>
      </c>
      <c r="C503" s="4" t="s">
        <v>23</v>
      </c>
      <c r="D503" s="4" t="s">
        <v>41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44593</v>
      </c>
      <c r="J503" s="6">
        <v>0</v>
      </c>
      <c r="K503" s="6">
        <v>0</v>
      </c>
      <c r="L503" s="6">
        <v>1345.3910000000001</v>
      </c>
      <c r="M503" s="6">
        <v>1345.3910000000001</v>
      </c>
      <c r="N503" s="6">
        <v>1345.3910000000001</v>
      </c>
      <c r="O503" s="6">
        <v>1345.3910000000001</v>
      </c>
      <c r="P503" s="6">
        <v>1141</v>
      </c>
      <c r="Q503" s="4" t="s">
        <v>26</v>
      </c>
      <c r="R503" s="4">
        <v>0</v>
      </c>
      <c r="S503" s="4" t="s">
        <v>245</v>
      </c>
      <c r="T503" s="4" t="s">
        <v>438</v>
      </c>
      <c r="U503" s="4">
        <v>0</v>
      </c>
      <c r="V503" s="4">
        <v>36</v>
      </c>
      <c r="W503" s="4">
        <v>81</v>
      </c>
    </row>
    <row r="504" spans="1:23" ht="11.25" customHeight="1" x14ac:dyDescent="0.3">
      <c r="A504" s="4" t="s">
        <v>27</v>
      </c>
      <c r="B504" s="4" t="s">
        <v>37</v>
      </c>
      <c r="C504" s="4" t="s">
        <v>23</v>
      </c>
      <c r="D504" s="4" t="s">
        <v>41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44593</v>
      </c>
      <c r="J504" s="6">
        <v>0</v>
      </c>
      <c r="K504" s="6">
        <v>0</v>
      </c>
      <c r="L504" s="6">
        <v>-2.3180000000000001</v>
      </c>
      <c r="M504" s="6">
        <v>-2.3180000000000001</v>
      </c>
      <c r="N504" s="6">
        <v>-2.3180000000000001</v>
      </c>
      <c r="O504" s="6">
        <v>-2.3180000000000001</v>
      </c>
      <c r="P504" s="6">
        <v>0</v>
      </c>
      <c r="Q504" s="4" t="s">
        <v>26</v>
      </c>
      <c r="R504" s="4">
        <v>0</v>
      </c>
      <c r="S504" s="4" t="s">
        <v>245</v>
      </c>
      <c r="T504" s="4" t="s">
        <v>438</v>
      </c>
      <c r="U504" s="4">
        <v>0</v>
      </c>
      <c r="V504" s="4">
        <v>36</v>
      </c>
      <c r="W504" s="4">
        <v>81</v>
      </c>
    </row>
    <row r="505" spans="1:23" ht="11.25" customHeight="1" x14ac:dyDescent="0.3">
      <c r="A505" s="4" t="s">
        <v>21</v>
      </c>
      <c r="B505" s="4" t="s">
        <v>37</v>
      </c>
      <c r="C505" s="4" t="s">
        <v>23</v>
      </c>
      <c r="D505" s="4" t="s">
        <v>41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44621</v>
      </c>
      <c r="J505" s="6">
        <v>0</v>
      </c>
      <c r="K505" s="6">
        <v>0</v>
      </c>
      <c r="L505" s="6">
        <v>1332.6220000000001</v>
      </c>
      <c r="M505" s="6">
        <v>1332.6220000000001</v>
      </c>
      <c r="N505" s="6">
        <v>1332.6220000000001</v>
      </c>
      <c r="O505" s="6">
        <v>1332.6220000000001</v>
      </c>
      <c r="P505" s="6">
        <v>1142</v>
      </c>
      <c r="Q505" s="4" t="s">
        <v>26</v>
      </c>
      <c r="R505" s="4">
        <v>0</v>
      </c>
      <c r="S505" s="4" t="s">
        <v>246</v>
      </c>
      <c r="T505" s="4" t="s">
        <v>439</v>
      </c>
      <c r="U505" s="4">
        <v>0</v>
      </c>
      <c r="V505" s="4">
        <v>36</v>
      </c>
      <c r="W505" s="4">
        <v>81</v>
      </c>
    </row>
    <row r="506" spans="1:23" ht="11.25" customHeight="1" x14ac:dyDescent="0.3">
      <c r="A506" s="4" t="s">
        <v>28</v>
      </c>
      <c r="B506" s="4" t="s">
        <v>37</v>
      </c>
      <c r="C506" s="4" t="s">
        <v>23</v>
      </c>
      <c r="D506" s="4" t="s">
        <v>41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44621</v>
      </c>
      <c r="J506" s="6">
        <v>0</v>
      </c>
      <c r="K506" s="6">
        <v>0</v>
      </c>
      <c r="L506" s="6">
        <v>104.91</v>
      </c>
      <c r="M506" s="6">
        <v>104.91</v>
      </c>
      <c r="N506" s="6">
        <v>104.91</v>
      </c>
      <c r="O506" s="6">
        <v>104.91</v>
      </c>
      <c r="P506" s="6">
        <v>71</v>
      </c>
      <c r="Q506" s="4" t="s">
        <v>26</v>
      </c>
      <c r="R506" s="4">
        <v>0</v>
      </c>
      <c r="S506" s="4" t="s">
        <v>246</v>
      </c>
      <c r="T506" s="4" t="s">
        <v>439</v>
      </c>
      <c r="U506" s="4">
        <v>0</v>
      </c>
      <c r="V506" s="4">
        <v>36</v>
      </c>
      <c r="W506" s="4">
        <v>81</v>
      </c>
    </row>
    <row r="507" spans="1:23" ht="11.25" customHeight="1" x14ac:dyDescent="0.3">
      <c r="A507" s="4" t="s">
        <v>21</v>
      </c>
      <c r="B507" s="4" t="s">
        <v>37</v>
      </c>
      <c r="C507" s="4" t="s">
        <v>23</v>
      </c>
      <c r="D507" s="4" t="s">
        <v>41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44652</v>
      </c>
      <c r="J507" s="6">
        <v>0</v>
      </c>
      <c r="K507" s="6">
        <v>0</v>
      </c>
      <c r="L507" s="6">
        <v>1018.1559999999999</v>
      </c>
      <c r="M507" s="6">
        <v>1018.1559999999999</v>
      </c>
      <c r="N507" s="6">
        <v>1018.1559999999999</v>
      </c>
      <c r="O507" s="6">
        <v>1018.1559999999999</v>
      </c>
      <c r="P507" s="6">
        <v>1144</v>
      </c>
      <c r="Q507" s="4" t="s">
        <v>26</v>
      </c>
      <c r="R507" s="4">
        <v>0</v>
      </c>
      <c r="S507" s="4" t="s">
        <v>247</v>
      </c>
      <c r="T507" s="4" t="s">
        <v>440</v>
      </c>
      <c r="U507" s="4">
        <v>0</v>
      </c>
      <c r="V507" s="4">
        <v>36</v>
      </c>
      <c r="W507" s="4">
        <v>81</v>
      </c>
    </row>
    <row r="508" spans="1:23" ht="11.25" customHeight="1" x14ac:dyDescent="0.3">
      <c r="A508" s="4" t="s">
        <v>28</v>
      </c>
      <c r="B508" s="4" t="s">
        <v>37</v>
      </c>
      <c r="C508" s="4" t="s">
        <v>23</v>
      </c>
      <c r="D508" s="4" t="s">
        <v>41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44652</v>
      </c>
      <c r="J508" s="6">
        <v>0</v>
      </c>
      <c r="K508" s="6">
        <v>0</v>
      </c>
      <c r="L508" s="6">
        <v>65.734999999999999</v>
      </c>
      <c r="M508" s="6">
        <v>65.734999999999999</v>
      </c>
      <c r="N508" s="6">
        <v>65.734999999999999</v>
      </c>
      <c r="O508" s="6">
        <v>65.734999999999999</v>
      </c>
      <c r="P508" s="6">
        <v>71</v>
      </c>
      <c r="Q508" s="4" t="s">
        <v>26</v>
      </c>
      <c r="R508" s="4">
        <v>0</v>
      </c>
      <c r="S508" s="4" t="s">
        <v>247</v>
      </c>
      <c r="T508" s="4" t="s">
        <v>440</v>
      </c>
      <c r="U508" s="4">
        <v>0</v>
      </c>
      <c r="V508" s="4">
        <v>36</v>
      </c>
      <c r="W508" s="4">
        <v>81</v>
      </c>
    </row>
    <row r="509" spans="1:23" ht="11.25" customHeight="1" x14ac:dyDescent="0.3">
      <c r="A509" s="4" t="s">
        <v>21</v>
      </c>
      <c r="B509" s="4" t="s">
        <v>37</v>
      </c>
      <c r="C509" s="4" t="s">
        <v>23</v>
      </c>
      <c r="D509" s="4" t="s">
        <v>41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44682</v>
      </c>
      <c r="J509" s="6">
        <v>0</v>
      </c>
      <c r="K509" s="6">
        <v>0</v>
      </c>
      <c r="L509" s="6">
        <v>842.15899999999999</v>
      </c>
      <c r="M509" s="6">
        <v>842.15899999999999</v>
      </c>
      <c r="N509" s="6">
        <v>842.15899999999999</v>
      </c>
      <c r="O509" s="6">
        <v>842.15899999999999</v>
      </c>
      <c r="P509" s="6">
        <v>1132</v>
      </c>
      <c r="Q509" s="4" t="s">
        <v>26</v>
      </c>
      <c r="R509" s="4">
        <v>0</v>
      </c>
      <c r="S509" s="4" t="s">
        <v>248</v>
      </c>
      <c r="T509" s="4" t="s">
        <v>441</v>
      </c>
      <c r="U509" s="4">
        <v>0</v>
      </c>
      <c r="V509" s="4">
        <v>36</v>
      </c>
      <c r="W509" s="4">
        <v>81</v>
      </c>
    </row>
    <row r="510" spans="1:23" ht="11.25" customHeight="1" x14ac:dyDescent="0.3">
      <c r="A510" s="4" t="s">
        <v>28</v>
      </c>
      <c r="B510" s="4" t="s">
        <v>37</v>
      </c>
      <c r="C510" s="4" t="s">
        <v>23</v>
      </c>
      <c r="D510" s="4" t="s">
        <v>41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44682</v>
      </c>
      <c r="J510" s="6">
        <v>0</v>
      </c>
      <c r="K510" s="6">
        <v>0</v>
      </c>
      <c r="L510" s="6">
        <v>70.533000000000001</v>
      </c>
      <c r="M510" s="6">
        <v>70.533000000000001</v>
      </c>
      <c r="N510" s="6">
        <v>70.533000000000001</v>
      </c>
      <c r="O510" s="6">
        <v>70.533000000000001</v>
      </c>
      <c r="P510" s="6">
        <v>74</v>
      </c>
      <c r="Q510" s="4" t="s">
        <v>26</v>
      </c>
      <c r="R510" s="4">
        <v>0</v>
      </c>
      <c r="S510" s="4" t="s">
        <v>248</v>
      </c>
      <c r="T510" s="4" t="s">
        <v>441</v>
      </c>
      <c r="U510" s="4">
        <v>0</v>
      </c>
      <c r="V510" s="4">
        <v>36</v>
      </c>
      <c r="W510" s="4">
        <v>81</v>
      </c>
    </row>
    <row r="511" spans="1:23" ht="11.25" customHeight="1" x14ac:dyDescent="0.3">
      <c r="A511" s="4" t="s">
        <v>21</v>
      </c>
      <c r="B511" s="4" t="s">
        <v>37</v>
      </c>
      <c r="C511" s="4" t="s">
        <v>23</v>
      </c>
      <c r="D511" s="4" t="s">
        <v>41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44713</v>
      </c>
      <c r="J511" s="6">
        <v>0</v>
      </c>
      <c r="K511" s="6">
        <v>0</v>
      </c>
      <c r="L511" s="6">
        <v>812.50300000000004</v>
      </c>
      <c r="M511" s="6">
        <v>812.50300000000004</v>
      </c>
      <c r="N511" s="6">
        <v>812.50300000000004</v>
      </c>
      <c r="O511" s="6">
        <v>812.50300000000004</v>
      </c>
      <c r="P511" s="6">
        <v>1123</v>
      </c>
      <c r="Q511" s="4" t="s">
        <v>26</v>
      </c>
      <c r="R511" s="4">
        <v>0</v>
      </c>
      <c r="S511" s="4" t="s">
        <v>249</v>
      </c>
      <c r="T511" s="4" t="s">
        <v>442</v>
      </c>
      <c r="U511" s="4">
        <v>0</v>
      </c>
      <c r="V511" s="4">
        <v>36</v>
      </c>
      <c r="W511" s="4">
        <v>81</v>
      </c>
    </row>
    <row r="512" spans="1:23" ht="11.25" customHeight="1" x14ac:dyDescent="0.3">
      <c r="A512" s="4" t="s">
        <v>28</v>
      </c>
      <c r="B512" s="4" t="s">
        <v>37</v>
      </c>
      <c r="C512" s="4" t="s">
        <v>23</v>
      </c>
      <c r="D512" s="4" t="s">
        <v>41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44713</v>
      </c>
      <c r="J512" s="6">
        <v>0</v>
      </c>
      <c r="K512" s="6">
        <v>0</v>
      </c>
      <c r="L512" s="6">
        <v>77.802000000000007</v>
      </c>
      <c r="M512" s="6">
        <v>77.802000000000007</v>
      </c>
      <c r="N512" s="6">
        <v>77.802000000000007</v>
      </c>
      <c r="O512" s="6">
        <v>77.802000000000007</v>
      </c>
      <c r="P512" s="6">
        <v>73</v>
      </c>
      <c r="Q512" s="4" t="s">
        <v>26</v>
      </c>
      <c r="R512" s="4">
        <v>0</v>
      </c>
      <c r="S512" s="4" t="s">
        <v>249</v>
      </c>
      <c r="T512" s="4" t="s">
        <v>442</v>
      </c>
      <c r="U512" s="4">
        <v>0</v>
      </c>
      <c r="V512" s="4">
        <v>36</v>
      </c>
      <c r="W512" s="4">
        <v>81</v>
      </c>
    </row>
    <row r="513" spans="1:23" ht="11.25" customHeight="1" x14ac:dyDescent="0.3">
      <c r="A513" s="4" t="s">
        <v>21</v>
      </c>
      <c r="B513" s="4" t="s">
        <v>37</v>
      </c>
      <c r="C513" s="4" t="s">
        <v>23</v>
      </c>
      <c r="D513" s="4" t="s">
        <v>41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44743</v>
      </c>
      <c r="J513" s="6">
        <v>0</v>
      </c>
      <c r="K513" s="6">
        <v>0</v>
      </c>
      <c r="L513" s="6">
        <v>721.87</v>
      </c>
      <c r="M513" s="6">
        <v>721.87</v>
      </c>
      <c r="N513" s="6">
        <v>721.87</v>
      </c>
      <c r="O513" s="6">
        <v>721.87</v>
      </c>
      <c r="P513" s="6">
        <v>1120</v>
      </c>
      <c r="Q513" s="4" t="s">
        <v>26</v>
      </c>
      <c r="R513" s="4">
        <v>0</v>
      </c>
      <c r="S513" s="4" t="s">
        <v>250</v>
      </c>
      <c r="T513" s="4" t="s">
        <v>443</v>
      </c>
      <c r="U513" s="4">
        <v>0</v>
      </c>
      <c r="V513" s="4">
        <v>36</v>
      </c>
      <c r="W513" s="4">
        <v>81</v>
      </c>
    </row>
    <row r="514" spans="1:23" ht="11.25" customHeight="1" x14ac:dyDescent="0.3">
      <c r="A514" s="4" t="s">
        <v>28</v>
      </c>
      <c r="B514" s="4" t="s">
        <v>37</v>
      </c>
      <c r="C514" s="4" t="s">
        <v>23</v>
      </c>
      <c r="D514" s="4" t="s">
        <v>41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44743</v>
      </c>
      <c r="J514" s="6">
        <v>0</v>
      </c>
      <c r="K514" s="6">
        <v>0</v>
      </c>
      <c r="L514" s="6">
        <v>83.543000000000006</v>
      </c>
      <c r="M514" s="6">
        <v>83.543000000000006</v>
      </c>
      <c r="N514" s="6">
        <v>83.543000000000006</v>
      </c>
      <c r="O514" s="6">
        <v>83.543000000000006</v>
      </c>
      <c r="P514" s="6">
        <v>79</v>
      </c>
      <c r="Q514" s="4" t="s">
        <v>26</v>
      </c>
      <c r="R514" s="4">
        <v>0</v>
      </c>
      <c r="S514" s="4" t="s">
        <v>250</v>
      </c>
      <c r="T514" s="4" t="s">
        <v>443</v>
      </c>
      <c r="U514" s="4">
        <v>0</v>
      </c>
      <c r="V514" s="4">
        <v>36</v>
      </c>
      <c r="W514" s="4">
        <v>81</v>
      </c>
    </row>
    <row r="515" spans="1:23" ht="11.25" customHeight="1" x14ac:dyDescent="0.3">
      <c r="A515" s="4" t="s">
        <v>21</v>
      </c>
      <c r="B515" s="4" t="s">
        <v>37</v>
      </c>
      <c r="C515" s="4" t="s">
        <v>23</v>
      </c>
      <c r="D515" s="4" t="s">
        <v>41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44774</v>
      </c>
      <c r="J515" s="6">
        <v>0</v>
      </c>
      <c r="K515" s="6">
        <v>0</v>
      </c>
      <c r="L515" s="6">
        <v>818.005</v>
      </c>
      <c r="M515" s="6">
        <v>818.005</v>
      </c>
      <c r="N515" s="6">
        <v>818.005</v>
      </c>
      <c r="O515" s="6">
        <v>818.005</v>
      </c>
      <c r="P515" s="6">
        <v>1115</v>
      </c>
      <c r="Q515" s="4" t="s">
        <v>26</v>
      </c>
      <c r="R515" s="4">
        <v>0</v>
      </c>
      <c r="S515" s="4" t="s">
        <v>251</v>
      </c>
      <c r="T515" s="4" t="s">
        <v>444</v>
      </c>
      <c r="U515" s="4">
        <v>0</v>
      </c>
      <c r="V515" s="4">
        <v>36</v>
      </c>
      <c r="W515" s="4">
        <v>81</v>
      </c>
    </row>
    <row r="516" spans="1:23" ht="11.25" customHeight="1" x14ac:dyDescent="0.3">
      <c r="A516" s="4" t="s">
        <v>28</v>
      </c>
      <c r="B516" s="4" t="s">
        <v>37</v>
      </c>
      <c r="C516" s="4" t="s">
        <v>23</v>
      </c>
      <c r="D516" s="4" t="s">
        <v>41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44774</v>
      </c>
      <c r="J516" s="6">
        <v>0</v>
      </c>
      <c r="K516" s="6">
        <v>0</v>
      </c>
      <c r="L516" s="6">
        <v>75.135000000000005</v>
      </c>
      <c r="M516" s="6">
        <v>75.135000000000005</v>
      </c>
      <c r="N516" s="6">
        <v>75.135000000000005</v>
      </c>
      <c r="O516" s="6">
        <v>75.135000000000005</v>
      </c>
      <c r="P516" s="6">
        <v>92</v>
      </c>
      <c r="Q516" s="4" t="s">
        <v>26</v>
      </c>
      <c r="R516" s="4">
        <v>0</v>
      </c>
      <c r="S516" s="4" t="s">
        <v>251</v>
      </c>
      <c r="T516" s="4" t="s">
        <v>444</v>
      </c>
      <c r="U516" s="4">
        <v>0</v>
      </c>
      <c r="V516" s="4">
        <v>36</v>
      </c>
      <c r="W516" s="4">
        <v>81</v>
      </c>
    </row>
    <row r="517" spans="1:23" ht="11.25" customHeight="1" x14ac:dyDescent="0.3">
      <c r="A517" s="4" t="s">
        <v>21</v>
      </c>
      <c r="B517" s="4" t="s">
        <v>37</v>
      </c>
      <c r="C517" s="4" t="s">
        <v>23</v>
      </c>
      <c r="D517" s="4" t="s">
        <v>50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44440</v>
      </c>
      <c r="J517" s="6">
        <v>0</v>
      </c>
      <c r="K517" s="6">
        <v>0</v>
      </c>
      <c r="L517" s="6">
        <v>3.9039999999999999</v>
      </c>
      <c r="M517" s="6">
        <v>3.9039999999999999</v>
      </c>
      <c r="N517" s="6">
        <v>3.9039999999999999</v>
      </c>
      <c r="O517" s="6">
        <v>3.9039999999999999</v>
      </c>
      <c r="P517" s="6">
        <v>2</v>
      </c>
      <c r="Q517" s="4" t="s">
        <v>26</v>
      </c>
      <c r="R517" s="4">
        <v>0</v>
      </c>
      <c r="S517" s="4" t="s">
        <v>240</v>
      </c>
      <c r="T517" s="4" t="s">
        <v>433</v>
      </c>
      <c r="U517" s="4">
        <v>0</v>
      </c>
      <c r="V517" s="4">
        <v>36</v>
      </c>
      <c r="W517" s="4">
        <v>81</v>
      </c>
    </row>
    <row r="518" spans="1:23" ht="11.25" customHeight="1" x14ac:dyDescent="0.3">
      <c r="A518" s="4" t="s">
        <v>21</v>
      </c>
      <c r="B518" s="4" t="s">
        <v>37</v>
      </c>
      <c r="C518" s="4" t="s">
        <v>23</v>
      </c>
      <c r="D518" s="4" t="s">
        <v>50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44470</v>
      </c>
      <c r="J518" s="6">
        <v>0</v>
      </c>
      <c r="K518" s="6">
        <v>0</v>
      </c>
      <c r="L518" s="6">
        <v>4.218</v>
      </c>
      <c r="M518" s="6">
        <v>4.218</v>
      </c>
      <c r="N518" s="6">
        <v>4.218</v>
      </c>
      <c r="O518" s="6">
        <v>4.218</v>
      </c>
      <c r="P518" s="6">
        <v>2</v>
      </c>
      <c r="Q518" s="4" t="s">
        <v>26</v>
      </c>
      <c r="R518" s="4">
        <v>0</v>
      </c>
      <c r="S518" s="4" t="s">
        <v>241</v>
      </c>
      <c r="T518" s="4" t="s">
        <v>434</v>
      </c>
      <c r="U518" s="4">
        <v>0</v>
      </c>
      <c r="V518" s="4">
        <v>36</v>
      </c>
      <c r="W518" s="4">
        <v>81</v>
      </c>
    </row>
    <row r="519" spans="1:23" ht="11.25" customHeight="1" x14ac:dyDescent="0.3">
      <c r="A519" s="4" t="s">
        <v>21</v>
      </c>
      <c r="B519" s="4" t="s">
        <v>37</v>
      </c>
      <c r="C519" s="4" t="s">
        <v>23</v>
      </c>
      <c r="D519" s="4" t="s">
        <v>50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44501</v>
      </c>
      <c r="J519" s="6">
        <v>0</v>
      </c>
      <c r="K519" s="6">
        <v>0</v>
      </c>
      <c r="L519" s="6">
        <v>4.1429999999999998</v>
      </c>
      <c r="M519" s="6">
        <v>4.1429999999999998</v>
      </c>
      <c r="N519" s="6">
        <v>4.1429999999999998</v>
      </c>
      <c r="O519" s="6">
        <v>4.1429999999999998</v>
      </c>
      <c r="P519" s="6">
        <v>3</v>
      </c>
      <c r="Q519" s="4" t="s">
        <v>26</v>
      </c>
      <c r="R519" s="4">
        <v>0</v>
      </c>
      <c r="S519" s="4" t="s">
        <v>242</v>
      </c>
      <c r="T519" s="4" t="s">
        <v>435</v>
      </c>
      <c r="U519" s="4">
        <v>0</v>
      </c>
      <c r="V519" s="4">
        <v>36</v>
      </c>
      <c r="W519" s="4">
        <v>81</v>
      </c>
    </row>
    <row r="520" spans="1:23" ht="11.25" customHeight="1" x14ac:dyDescent="0.3">
      <c r="A520" s="4" t="s">
        <v>21</v>
      </c>
      <c r="B520" s="4" t="s">
        <v>37</v>
      </c>
      <c r="C520" s="4" t="s">
        <v>23</v>
      </c>
      <c r="D520" s="4" t="s">
        <v>50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44531</v>
      </c>
      <c r="J520" s="6">
        <v>0</v>
      </c>
      <c r="K520" s="6">
        <v>0</v>
      </c>
      <c r="L520" s="6">
        <v>5.45</v>
      </c>
      <c r="M520" s="6">
        <v>5.45</v>
      </c>
      <c r="N520" s="6">
        <v>5.45</v>
      </c>
      <c r="O520" s="6">
        <v>5.45</v>
      </c>
      <c r="P520" s="6">
        <v>3</v>
      </c>
      <c r="Q520" s="4" t="s">
        <v>26</v>
      </c>
      <c r="R520" s="4">
        <v>0</v>
      </c>
      <c r="S520" s="4" t="s">
        <v>243</v>
      </c>
      <c r="T520" s="4" t="s">
        <v>436</v>
      </c>
      <c r="U520" s="4">
        <v>0</v>
      </c>
      <c r="V520" s="4">
        <v>36</v>
      </c>
      <c r="W520" s="4">
        <v>81</v>
      </c>
    </row>
    <row r="521" spans="1:23" ht="11.25" customHeight="1" x14ac:dyDescent="0.3">
      <c r="A521" s="4" t="s">
        <v>21</v>
      </c>
      <c r="B521" s="4" t="s">
        <v>37</v>
      </c>
      <c r="C521" s="4" t="s">
        <v>23</v>
      </c>
      <c r="D521" s="4" t="s">
        <v>50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44562</v>
      </c>
      <c r="J521" s="6">
        <v>0</v>
      </c>
      <c r="K521" s="6">
        <v>0</v>
      </c>
      <c r="L521" s="6">
        <v>5.9109999999999996</v>
      </c>
      <c r="M521" s="6">
        <v>5.9109999999999996</v>
      </c>
      <c r="N521" s="6">
        <v>5.9109999999999996</v>
      </c>
      <c r="O521" s="6">
        <v>5.9109999999999996</v>
      </c>
      <c r="P521" s="6">
        <v>3</v>
      </c>
      <c r="Q521" s="4" t="s">
        <v>26</v>
      </c>
      <c r="R521" s="4">
        <v>0</v>
      </c>
      <c r="S521" s="4" t="s">
        <v>244</v>
      </c>
      <c r="T521" s="4" t="s">
        <v>437</v>
      </c>
      <c r="U521" s="4">
        <v>0</v>
      </c>
      <c r="V521" s="4">
        <v>36</v>
      </c>
      <c r="W521" s="4">
        <v>81</v>
      </c>
    </row>
    <row r="522" spans="1:23" ht="11.25" customHeight="1" x14ac:dyDescent="0.3">
      <c r="A522" s="4" t="s">
        <v>21</v>
      </c>
      <c r="B522" s="4" t="s">
        <v>37</v>
      </c>
      <c r="C522" s="4" t="s">
        <v>23</v>
      </c>
      <c r="D522" s="4" t="s">
        <v>50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44593</v>
      </c>
      <c r="J522" s="6">
        <v>0</v>
      </c>
      <c r="K522" s="6">
        <v>0</v>
      </c>
      <c r="L522" s="6">
        <v>8.8409999999999993</v>
      </c>
      <c r="M522" s="6">
        <v>8.8409999999999993</v>
      </c>
      <c r="N522" s="6">
        <v>8.8409999999999993</v>
      </c>
      <c r="O522" s="6">
        <v>8.8409999999999993</v>
      </c>
      <c r="P522" s="6">
        <v>3</v>
      </c>
      <c r="Q522" s="4" t="s">
        <v>26</v>
      </c>
      <c r="R522" s="4">
        <v>0</v>
      </c>
      <c r="S522" s="4" t="s">
        <v>245</v>
      </c>
      <c r="T522" s="4" t="s">
        <v>438</v>
      </c>
      <c r="U522" s="4">
        <v>0</v>
      </c>
      <c r="V522" s="4">
        <v>36</v>
      </c>
      <c r="W522" s="4">
        <v>81</v>
      </c>
    </row>
    <row r="523" spans="1:23" ht="11.25" customHeight="1" x14ac:dyDescent="0.3">
      <c r="A523" s="4" t="s">
        <v>21</v>
      </c>
      <c r="B523" s="4" t="s">
        <v>37</v>
      </c>
      <c r="C523" s="4" t="s">
        <v>23</v>
      </c>
      <c r="D523" s="4" t="s">
        <v>50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44621</v>
      </c>
      <c r="J523" s="6">
        <v>0</v>
      </c>
      <c r="K523" s="6">
        <v>0</v>
      </c>
      <c r="L523" s="6">
        <v>7.1980000000000004</v>
      </c>
      <c r="M523" s="6">
        <v>7.1980000000000004</v>
      </c>
      <c r="N523" s="6">
        <v>7.1980000000000004</v>
      </c>
      <c r="O523" s="6">
        <v>7.1980000000000004</v>
      </c>
      <c r="P523" s="6">
        <v>3</v>
      </c>
      <c r="Q523" s="4" t="s">
        <v>26</v>
      </c>
      <c r="R523" s="4">
        <v>0</v>
      </c>
      <c r="S523" s="4" t="s">
        <v>246</v>
      </c>
      <c r="T523" s="4" t="s">
        <v>439</v>
      </c>
      <c r="U523" s="4">
        <v>0</v>
      </c>
      <c r="V523" s="4">
        <v>36</v>
      </c>
      <c r="W523" s="4">
        <v>81</v>
      </c>
    </row>
    <row r="524" spans="1:23" ht="11.25" customHeight="1" x14ac:dyDescent="0.3">
      <c r="A524" s="4" t="s">
        <v>21</v>
      </c>
      <c r="B524" s="4" t="s">
        <v>37</v>
      </c>
      <c r="C524" s="4" t="s">
        <v>23</v>
      </c>
      <c r="D524" s="4" t="s">
        <v>50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44652</v>
      </c>
      <c r="J524" s="6">
        <v>0</v>
      </c>
      <c r="K524" s="6">
        <v>0</v>
      </c>
      <c r="L524" s="6">
        <v>6.2789999999999999</v>
      </c>
      <c r="M524" s="6">
        <v>6.2789999999999999</v>
      </c>
      <c r="N524" s="6">
        <v>6.2789999999999999</v>
      </c>
      <c r="O524" s="6">
        <v>6.2789999999999999</v>
      </c>
      <c r="P524" s="6">
        <v>3</v>
      </c>
      <c r="Q524" s="4" t="s">
        <v>26</v>
      </c>
      <c r="R524" s="4">
        <v>0</v>
      </c>
      <c r="S524" s="4" t="s">
        <v>247</v>
      </c>
      <c r="T524" s="4" t="s">
        <v>440</v>
      </c>
      <c r="U524" s="4">
        <v>0</v>
      </c>
      <c r="V524" s="4">
        <v>36</v>
      </c>
      <c r="W524" s="4">
        <v>81</v>
      </c>
    </row>
    <row r="525" spans="1:23" ht="11.25" customHeight="1" x14ac:dyDescent="0.3">
      <c r="A525" s="4" t="s">
        <v>21</v>
      </c>
      <c r="B525" s="4" t="s">
        <v>37</v>
      </c>
      <c r="C525" s="4" t="s">
        <v>23</v>
      </c>
      <c r="D525" s="4" t="s">
        <v>50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44682</v>
      </c>
      <c r="J525" s="6">
        <v>0</v>
      </c>
      <c r="K525" s="6">
        <v>0</v>
      </c>
      <c r="L525" s="6">
        <v>4.51</v>
      </c>
      <c r="M525" s="6">
        <v>4.51</v>
      </c>
      <c r="N525" s="6">
        <v>4.51</v>
      </c>
      <c r="O525" s="6">
        <v>4.51</v>
      </c>
      <c r="P525" s="6">
        <v>3</v>
      </c>
      <c r="Q525" s="4" t="s">
        <v>26</v>
      </c>
      <c r="R525" s="4">
        <v>0</v>
      </c>
      <c r="S525" s="4" t="s">
        <v>248</v>
      </c>
      <c r="T525" s="4" t="s">
        <v>441</v>
      </c>
      <c r="U525" s="4">
        <v>0</v>
      </c>
      <c r="V525" s="4">
        <v>36</v>
      </c>
      <c r="W525" s="4">
        <v>81</v>
      </c>
    </row>
    <row r="526" spans="1:23" ht="11.25" customHeight="1" x14ac:dyDescent="0.3">
      <c r="A526" s="4" t="s">
        <v>21</v>
      </c>
      <c r="B526" s="4" t="s">
        <v>37</v>
      </c>
      <c r="C526" s="4" t="s">
        <v>23</v>
      </c>
      <c r="D526" s="4" t="s">
        <v>50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44713</v>
      </c>
      <c r="J526" s="6">
        <v>0</v>
      </c>
      <c r="K526" s="6">
        <v>0</v>
      </c>
      <c r="L526" s="6">
        <v>4.1470000000000002</v>
      </c>
      <c r="M526" s="6">
        <v>4.1470000000000002</v>
      </c>
      <c r="N526" s="6">
        <v>4.1470000000000002</v>
      </c>
      <c r="O526" s="6">
        <v>4.1470000000000002</v>
      </c>
      <c r="P526" s="6">
        <v>3</v>
      </c>
      <c r="Q526" s="4" t="s">
        <v>26</v>
      </c>
      <c r="R526" s="4">
        <v>0</v>
      </c>
      <c r="S526" s="4" t="s">
        <v>249</v>
      </c>
      <c r="T526" s="4" t="s">
        <v>442</v>
      </c>
      <c r="U526" s="4">
        <v>0</v>
      </c>
      <c r="V526" s="4">
        <v>36</v>
      </c>
      <c r="W526" s="4">
        <v>81</v>
      </c>
    </row>
    <row r="527" spans="1:23" ht="11.25" customHeight="1" x14ac:dyDescent="0.3">
      <c r="A527" s="4" t="s">
        <v>21</v>
      </c>
      <c r="B527" s="4" t="s">
        <v>37</v>
      </c>
      <c r="C527" s="4" t="s">
        <v>23</v>
      </c>
      <c r="D527" s="4" t="s">
        <v>50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44743</v>
      </c>
      <c r="J527" s="6">
        <v>0</v>
      </c>
      <c r="K527" s="6">
        <v>0</v>
      </c>
      <c r="L527" s="6">
        <v>3.5859999999999999</v>
      </c>
      <c r="M527" s="6">
        <v>3.5859999999999999</v>
      </c>
      <c r="N527" s="6">
        <v>3.5859999999999999</v>
      </c>
      <c r="O527" s="6">
        <v>3.5859999999999999</v>
      </c>
      <c r="P527" s="6">
        <v>3</v>
      </c>
      <c r="Q527" s="4" t="s">
        <v>26</v>
      </c>
      <c r="R527" s="4">
        <v>0</v>
      </c>
      <c r="S527" s="4" t="s">
        <v>250</v>
      </c>
      <c r="T527" s="4" t="s">
        <v>443</v>
      </c>
      <c r="U527" s="4">
        <v>0</v>
      </c>
      <c r="V527" s="4">
        <v>36</v>
      </c>
      <c r="W527" s="4">
        <v>81</v>
      </c>
    </row>
    <row r="528" spans="1:23" ht="11.25" customHeight="1" x14ac:dyDescent="0.3">
      <c r="A528" s="4" t="s">
        <v>21</v>
      </c>
      <c r="B528" s="4" t="s">
        <v>37</v>
      </c>
      <c r="C528" s="4" t="s">
        <v>23</v>
      </c>
      <c r="D528" s="4" t="s">
        <v>50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44774</v>
      </c>
      <c r="J528" s="6">
        <v>0</v>
      </c>
      <c r="K528" s="6">
        <v>0</v>
      </c>
      <c r="L528" s="6">
        <v>4.1639999999999997</v>
      </c>
      <c r="M528" s="6">
        <v>4.1639999999999997</v>
      </c>
      <c r="N528" s="6">
        <v>4.1639999999999997</v>
      </c>
      <c r="O528" s="6">
        <v>4.1639999999999997</v>
      </c>
      <c r="P528" s="6">
        <v>3</v>
      </c>
      <c r="Q528" s="4" t="s">
        <v>26</v>
      </c>
      <c r="R528" s="4">
        <v>0</v>
      </c>
      <c r="S528" s="4" t="s">
        <v>251</v>
      </c>
      <c r="T528" s="4" t="s">
        <v>444</v>
      </c>
      <c r="U528" s="4">
        <v>0</v>
      </c>
      <c r="V528" s="4">
        <v>36</v>
      </c>
      <c r="W528" s="4">
        <v>81</v>
      </c>
    </row>
    <row r="529" spans="1:23" ht="11.25" customHeight="1" x14ac:dyDescent="0.3">
      <c r="A529" s="4" t="s">
        <v>21</v>
      </c>
      <c r="B529" s="4" t="s">
        <v>37</v>
      </c>
      <c r="C529" s="4" t="s">
        <v>23</v>
      </c>
      <c r="D529" s="4" t="s">
        <v>38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44440</v>
      </c>
      <c r="J529" s="6">
        <v>0</v>
      </c>
      <c r="K529" s="6">
        <v>0</v>
      </c>
      <c r="L529" s="6">
        <v>56.256</v>
      </c>
      <c r="M529" s="6">
        <v>56.256</v>
      </c>
      <c r="N529" s="6">
        <v>56.256</v>
      </c>
      <c r="O529" s="6">
        <v>56.256</v>
      </c>
      <c r="P529" s="6">
        <v>58</v>
      </c>
      <c r="Q529" s="4" t="s">
        <v>26</v>
      </c>
      <c r="R529" s="4">
        <v>0</v>
      </c>
      <c r="S529" s="4" t="s">
        <v>240</v>
      </c>
      <c r="T529" s="4" t="s">
        <v>433</v>
      </c>
      <c r="U529" s="4">
        <v>0</v>
      </c>
      <c r="V529" s="4">
        <v>36</v>
      </c>
      <c r="W529" s="4">
        <v>81</v>
      </c>
    </row>
    <row r="530" spans="1:23" ht="11.25" customHeight="1" x14ac:dyDescent="0.3">
      <c r="A530" s="4" t="s">
        <v>28</v>
      </c>
      <c r="B530" s="4" t="s">
        <v>37</v>
      </c>
      <c r="C530" s="4" t="s">
        <v>23</v>
      </c>
      <c r="D530" s="4" t="s">
        <v>38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6">
        <v>0</v>
      </c>
      <c r="L530" s="6">
        <v>6.7409999999999997</v>
      </c>
      <c r="M530" s="6">
        <v>6.7409999999999997</v>
      </c>
      <c r="N530" s="6">
        <v>6.7409999999999997</v>
      </c>
      <c r="O530" s="6">
        <v>6.7409999999999997</v>
      </c>
      <c r="P530" s="6">
        <v>6</v>
      </c>
      <c r="Q530" s="4" t="s">
        <v>26</v>
      </c>
      <c r="R530" s="4">
        <v>0</v>
      </c>
      <c r="S530" s="4" t="s">
        <v>240</v>
      </c>
      <c r="T530" s="4" t="s">
        <v>433</v>
      </c>
      <c r="U530" s="4">
        <v>0</v>
      </c>
      <c r="V530" s="4">
        <v>36</v>
      </c>
      <c r="W530" s="4">
        <v>81</v>
      </c>
    </row>
    <row r="531" spans="1:23" ht="11.25" customHeight="1" x14ac:dyDescent="0.3">
      <c r="A531" s="4" t="s">
        <v>21</v>
      </c>
      <c r="B531" s="4" t="s">
        <v>37</v>
      </c>
      <c r="C531" s="4" t="s">
        <v>23</v>
      </c>
      <c r="D531" s="4" t="s">
        <v>38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44470</v>
      </c>
      <c r="J531" s="6">
        <v>0</v>
      </c>
      <c r="K531" s="6">
        <v>0</v>
      </c>
      <c r="L531" s="6">
        <v>53.192</v>
      </c>
      <c r="M531" s="6">
        <v>53.192</v>
      </c>
      <c r="N531" s="6">
        <v>53.192</v>
      </c>
      <c r="O531" s="6">
        <v>53.192</v>
      </c>
      <c r="P531" s="6">
        <v>58</v>
      </c>
      <c r="Q531" s="4" t="s">
        <v>26</v>
      </c>
      <c r="R531" s="4">
        <v>0</v>
      </c>
      <c r="S531" s="4" t="s">
        <v>241</v>
      </c>
      <c r="T531" s="4" t="s">
        <v>434</v>
      </c>
      <c r="U531" s="4">
        <v>0</v>
      </c>
      <c r="V531" s="4">
        <v>36</v>
      </c>
      <c r="W531" s="4">
        <v>81</v>
      </c>
    </row>
    <row r="532" spans="1:23" ht="11.25" customHeight="1" x14ac:dyDescent="0.3">
      <c r="A532" s="4" t="s">
        <v>28</v>
      </c>
      <c r="B532" s="4" t="s">
        <v>37</v>
      </c>
      <c r="C532" s="4" t="s">
        <v>23</v>
      </c>
      <c r="D532" s="4" t="s">
        <v>38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44470</v>
      </c>
      <c r="J532" s="6">
        <v>0</v>
      </c>
      <c r="K532" s="6">
        <v>0</v>
      </c>
      <c r="L532" s="6">
        <v>13.53</v>
      </c>
      <c r="M532" s="6">
        <v>13.53</v>
      </c>
      <c r="N532" s="6">
        <v>13.53</v>
      </c>
      <c r="O532" s="6">
        <v>13.53</v>
      </c>
      <c r="P532" s="6">
        <v>8</v>
      </c>
      <c r="Q532" s="4" t="s">
        <v>26</v>
      </c>
      <c r="R532" s="4">
        <v>0</v>
      </c>
      <c r="S532" s="4" t="s">
        <v>241</v>
      </c>
      <c r="T532" s="4" t="s">
        <v>434</v>
      </c>
      <c r="U532" s="4">
        <v>0</v>
      </c>
      <c r="V532" s="4">
        <v>36</v>
      </c>
      <c r="W532" s="4">
        <v>81</v>
      </c>
    </row>
    <row r="533" spans="1:23" ht="11.25" customHeight="1" x14ac:dyDescent="0.3">
      <c r="A533" s="4" t="s">
        <v>21</v>
      </c>
      <c r="B533" s="4" t="s">
        <v>37</v>
      </c>
      <c r="C533" s="4" t="s">
        <v>23</v>
      </c>
      <c r="D533" s="4" t="s">
        <v>38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44501</v>
      </c>
      <c r="J533" s="6">
        <v>0</v>
      </c>
      <c r="K533" s="6">
        <v>0</v>
      </c>
      <c r="L533" s="6">
        <v>56.776000000000003</v>
      </c>
      <c r="M533" s="6">
        <v>56.776000000000003</v>
      </c>
      <c r="N533" s="6">
        <v>56.776000000000003</v>
      </c>
      <c r="O533" s="6">
        <v>56.776000000000003</v>
      </c>
      <c r="P533" s="6">
        <v>59</v>
      </c>
      <c r="Q533" s="4" t="s">
        <v>26</v>
      </c>
      <c r="R533" s="4">
        <v>0</v>
      </c>
      <c r="S533" s="4" t="s">
        <v>242</v>
      </c>
      <c r="T533" s="4" t="s">
        <v>435</v>
      </c>
      <c r="U533" s="4">
        <v>0</v>
      </c>
      <c r="V533" s="4">
        <v>36</v>
      </c>
      <c r="W533" s="4">
        <v>81</v>
      </c>
    </row>
    <row r="534" spans="1:23" ht="11.25" customHeight="1" x14ac:dyDescent="0.3">
      <c r="A534" s="4" t="s">
        <v>28</v>
      </c>
      <c r="B534" s="4" t="s">
        <v>37</v>
      </c>
      <c r="C534" s="4" t="s">
        <v>23</v>
      </c>
      <c r="D534" s="4" t="s">
        <v>38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44501</v>
      </c>
      <c r="J534" s="6">
        <v>0</v>
      </c>
      <c r="K534" s="6">
        <v>0</v>
      </c>
      <c r="L534" s="6">
        <v>7.0469999999999997</v>
      </c>
      <c r="M534" s="6">
        <v>7.0469999999999997</v>
      </c>
      <c r="N534" s="6">
        <v>7.0469999999999997</v>
      </c>
      <c r="O534" s="6">
        <v>7.0469999999999997</v>
      </c>
      <c r="P534" s="6">
        <v>6</v>
      </c>
      <c r="Q534" s="4" t="s">
        <v>26</v>
      </c>
      <c r="R534" s="4">
        <v>0</v>
      </c>
      <c r="S534" s="4" t="s">
        <v>242</v>
      </c>
      <c r="T534" s="4" t="s">
        <v>435</v>
      </c>
      <c r="U534" s="4">
        <v>0</v>
      </c>
      <c r="V534" s="4">
        <v>36</v>
      </c>
      <c r="W534" s="4">
        <v>81</v>
      </c>
    </row>
    <row r="535" spans="1:23" ht="11.25" customHeight="1" x14ac:dyDescent="0.3">
      <c r="A535" s="4" t="s">
        <v>21</v>
      </c>
      <c r="B535" s="4" t="s">
        <v>37</v>
      </c>
      <c r="C535" s="4" t="s">
        <v>23</v>
      </c>
      <c r="D535" s="4" t="s">
        <v>38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44531</v>
      </c>
      <c r="J535" s="6">
        <v>0</v>
      </c>
      <c r="K535" s="6">
        <v>0</v>
      </c>
      <c r="L535" s="6">
        <v>54.853999999999999</v>
      </c>
      <c r="M535" s="6">
        <v>54.853999999999999</v>
      </c>
      <c r="N535" s="6">
        <v>54.853999999999999</v>
      </c>
      <c r="O535" s="6">
        <v>54.853999999999999</v>
      </c>
      <c r="P535" s="6">
        <v>59</v>
      </c>
      <c r="Q535" s="4" t="s">
        <v>26</v>
      </c>
      <c r="R535" s="4">
        <v>0</v>
      </c>
      <c r="S535" s="4" t="s">
        <v>243</v>
      </c>
      <c r="T535" s="4" t="s">
        <v>436</v>
      </c>
      <c r="U535" s="4">
        <v>0</v>
      </c>
      <c r="V535" s="4">
        <v>36</v>
      </c>
      <c r="W535" s="4">
        <v>81</v>
      </c>
    </row>
    <row r="536" spans="1:23" ht="11.25" customHeight="1" x14ac:dyDescent="0.3">
      <c r="A536" s="4" t="s">
        <v>28</v>
      </c>
      <c r="B536" s="4" t="s">
        <v>37</v>
      </c>
      <c r="C536" s="4" t="s">
        <v>23</v>
      </c>
      <c r="D536" s="4" t="s">
        <v>38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44531</v>
      </c>
      <c r="J536" s="6">
        <v>0</v>
      </c>
      <c r="K536" s="6">
        <v>0</v>
      </c>
      <c r="L536" s="6">
        <v>8.75</v>
      </c>
      <c r="M536" s="6">
        <v>8.75</v>
      </c>
      <c r="N536" s="6">
        <v>8.75</v>
      </c>
      <c r="O536" s="6">
        <v>8.75</v>
      </c>
      <c r="P536" s="6">
        <v>6</v>
      </c>
      <c r="Q536" s="4" t="s">
        <v>26</v>
      </c>
      <c r="R536" s="4">
        <v>0</v>
      </c>
      <c r="S536" s="4" t="s">
        <v>243</v>
      </c>
      <c r="T536" s="4" t="s">
        <v>436</v>
      </c>
      <c r="U536" s="4">
        <v>0</v>
      </c>
      <c r="V536" s="4">
        <v>36</v>
      </c>
      <c r="W536" s="4">
        <v>81</v>
      </c>
    </row>
    <row r="537" spans="1:23" ht="11.25" customHeight="1" x14ac:dyDescent="0.3">
      <c r="A537" s="4" t="s">
        <v>21</v>
      </c>
      <c r="B537" s="4" t="s">
        <v>37</v>
      </c>
      <c r="C537" s="4" t="s">
        <v>23</v>
      </c>
      <c r="D537" s="4" t="s">
        <v>38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44562</v>
      </c>
      <c r="J537" s="6">
        <v>0</v>
      </c>
      <c r="K537" s="6">
        <v>0</v>
      </c>
      <c r="L537" s="6">
        <v>48.258000000000003</v>
      </c>
      <c r="M537" s="6">
        <v>48.258000000000003</v>
      </c>
      <c r="N537" s="6">
        <v>48.258000000000003</v>
      </c>
      <c r="O537" s="6">
        <v>48.258000000000003</v>
      </c>
      <c r="P537" s="6">
        <v>59</v>
      </c>
      <c r="Q537" s="4" t="s">
        <v>26</v>
      </c>
      <c r="R537" s="4">
        <v>0</v>
      </c>
      <c r="S537" s="4" t="s">
        <v>244</v>
      </c>
      <c r="T537" s="4" t="s">
        <v>437</v>
      </c>
      <c r="U537" s="4">
        <v>0</v>
      </c>
      <c r="V537" s="4">
        <v>36</v>
      </c>
      <c r="W537" s="4">
        <v>81</v>
      </c>
    </row>
    <row r="538" spans="1:23" ht="11.25" customHeight="1" x14ac:dyDescent="0.3">
      <c r="A538" s="4" t="s">
        <v>28</v>
      </c>
      <c r="B538" s="4" t="s">
        <v>37</v>
      </c>
      <c r="C538" s="4" t="s">
        <v>23</v>
      </c>
      <c r="D538" s="4" t="s">
        <v>38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44562</v>
      </c>
      <c r="J538" s="6">
        <v>0</v>
      </c>
      <c r="K538" s="6">
        <v>0</v>
      </c>
      <c r="L538" s="6">
        <v>14.702</v>
      </c>
      <c r="M538" s="6">
        <v>14.702</v>
      </c>
      <c r="N538" s="6">
        <v>14.702</v>
      </c>
      <c r="O538" s="6">
        <v>14.702</v>
      </c>
      <c r="P538" s="6">
        <v>6</v>
      </c>
      <c r="Q538" s="4" t="s">
        <v>26</v>
      </c>
      <c r="R538" s="4">
        <v>0</v>
      </c>
      <c r="S538" s="4" t="s">
        <v>244</v>
      </c>
      <c r="T538" s="4" t="s">
        <v>437</v>
      </c>
      <c r="U538" s="4">
        <v>0</v>
      </c>
      <c r="V538" s="4">
        <v>36</v>
      </c>
      <c r="W538" s="4">
        <v>81</v>
      </c>
    </row>
    <row r="539" spans="1:23" ht="11.25" customHeight="1" x14ac:dyDescent="0.3">
      <c r="A539" s="4" t="s">
        <v>21</v>
      </c>
      <c r="B539" s="4" t="s">
        <v>37</v>
      </c>
      <c r="C539" s="4" t="s">
        <v>23</v>
      </c>
      <c r="D539" s="4" t="s">
        <v>38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44593</v>
      </c>
      <c r="J539" s="6">
        <v>0</v>
      </c>
      <c r="K539" s="6">
        <v>0</v>
      </c>
      <c r="L539" s="6">
        <v>59.816000000000003</v>
      </c>
      <c r="M539" s="6">
        <v>59.816000000000003</v>
      </c>
      <c r="N539" s="6">
        <v>59.816000000000003</v>
      </c>
      <c r="O539" s="6">
        <v>59.816000000000003</v>
      </c>
      <c r="P539" s="6">
        <v>60</v>
      </c>
      <c r="Q539" s="4" t="s">
        <v>26</v>
      </c>
      <c r="R539" s="4">
        <v>0</v>
      </c>
      <c r="S539" s="4" t="s">
        <v>245</v>
      </c>
      <c r="T539" s="4" t="s">
        <v>438</v>
      </c>
      <c r="U539" s="4">
        <v>0</v>
      </c>
      <c r="V539" s="4">
        <v>36</v>
      </c>
      <c r="W539" s="4">
        <v>81</v>
      </c>
    </row>
    <row r="540" spans="1:23" ht="11.25" customHeight="1" x14ac:dyDescent="0.3">
      <c r="A540" s="4" t="s">
        <v>21</v>
      </c>
      <c r="B540" s="4" t="s">
        <v>37</v>
      </c>
      <c r="C540" s="4" t="s">
        <v>23</v>
      </c>
      <c r="D540" s="4" t="s">
        <v>38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44621</v>
      </c>
      <c r="J540" s="6">
        <v>0</v>
      </c>
      <c r="K540" s="6">
        <v>0</v>
      </c>
      <c r="L540" s="6">
        <v>64.680000000000007</v>
      </c>
      <c r="M540" s="6">
        <v>64.680000000000007</v>
      </c>
      <c r="N540" s="6">
        <v>64.680000000000007</v>
      </c>
      <c r="O540" s="6">
        <v>64.680000000000007</v>
      </c>
      <c r="P540" s="6">
        <v>59</v>
      </c>
      <c r="Q540" s="4" t="s">
        <v>26</v>
      </c>
      <c r="R540" s="4">
        <v>0</v>
      </c>
      <c r="S540" s="4" t="s">
        <v>246</v>
      </c>
      <c r="T540" s="4" t="s">
        <v>439</v>
      </c>
      <c r="U540" s="4">
        <v>0</v>
      </c>
      <c r="V540" s="4">
        <v>36</v>
      </c>
      <c r="W540" s="4">
        <v>81</v>
      </c>
    </row>
    <row r="541" spans="1:23" ht="11.25" customHeight="1" x14ac:dyDescent="0.3">
      <c r="A541" s="4" t="s">
        <v>28</v>
      </c>
      <c r="B541" s="4" t="s">
        <v>37</v>
      </c>
      <c r="C541" s="4" t="s">
        <v>23</v>
      </c>
      <c r="D541" s="4" t="s">
        <v>38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44621</v>
      </c>
      <c r="J541" s="6">
        <v>0</v>
      </c>
      <c r="K541" s="6">
        <v>0</v>
      </c>
      <c r="L541" s="6">
        <v>9.8840000000000003</v>
      </c>
      <c r="M541" s="6">
        <v>9.8840000000000003</v>
      </c>
      <c r="N541" s="6">
        <v>9.8840000000000003</v>
      </c>
      <c r="O541" s="6">
        <v>9.8840000000000003</v>
      </c>
      <c r="P541" s="6">
        <v>7</v>
      </c>
      <c r="Q541" s="4" t="s">
        <v>26</v>
      </c>
      <c r="R541" s="4">
        <v>0</v>
      </c>
      <c r="S541" s="4" t="s">
        <v>246</v>
      </c>
      <c r="T541" s="4" t="s">
        <v>439</v>
      </c>
      <c r="U541" s="4">
        <v>0</v>
      </c>
      <c r="V541" s="4">
        <v>36</v>
      </c>
      <c r="W541" s="4">
        <v>81</v>
      </c>
    </row>
    <row r="542" spans="1:23" ht="11.25" customHeight="1" x14ac:dyDescent="0.3">
      <c r="A542" s="4" t="s">
        <v>21</v>
      </c>
      <c r="B542" s="4" t="s">
        <v>37</v>
      </c>
      <c r="C542" s="4" t="s">
        <v>23</v>
      </c>
      <c r="D542" s="4" t="s">
        <v>38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44652</v>
      </c>
      <c r="J542" s="6">
        <v>0</v>
      </c>
      <c r="K542" s="6">
        <v>0</v>
      </c>
      <c r="L542" s="6">
        <v>52.581000000000003</v>
      </c>
      <c r="M542" s="6">
        <v>52.581000000000003</v>
      </c>
      <c r="N542" s="6">
        <v>52.581000000000003</v>
      </c>
      <c r="O542" s="6">
        <v>52.581000000000003</v>
      </c>
      <c r="P542" s="6">
        <v>60</v>
      </c>
      <c r="Q542" s="4" t="s">
        <v>26</v>
      </c>
      <c r="R542" s="4">
        <v>0</v>
      </c>
      <c r="S542" s="4" t="s">
        <v>247</v>
      </c>
      <c r="T542" s="4" t="s">
        <v>440</v>
      </c>
      <c r="U542" s="4">
        <v>0</v>
      </c>
      <c r="V542" s="4">
        <v>36</v>
      </c>
      <c r="W542" s="4">
        <v>81</v>
      </c>
    </row>
    <row r="543" spans="1:23" ht="11.25" customHeight="1" x14ac:dyDescent="0.3">
      <c r="A543" s="4" t="s">
        <v>28</v>
      </c>
      <c r="B543" s="4" t="s">
        <v>37</v>
      </c>
      <c r="C543" s="4" t="s">
        <v>23</v>
      </c>
      <c r="D543" s="4" t="s">
        <v>38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44652</v>
      </c>
      <c r="J543" s="6">
        <v>0</v>
      </c>
      <c r="K543" s="6">
        <v>0</v>
      </c>
      <c r="L543" s="6">
        <v>6.0510000000000002</v>
      </c>
      <c r="M543" s="6">
        <v>6.0510000000000002</v>
      </c>
      <c r="N543" s="6">
        <v>6.0510000000000002</v>
      </c>
      <c r="O543" s="6">
        <v>6.0510000000000002</v>
      </c>
      <c r="P543" s="6">
        <v>7</v>
      </c>
      <c r="Q543" s="4" t="s">
        <v>26</v>
      </c>
      <c r="R543" s="4">
        <v>0</v>
      </c>
      <c r="S543" s="4" t="s">
        <v>247</v>
      </c>
      <c r="T543" s="4" t="s">
        <v>440</v>
      </c>
      <c r="U543" s="4">
        <v>0</v>
      </c>
      <c r="V543" s="4">
        <v>36</v>
      </c>
      <c r="W543" s="4">
        <v>81</v>
      </c>
    </row>
    <row r="544" spans="1:23" ht="11.25" customHeight="1" x14ac:dyDescent="0.3">
      <c r="A544" s="4" t="s">
        <v>21</v>
      </c>
      <c r="B544" s="4" t="s">
        <v>37</v>
      </c>
      <c r="C544" s="4" t="s">
        <v>23</v>
      </c>
      <c r="D544" s="4" t="s">
        <v>38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44682</v>
      </c>
      <c r="J544" s="6">
        <v>0</v>
      </c>
      <c r="K544" s="6">
        <v>0</v>
      </c>
      <c r="L544" s="6">
        <v>50.198999999999998</v>
      </c>
      <c r="M544" s="6">
        <v>50.198999999999998</v>
      </c>
      <c r="N544" s="6">
        <v>50.198999999999998</v>
      </c>
      <c r="O544" s="6">
        <v>50.198999999999998</v>
      </c>
      <c r="P544" s="6">
        <v>60</v>
      </c>
      <c r="Q544" s="4" t="s">
        <v>26</v>
      </c>
      <c r="R544" s="4">
        <v>0</v>
      </c>
      <c r="S544" s="4" t="s">
        <v>248</v>
      </c>
      <c r="T544" s="4" t="s">
        <v>441</v>
      </c>
      <c r="U544" s="4">
        <v>0</v>
      </c>
      <c r="V544" s="4">
        <v>36</v>
      </c>
      <c r="W544" s="4">
        <v>81</v>
      </c>
    </row>
    <row r="545" spans="1:23" ht="11.25" customHeight="1" x14ac:dyDescent="0.3">
      <c r="A545" s="4" t="s">
        <v>28</v>
      </c>
      <c r="B545" s="4" t="s">
        <v>37</v>
      </c>
      <c r="C545" s="4" t="s">
        <v>23</v>
      </c>
      <c r="D545" s="4" t="s">
        <v>38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44682</v>
      </c>
      <c r="J545" s="6">
        <v>0</v>
      </c>
      <c r="K545" s="6">
        <v>0</v>
      </c>
      <c r="L545" s="6">
        <v>2.77</v>
      </c>
      <c r="M545" s="6">
        <v>2.77</v>
      </c>
      <c r="N545" s="6">
        <v>2.77</v>
      </c>
      <c r="O545" s="6">
        <v>2.77</v>
      </c>
      <c r="P545" s="6">
        <v>7</v>
      </c>
      <c r="Q545" s="4" t="s">
        <v>26</v>
      </c>
      <c r="R545" s="4">
        <v>0</v>
      </c>
      <c r="S545" s="4" t="s">
        <v>248</v>
      </c>
      <c r="T545" s="4" t="s">
        <v>441</v>
      </c>
      <c r="U545" s="4">
        <v>0</v>
      </c>
      <c r="V545" s="4">
        <v>36</v>
      </c>
      <c r="W545" s="4">
        <v>81</v>
      </c>
    </row>
    <row r="546" spans="1:23" ht="11.25" customHeight="1" x14ac:dyDescent="0.3">
      <c r="A546" s="4" t="s">
        <v>21</v>
      </c>
      <c r="B546" s="4" t="s">
        <v>37</v>
      </c>
      <c r="C546" s="4" t="s">
        <v>23</v>
      </c>
      <c r="D546" s="4" t="s">
        <v>38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44713</v>
      </c>
      <c r="J546" s="6">
        <v>0</v>
      </c>
      <c r="K546" s="6">
        <v>0</v>
      </c>
      <c r="L546" s="6">
        <v>49.137999999999998</v>
      </c>
      <c r="M546" s="6">
        <v>49.137999999999998</v>
      </c>
      <c r="N546" s="6">
        <v>49.137999999999998</v>
      </c>
      <c r="O546" s="6">
        <v>49.137999999999998</v>
      </c>
      <c r="P546" s="6">
        <v>60</v>
      </c>
      <c r="Q546" s="4" t="s">
        <v>26</v>
      </c>
      <c r="R546" s="4">
        <v>0</v>
      </c>
      <c r="S546" s="4" t="s">
        <v>249</v>
      </c>
      <c r="T546" s="4" t="s">
        <v>442</v>
      </c>
      <c r="U546" s="4">
        <v>0</v>
      </c>
      <c r="V546" s="4">
        <v>36</v>
      </c>
      <c r="W546" s="4">
        <v>81</v>
      </c>
    </row>
    <row r="547" spans="1:23" ht="11.25" customHeight="1" x14ac:dyDescent="0.3">
      <c r="A547" s="4" t="s">
        <v>28</v>
      </c>
      <c r="B547" s="4" t="s">
        <v>37</v>
      </c>
      <c r="C547" s="4" t="s">
        <v>23</v>
      </c>
      <c r="D547" s="4" t="s">
        <v>38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44713</v>
      </c>
      <c r="J547" s="6">
        <v>0</v>
      </c>
      <c r="K547" s="6">
        <v>0</v>
      </c>
      <c r="L547" s="6">
        <v>5.484</v>
      </c>
      <c r="M547" s="6">
        <v>5.484</v>
      </c>
      <c r="N547" s="6">
        <v>5.484</v>
      </c>
      <c r="O547" s="6">
        <v>5.484</v>
      </c>
      <c r="P547" s="6">
        <v>7</v>
      </c>
      <c r="Q547" s="4" t="s">
        <v>26</v>
      </c>
      <c r="R547" s="4">
        <v>0</v>
      </c>
      <c r="S547" s="4" t="s">
        <v>249</v>
      </c>
      <c r="T547" s="4" t="s">
        <v>442</v>
      </c>
      <c r="U547" s="4">
        <v>0</v>
      </c>
      <c r="V547" s="4">
        <v>36</v>
      </c>
      <c r="W547" s="4">
        <v>81</v>
      </c>
    </row>
    <row r="548" spans="1:23" ht="11.25" customHeight="1" x14ac:dyDescent="0.3">
      <c r="A548" s="4" t="s">
        <v>21</v>
      </c>
      <c r="B548" s="4" t="s">
        <v>37</v>
      </c>
      <c r="C548" s="4" t="s">
        <v>23</v>
      </c>
      <c r="D548" s="4" t="s">
        <v>38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44743</v>
      </c>
      <c r="J548" s="6">
        <v>0</v>
      </c>
      <c r="K548" s="6">
        <v>0</v>
      </c>
      <c r="L548" s="6">
        <v>41.969000000000001</v>
      </c>
      <c r="M548" s="6">
        <v>41.969000000000001</v>
      </c>
      <c r="N548" s="6">
        <v>41.969000000000001</v>
      </c>
      <c r="O548" s="6">
        <v>41.969000000000001</v>
      </c>
      <c r="P548" s="6">
        <v>59</v>
      </c>
      <c r="Q548" s="4" t="s">
        <v>26</v>
      </c>
      <c r="R548" s="4">
        <v>0</v>
      </c>
      <c r="S548" s="4" t="s">
        <v>250</v>
      </c>
      <c r="T548" s="4" t="s">
        <v>443</v>
      </c>
      <c r="U548" s="4">
        <v>0</v>
      </c>
      <c r="V548" s="4">
        <v>36</v>
      </c>
      <c r="W548" s="4">
        <v>81</v>
      </c>
    </row>
    <row r="549" spans="1:23" ht="11.25" customHeight="1" x14ac:dyDescent="0.3">
      <c r="A549" s="4" t="s">
        <v>28</v>
      </c>
      <c r="B549" s="4" t="s">
        <v>37</v>
      </c>
      <c r="C549" s="4" t="s">
        <v>23</v>
      </c>
      <c r="D549" s="4" t="s">
        <v>38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44743</v>
      </c>
      <c r="J549" s="6">
        <v>0</v>
      </c>
      <c r="K549" s="6">
        <v>0</v>
      </c>
      <c r="L549" s="6">
        <v>4.6500000000000004</v>
      </c>
      <c r="M549" s="6">
        <v>4.6500000000000004</v>
      </c>
      <c r="N549" s="6">
        <v>4.6500000000000004</v>
      </c>
      <c r="O549" s="6">
        <v>4.6500000000000004</v>
      </c>
      <c r="P549" s="6">
        <v>7</v>
      </c>
      <c r="Q549" s="4" t="s">
        <v>26</v>
      </c>
      <c r="R549" s="4">
        <v>0</v>
      </c>
      <c r="S549" s="4" t="s">
        <v>250</v>
      </c>
      <c r="T549" s="4" t="s">
        <v>443</v>
      </c>
      <c r="U549" s="4">
        <v>0</v>
      </c>
      <c r="V549" s="4">
        <v>36</v>
      </c>
      <c r="W549" s="4">
        <v>81</v>
      </c>
    </row>
    <row r="550" spans="1:23" ht="11.25" customHeight="1" x14ac:dyDescent="0.3">
      <c r="A550" s="4" t="s">
        <v>21</v>
      </c>
      <c r="B550" s="4" t="s">
        <v>37</v>
      </c>
      <c r="C550" s="4" t="s">
        <v>23</v>
      </c>
      <c r="D550" s="4" t="s">
        <v>38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44774</v>
      </c>
      <c r="J550" s="6">
        <v>0</v>
      </c>
      <c r="K550" s="6">
        <v>0</v>
      </c>
      <c r="L550" s="6">
        <v>42.45</v>
      </c>
      <c r="M550" s="6">
        <v>42.45</v>
      </c>
      <c r="N550" s="6">
        <v>42.45</v>
      </c>
      <c r="O550" s="6">
        <v>42.45</v>
      </c>
      <c r="P550" s="6">
        <v>59</v>
      </c>
      <c r="Q550" s="4" t="s">
        <v>26</v>
      </c>
      <c r="R550" s="4">
        <v>0</v>
      </c>
      <c r="S550" s="4" t="s">
        <v>251</v>
      </c>
      <c r="T550" s="4" t="s">
        <v>444</v>
      </c>
      <c r="U550" s="4">
        <v>0</v>
      </c>
      <c r="V550" s="4">
        <v>36</v>
      </c>
      <c r="W550" s="4">
        <v>81</v>
      </c>
    </row>
    <row r="551" spans="1:23" ht="11.25" customHeight="1" x14ac:dyDescent="0.3">
      <c r="A551" s="4" t="s">
        <v>28</v>
      </c>
      <c r="B551" s="4" t="s">
        <v>37</v>
      </c>
      <c r="C551" s="4" t="s">
        <v>23</v>
      </c>
      <c r="D551" s="4" t="s">
        <v>38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44774</v>
      </c>
      <c r="J551" s="6">
        <v>0</v>
      </c>
      <c r="K551" s="6">
        <v>0</v>
      </c>
      <c r="L551" s="6">
        <v>4.4390000000000001</v>
      </c>
      <c r="M551" s="6">
        <v>4.4390000000000001</v>
      </c>
      <c r="N551" s="6">
        <v>4.4390000000000001</v>
      </c>
      <c r="O551" s="6">
        <v>4.4390000000000001</v>
      </c>
      <c r="P551" s="6">
        <v>8</v>
      </c>
      <c r="Q551" s="4" t="s">
        <v>26</v>
      </c>
      <c r="R551" s="4">
        <v>0</v>
      </c>
      <c r="S551" s="4" t="s">
        <v>251</v>
      </c>
      <c r="T551" s="4" t="s">
        <v>444</v>
      </c>
      <c r="U551" s="4">
        <v>0</v>
      </c>
      <c r="V551" s="4">
        <v>36</v>
      </c>
      <c r="W551" s="4">
        <v>81</v>
      </c>
    </row>
    <row r="552" spans="1:23" ht="11.25" customHeight="1" x14ac:dyDescent="0.3">
      <c r="A552" s="4" t="s">
        <v>21</v>
      </c>
      <c r="B552" s="4" t="s">
        <v>37</v>
      </c>
      <c r="C552" s="4" t="s">
        <v>23</v>
      </c>
      <c r="D552" s="4" t="s">
        <v>44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44440</v>
      </c>
      <c r="J552" s="6">
        <v>0</v>
      </c>
      <c r="K552" s="6">
        <v>0</v>
      </c>
      <c r="L552" s="6">
        <v>30.277000000000001</v>
      </c>
      <c r="M552" s="6">
        <v>30.277000000000001</v>
      </c>
      <c r="N552" s="6">
        <v>30.277000000000001</v>
      </c>
      <c r="O552" s="6">
        <v>30.277000000000001</v>
      </c>
      <c r="P552" s="6">
        <v>67</v>
      </c>
      <c r="Q552" s="4" t="s">
        <v>26</v>
      </c>
      <c r="R552" s="4">
        <v>0</v>
      </c>
      <c r="S552" s="4" t="s">
        <v>240</v>
      </c>
      <c r="T552" s="4" t="s">
        <v>433</v>
      </c>
      <c r="U552" s="4">
        <v>0</v>
      </c>
      <c r="V552" s="4">
        <v>36</v>
      </c>
      <c r="W552" s="4">
        <v>81</v>
      </c>
    </row>
    <row r="553" spans="1:23" ht="11.25" customHeight="1" x14ac:dyDescent="0.3">
      <c r="A553" s="4" t="s">
        <v>21</v>
      </c>
      <c r="B553" s="4" t="s">
        <v>37</v>
      </c>
      <c r="C553" s="4" t="s">
        <v>23</v>
      </c>
      <c r="D553" s="4" t="s">
        <v>44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44470</v>
      </c>
      <c r="J553" s="6">
        <v>0</v>
      </c>
      <c r="K553" s="6">
        <v>0</v>
      </c>
      <c r="L553" s="6">
        <v>29.192</v>
      </c>
      <c r="M553" s="6">
        <v>29.192</v>
      </c>
      <c r="N553" s="6">
        <v>29.192</v>
      </c>
      <c r="O553" s="6">
        <v>29.192</v>
      </c>
      <c r="P553" s="6">
        <v>67</v>
      </c>
      <c r="Q553" s="4" t="s">
        <v>26</v>
      </c>
      <c r="R553" s="4">
        <v>0</v>
      </c>
      <c r="S553" s="4" t="s">
        <v>241</v>
      </c>
      <c r="T553" s="4" t="s">
        <v>434</v>
      </c>
      <c r="U553" s="4">
        <v>0</v>
      </c>
      <c r="V553" s="4">
        <v>36</v>
      </c>
      <c r="W553" s="4">
        <v>81</v>
      </c>
    </row>
    <row r="554" spans="1:23" ht="11.25" customHeight="1" x14ac:dyDescent="0.3">
      <c r="A554" s="4" t="s">
        <v>21</v>
      </c>
      <c r="B554" s="4" t="s">
        <v>37</v>
      </c>
      <c r="C554" s="4" t="s">
        <v>23</v>
      </c>
      <c r="D554" s="4" t="s">
        <v>44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44501</v>
      </c>
      <c r="J554" s="6">
        <v>0</v>
      </c>
      <c r="K554" s="6">
        <v>0</v>
      </c>
      <c r="L554" s="6">
        <v>31.210999999999999</v>
      </c>
      <c r="M554" s="6">
        <v>31.210999999999999</v>
      </c>
      <c r="N554" s="6">
        <v>31.210999999999999</v>
      </c>
      <c r="O554" s="6">
        <v>31.210999999999999</v>
      </c>
      <c r="P554" s="6">
        <v>67</v>
      </c>
      <c r="Q554" s="4" t="s">
        <v>26</v>
      </c>
      <c r="R554" s="4">
        <v>0</v>
      </c>
      <c r="S554" s="4" t="s">
        <v>242</v>
      </c>
      <c r="T554" s="4" t="s">
        <v>435</v>
      </c>
      <c r="U554" s="4">
        <v>0</v>
      </c>
      <c r="V554" s="4">
        <v>36</v>
      </c>
      <c r="W554" s="4">
        <v>81</v>
      </c>
    </row>
    <row r="555" spans="1:23" ht="11.25" customHeight="1" x14ac:dyDescent="0.3">
      <c r="A555" s="4" t="s">
        <v>21</v>
      </c>
      <c r="B555" s="4" t="s">
        <v>37</v>
      </c>
      <c r="C555" s="4" t="s">
        <v>23</v>
      </c>
      <c r="D555" s="4" t="s">
        <v>44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44531</v>
      </c>
      <c r="J555" s="6">
        <v>0</v>
      </c>
      <c r="K555" s="6">
        <v>0</v>
      </c>
      <c r="L555" s="6">
        <v>36.154000000000003</v>
      </c>
      <c r="M555" s="6">
        <v>36.154000000000003</v>
      </c>
      <c r="N555" s="6">
        <v>36.154000000000003</v>
      </c>
      <c r="O555" s="6">
        <v>36.154000000000003</v>
      </c>
      <c r="P555" s="6">
        <v>68</v>
      </c>
      <c r="Q555" s="4" t="s">
        <v>26</v>
      </c>
      <c r="R555" s="4">
        <v>0</v>
      </c>
      <c r="S555" s="4" t="s">
        <v>243</v>
      </c>
      <c r="T555" s="4" t="s">
        <v>436</v>
      </c>
      <c r="U555" s="4">
        <v>0</v>
      </c>
      <c r="V555" s="4">
        <v>36</v>
      </c>
      <c r="W555" s="4">
        <v>81</v>
      </c>
    </row>
    <row r="556" spans="1:23" ht="11.25" customHeight="1" x14ac:dyDescent="0.3">
      <c r="A556" s="4" t="s">
        <v>21</v>
      </c>
      <c r="B556" s="4" t="s">
        <v>37</v>
      </c>
      <c r="C556" s="4" t="s">
        <v>23</v>
      </c>
      <c r="D556" s="4" t="s">
        <v>44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44562</v>
      </c>
      <c r="J556" s="6">
        <v>0</v>
      </c>
      <c r="K556" s="6">
        <v>0</v>
      </c>
      <c r="L556" s="6">
        <v>31.497</v>
      </c>
      <c r="M556" s="6">
        <v>31.497</v>
      </c>
      <c r="N556" s="6">
        <v>31.497</v>
      </c>
      <c r="O556" s="6">
        <v>31.497</v>
      </c>
      <c r="P556" s="6">
        <v>68</v>
      </c>
      <c r="Q556" s="4" t="s">
        <v>26</v>
      </c>
      <c r="R556" s="4">
        <v>0</v>
      </c>
      <c r="S556" s="4" t="s">
        <v>244</v>
      </c>
      <c r="T556" s="4" t="s">
        <v>437</v>
      </c>
      <c r="U556" s="4">
        <v>0</v>
      </c>
      <c r="V556" s="4">
        <v>36</v>
      </c>
      <c r="W556" s="4">
        <v>81</v>
      </c>
    </row>
    <row r="557" spans="1:23" ht="11.25" customHeight="1" x14ac:dyDescent="0.3">
      <c r="A557" s="4" t="s">
        <v>21</v>
      </c>
      <c r="B557" s="4" t="s">
        <v>37</v>
      </c>
      <c r="C557" s="4" t="s">
        <v>23</v>
      </c>
      <c r="D557" s="4" t="s">
        <v>44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44593</v>
      </c>
      <c r="J557" s="6">
        <v>0</v>
      </c>
      <c r="K557" s="6">
        <v>0</v>
      </c>
      <c r="L557" s="6">
        <v>45.668999999999997</v>
      </c>
      <c r="M557" s="6">
        <v>45.668999999999997</v>
      </c>
      <c r="N557" s="6">
        <v>45.668999999999997</v>
      </c>
      <c r="O557" s="6">
        <v>45.668999999999997</v>
      </c>
      <c r="P557" s="6">
        <v>68</v>
      </c>
      <c r="Q557" s="4" t="s">
        <v>26</v>
      </c>
      <c r="R557" s="4">
        <v>0</v>
      </c>
      <c r="S557" s="4" t="s">
        <v>245</v>
      </c>
      <c r="T557" s="4" t="s">
        <v>438</v>
      </c>
      <c r="U557" s="4">
        <v>0</v>
      </c>
      <c r="V557" s="4">
        <v>36</v>
      </c>
      <c r="W557" s="4">
        <v>81</v>
      </c>
    </row>
    <row r="558" spans="1:23" ht="11.25" customHeight="1" x14ac:dyDescent="0.3">
      <c r="A558" s="4" t="s">
        <v>21</v>
      </c>
      <c r="B558" s="4" t="s">
        <v>37</v>
      </c>
      <c r="C558" s="4" t="s">
        <v>23</v>
      </c>
      <c r="D558" s="4" t="s">
        <v>44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44621</v>
      </c>
      <c r="J558" s="6">
        <v>0</v>
      </c>
      <c r="K558" s="6">
        <v>0</v>
      </c>
      <c r="L558" s="6">
        <v>54.984999999999999</v>
      </c>
      <c r="M558" s="6">
        <v>54.984999999999999</v>
      </c>
      <c r="N558" s="6">
        <v>54.984999999999999</v>
      </c>
      <c r="O558" s="6">
        <v>54.984999999999999</v>
      </c>
      <c r="P558" s="6">
        <v>68</v>
      </c>
      <c r="Q558" s="4" t="s">
        <v>26</v>
      </c>
      <c r="R558" s="4">
        <v>0</v>
      </c>
      <c r="S558" s="4" t="s">
        <v>246</v>
      </c>
      <c r="T558" s="4" t="s">
        <v>439</v>
      </c>
      <c r="U558" s="4">
        <v>0</v>
      </c>
      <c r="V558" s="4">
        <v>36</v>
      </c>
      <c r="W558" s="4">
        <v>81</v>
      </c>
    </row>
    <row r="559" spans="1:23" ht="11.25" customHeight="1" x14ac:dyDescent="0.3">
      <c r="A559" s="4" t="s">
        <v>21</v>
      </c>
      <c r="B559" s="4" t="s">
        <v>37</v>
      </c>
      <c r="C559" s="4" t="s">
        <v>23</v>
      </c>
      <c r="D559" s="4" t="s">
        <v>44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44652</v>
      </c>
      <c r="J559" s="6">
        <v>0</v>
      </c>
      <c r="K559" s="6">
        <v>0</v>
      </c>
      <c r="L559" s="6">
        <v>37.22</v>
      </c>
      <c r="M559" s="6">
        <v>37.22</v>
      </c>
      <c r="N559" s="6">
        <v>37.22</v>
      </c>
      <c r="O559" s="6">
        <v>37.22</v>
      </c>
      <c r="P559" s="6">
        <v>68</v>
      </c>
      <c r="Q559" s="4" t="s">
        <v>26</v>
      </c>
      <c r="R559" s="4">
        <v>0</v>
      </c>
      <c r="S559" s="4" t="s">
        <v>247</v>
      </c>
      <c r="T559" s="4" t="s">
        <v>440</v>
      </c>
      <c r="U559" s="4">
        <v>0</v>
      </c>
      <c r="V559" s="4">
        <v>36</v>
      </c>
      <c r="W559" s="4">
        <v>81</v>
      </c>
    </row>
    <row r="560" spans="1:23" ht="11.25" customHeight="1" x14ac:dyDescent="0.3">
      <c r="A560" s="4" t="s">
        <v>21</v>
      </c>
      <c r="B560" s="4" t="s">
        <v>37</v>
      </c>
      <c r="C560" s="4" t="s">
        <v>23</v>
      </c>
      <c r="D560" s="4" t="s">
        <v>44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44682</v>
      </c>
      <c r="J560" s="6">
        <v>0</v>
      </c>
      <c r="K560" s="6">
        <v>0</v>
      </c>
      <c r="L560" s="6">
        <v>34.881999999999998</v>
      </c>
      <c r="M560" s="6">
        <v>34.881999999999998</v>
      </c>
      <c r="N560" s="6">
        <v>34.881999999999998</v>
      </c>
      <c r="O560" s="6">
        <v>34.881999999999998</v>
      </c>
      <c r="P560" s="6">
        <v>68</v>
      </c>
      <c r="Q560" s="4" t="s">
        <v>26</v>
      </c>
      <c r="R560" s="4">
        <v>0</v>
      </c>
      <c r="S560" s="4" t="s">
        <v>248</v>
      </c>
      <c r="T560" s="4" t="s">
        <v>441</v>
      </c>
      <c r="U560" s="4">
        <v>0</v>
      </c>
      <c r="V560" s="4">
        <v>36</v>
      </c>
      <c r="W560" s="4">
        <v>81</v>
      </c>
    </row>
    <row r="561" spans="1:23" ht="11.25" customHeight="1" x14ac:dyDescent="0.3">
      <c r="A561" s="4" t="s">
        <v>21</v>
      </c>
      <c r="B561" s="4" t="s">
        <v>37</v>
      </c>
      <c r="C561" s="4" t="s">
        <v>23</v>
      </c>
      <c r="D561" s="4" t="s">
        <v>44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44713</v>
      </c>
      <c r="J561" s="6">
        <v>0</v>
      </c>
      <c r="K561" s="6">
        <v>0</v>
      </c>
      <c r="L561" s="6">
        <v>31.451000000000001</v>
      </c>
      <c r="M561" s="6">
        <v>31.451000000000001</v>
      </c>
      <c r="N561" s="6">
        <v>31.451000000000001</v>
      </c>
      <c r="O561" s="6">
        <v>31.451000000000001</v>
      </c>
      <c r="P561" s="6">
        <v>68</v>
      </c>
      <c r="Q561" s="4" t="s">
        <v>26</v>
      </c>
      <c r="R561" s="4">
        <v>0</v>
      </c>
      <c r="S561" s="4" t="s">
        <v>249</v>
      </c>
      <c r="T561" s="4" t="s">
        <v>442</v>
      </c>
      <c r="U561" s="4">
        <v>0</v>
      </c>
      <c r="V561" s="4">
        <v>36</v>
      </c>
      <c r="W561" s="4">
        <v>81</v>
      </c>
    </row>
    <row r="562" spans="1:23" ht="11.25" customHeight="1" x14ac:dyDescent="0.3">
      <c r="A562" s="4" t="s">
        <v>21</v>
      </c>
      <c r="B562" s="4" t="s">
        <v>37</v>
      </c>
      <c r="C562" s="4" t="s">
        <v>23</v>
      </c>
      <c r="D562" s="4" t="s">
        <v>44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44743</v>
      </c>
      <c r="J562" s="6">
        <v>0</v>
      </c>
      <c r="K562" s="6">
        <v>0</v>
      </c>
      <c r="L562" s="6">
        <v>29.497</v>
      </c>
      <c r="M562" s="6">
        <v>29.497</v>
      </c>
      <c r="N562" s="6">
        <v>29.497</v>
      </c>
      <c r="O562" s="6">
        <v>29.497</v>
      </c>
      <c r="P562" s="6">
        <v>69</v>
      </c>
      <c r="Q562" s="4" t="s">
        <v>26</v>
      </c>
      <c r="R562" s="4">
        <v>0</v>
      </c>
      <c r="S562" s="4" t="s">
        <v>250</v>
      </c>
      <c r="T562" s="4" t="s">
        <v>443</v>
      </c>
      <c r="U562" s="4">
        <v>0</v>
      </c>
      <c r="V562" s="4">
        <v>36</v>
      </c>
      <c r="W562" s="4">
        <v>81</v>
      </c>
    </row>
    <row r="563" spans="1:23" ht="11.25" customHeight="1" x14ac:dyDescent="0.3">
      <c r="A563" s="4" t="s">
        <v>21</v>
      </c>
      <c r="B563" s="4" t="s">
        <v>37</v>
      </c>
      <c r="C563" s="4" t="s">
        <v>23</v>
      </c>
      <c r="D563" s="4" t="s">
        <v>44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44774</v>
      </c>
      <c r="J563" s="6">
        <v>0</v>
      </c>
      <c r="K563" s="6">
        <v>0</v>
      </c>
      <c r="L563" s="6">
        <v>37.067</v>
      </c>
      <c r="M563" s="6">
        <v>37.067</v>
      </c>
      <c r="N563" s="6">
        <v>37.067</v>
      </c>
      <c r="O563" s="6">
        <v>37.067</v>
      </c>
      <c r="P563" s="6">
        <v>69</v>
      </c>
      <c r="Q563" s="4" t="s">
        <v>26</v>
      </c>
      <c r="R563" s="4">
        <v>0</v>
      </c>
      <c r="S563" s="4" t="s">
        <v>251</v>
      </c>
      <c r="T563" s="4" t="s">
        <v>444</v>
      </c>
      <c r="U563" s="4">
        <v>0</v>
      </c>
      <c r="V563" s="4">
        <v>36</v>
      </c>
      <c r="W563" s="4">
        <v>81</v>
      </c>
    </row>
    <row r="564" spans="1:23" ht="11.25" customHeight="1" x14ac:dyDescent="0.3">
      <c r="A564" s="4" t="s">
        <v>21</v>
      </c>
      <c r="B564" s="4" t="s">
        <v>37</v>
      </c>
      <c r="C564" s="4" t="s">
        <v>23</v>
      </c>
      <c r="D564" s="4" t="s">
        <v>48</v>
      </c>
      <c r="E564" s="4" t="s">
        <v>49</v>
      </c>
      <c r="F564" s="4" t="s">
        <v>25</v>
      </c>
      <c r="G564" s="4" t="s">
        <v>25</v>
      </c>
      <c r="H564" s="4" t="s">
        <v>25</v>
      </c>
      <c r="I564" s="5">
        <v>44440</v>
      </c>
      <c r="J564" s="6">
        <v>0</v>
      </c>
      <c r="K564" s="6">
        <v>0</v>
      </c>
      <c r="L564" s="6">
        <v>23.096</v>
      </c>
      <c r="M564" s="6">
        <v>21.710239999999999</v>
      </c>
      <c r="N564" s="6">
        <v>23.096</v>
      </c>
      <c r="O564" s="6">
        <v>21.710239999999999</v>
      </c>
      <c r="P564" s="6">
        <v>8</v>
      </c>
      <c r="Q564" s="4" t="s">
        <v>26</v>
      </c>
      <c r="R564" s="4">
        <v>0</v>
      </c>
      <c r="S564" s="4" t="s">
        <v>240</v>
      </c>
      <c r="T564" s="4" t="s">
        <v>433</v>
      </c>
      <c r="U564" s="4">
        <v>0</v>
      </c>
      <c r="V564" s="4">
        <v>36</v>
      </c>
      <c r="W564" s="4">
        <v>81</v>
      </c>
    </row>
    <row r="565" spans="1:23" ht="11.25" customHeight="1" x14ac:dyDescent="0.3">
      <c r="A565" s="4" t="s">
        <v>21</v>
      </c>
      <c r="B565" s="4" t="s">
        <v>37</v>
      </c>
      <c r="C565" s="4" t="s">
        <v>23</v>
      </c>
      <c r="D565" s="4" t="s">
        <v>48</v>
      </c>
      <c r="E565" s="4" t="s">
        <v>49</v>
      </c>
      <c r="F565" s="4" t="s">
        <v>25</v>
      </c>
      <c r="G565" s="4" t="s">
        <v>25</v>
      </c>
      <c r="H565" s="4" t="s">
        <v>25</v>
      </c>
      <c r="I565" s="5">
        <v>44470</v>
      </c>
      <c r="J565" s="6">
        <v>0</v>
      </c>
      <c r="K565" s="6">
        <v>0</v>
      </c>
      <c r="L565" s="6">
        <v>20.457999999999998</v>
      </c>
      <c r="M565" s="6">
        <v>19.230519999999999</v>
      </c>
      <c r="N565" s="6">
        <v>20.457999999999998</v>
      </c>
      <c r="O565" s="6">
        <v>19.230519999999999</v>
      </c>
      <c r="P565" s="6">
        <v>8</v>
      </c>
      <c r="Q565" s="4" t="s">
        <v>26</v>
      </c>
      <c r="R565" s="4">
        <v>0</v>
      </c>
      <c r="S565" s="4" t="s">
        <v>241</v>
      </c>
      <c r="T565" s="4" t="s">
        <v>434</v>
      </c>
      <c r="U565" s="4">
        <v>0</v>
      </c>
      <c r="V565" s="4">
        <v>36</v>
      </c>
      <c r="W565" s="4">
        <v>81</v>
      </c>
    </row>
    <row r="566" spans="1:23" ht="11.25" customHeight="1" x14ac:dyDescent="0.3">
      <c r="A566" s="4" t="s">
        <v>21</v>
      </c>
      <c r="B566" s="4" t="s">
        <v>37</v>
      </c>
      <c r="C566" s="4" t="s">
        <v>23</v>
      </c>
      <c r="D566" s="4" t="s">
        <v>48</v>
      </c>
      <c r="E566" s="4" t="s">
        <v>49</v>
      </c>
      <c r="F566" s="4" t="s">
        <v>25</v>
      </c>
      <c r="G566" s="4" t="s">
        <v>25</v>
      </c>
      <c r="H566" s="4" t="s">
        <v>25</v>
      </c>
      <c r="I566" s="5">
        <v>44501</v>
      </c>
      <c r="J566" s="6">
        <v>0</v>
      </c>
      <c r="K566" s="6">
        <v>0</v>
      </c>
      <c r="L566" s="6">
        <v>22.648</v>
      </c>
      <c r="M566" s="6">
        <v>21.28912</v>
      </c>
      <c r="N566" s="6">
        <v>22.648</v>
      </c>
      <c r="O566" s="6">
        <v>21.28912</v>
      </c>
      <c r="P566" s="6">
        <v>8</v>
      </c>
      <c r="Q566" s="4" t="s">
        <v>26</v>
      </c>
      <c r="R566" s="4">
        <v>0</v>
      </c>
      <c r="S566" s="4" t="s">
        <v>242</v>
      </c>
      <c r="T566" s="4" t="s">
        <v>435</v>
      </c>
      <c r="U566" s="4">
        <v>0</v>
      </c>
      <c r="V566" s="4">
        <v>36</v>
      </c>
      <c r="W566" s="4">
        <v>81</v>
      </c>
    </row>
    <row r="567" spans="1:23" ht="11.25" customHeight="1" x14ac:dyDescent="0.3">
      <c r="A567" s="4" t="s">
        <v>21</v>
      </c>
      <c r="B567" s="4" t="s">
        <v>37</v>
      </c>
      <c r="C567" s="4" t="s">
        <v>23</v>
      </c>
      <c r="D567" s="4" t="s">
        <v>48</v>
      </c>
      <c r="E567" s="4" t="s">
        <v>49</v>
      </c>
      <c r="F567" s="4" t="s">
        <v>25</v>
      </c>
      <c r="G567" s="4" t="s">
        <v>25</v>
      </c>
      <c r="H567" s="4" t="s">
        <v>25</v>
      </c>
      <c r="I567" s="5">
        <v>44531</v>
      </c>
      <c r="J567" s="6">
        <v>0</v>
      </c>
      <c r="K567" s="6">
        <v>0</v>
      </c>
      <c r="L567" s="6">
        <v>21.591000000000001</v>
      </c>
      <c r="M567" s="6">
        <v>20.295539999999999</v>
      </c>
      <c r="N567" s="6">
        <v>21.591000000000001</v>
      </c>
      <c r="O567" s="6">
        <v>20.295539999999999</v>
      </c>
      <c r="P567" s="6">
        <v>8</v>
      </c>
      <c r="Q567" s="4" t="s">
        <v>26</v>
      </c>
      <c r="R567" s="4">
        <v>0</v>
      </c>
      <c r="S567" s="4" t="s">
        <v>243</v>
      </c>
      <c r="T567" s="4" t="s">
        <v>436</v>
      </c>
      <c r="U567" s="4">
        <v>0</v>
      </c>
      <c r="V567" s="4">
        <v>36</v>
      </c>
      <c r="W567" s="4">
        <v>81</v>
      </c>
    </row>
    <row r="568" spans="1:23" ht="11.25" customHeight="1" x14ac:dyDescent="0.3">
      <c r="A568" s="4" t="s">
        <v>21</v>
      </c>
      <c r="B568" s="4" t="s">
        <v>37</v>
      </c>
      <c r="C568" s="4" t="s">
        <v>23</v>
      </c>
      <c r="D568" s="4" t="s">
        <v>48</v>
      </c>
      <c r="E568" s="4" t="s">
        <v>49</v>
      </c>
      <c r="F568" s="4" t="s">
        <v>25</v>
      </c>
      <c r="G568" s="4" t="s">
        <v>25</v>
      </c>
      <c r="H568" s="4" t="s">
        <v>25</v>
      </c>
      <c r="I568" s="5">
        <v>44562</v>
      </c>
      <c r="J568" s="6">
        <v>0</v>
      </c>
      <c r="K568" s="6">
        <v>0</v>
      </c>
      <c r="L568" s="6">
        <v>29.577000000000002</v>
      </c>
      <c r="M568" s="6">
        <v>27.802379999999999</v>
      </c>
      <c r="N568" s="6">
        <v>29.577000000000002</v>
      </c>
      <c r="O568" s="6">
        <v>27.802379999999999</v>
      </c>
      <c r="P568" s="6">
        <v>8</v>
      </c>
      <c r="Q568" s="4" t="s">
        <v>26</v>
      </c>
      <c r="R568" s="4">
        <v>0</v>
      </c>
      <c r="S568" s="4" t="s">
        <v>244</v>
      </c>
      <c r="T568" s="4" t="s">
        <v>437</v>
      </c>
      <c r="U568" s="4">
        <v>0</v>
      </c>
      <c r="V568" s="4">
        <v>36</v>
      </c>
      <c r="W568" s="4">
        <v>81</v>
      </c>
    </row>
    <row r="569" spans="1:23" ht="11.25" customHeight="1" x14ac:dyDescent="0.3">
      <c r="A569" s="4" t="s">
        <v>21</v>
      </c>
      <c r="B569" s="4" t="s">
        <v>37</v>
      </c>
      <c r="C569" s="4" t="s">
        <v>23</v>
      </c>
      <c r="D569" s="4" t="s">
        <v>48</v>
      </c>
      <c r="E569" s="4" t="s">
        <v>49</v>
      </c>
      <c r="F569" s="4" t="s">
        <v>25</v>
      </c>
      <c r="G569" s="4" t="s">
        <v>25</v>
      </c>
      <c r="H569" s="4" t="s">
        <v>25</v>
      </c>
      <c r="I569" s="5">
        <v>44593</v>
      </c>
      <c r="J569" s="6">
        <v>0</v>
      </c>
      <c r="K569" s="6">
        <v>0</v>
      </c>
      <c r="L569" s="6">
        <v>32.270000000000003</v>
      </c>
      <c r="M569" s="6">
        <v>30.3338</v>
      </c>
      <c r="N569" s="6">
        <v>32.270000000000003</v>
      </c>
      <c r="O569" s="6">
        <v>30.3338</v>
      </c>
      <c r="P569" s="6">
        <v>8</v>
      </c>
      <c r="Q569" s="4" t="s">
        <v>26</v>
      </c>
      <c r="R569" s="4">
        <v>0</v>
      </c>
      <c r="S569" s="4" t="s">
        <v>245</v>
      </c>
      <c r="T569" s="4" t="s">
        <v>438</v>
      </c>
      <c r="U569" s="4">
        <v>0</v>
      </c>
      <c r="V569" s="4">
        <v>36</v>
      </c>
      <c r="W569" s="4">
        <v>81</v>
      </c>
    </row>
    <row r="570" spans="1:23" ht="11.25" customHeight="1" x14ac:dyDescent="0.3">
      <c r="A570" s="4" t="s">
        <v>21</v>
      </c>
      <c r="B570" s="4" t="s">
        <v>37</v>
      </c>
      <c r="C570" s="4" t="s">
        <v>23</v>
      </c>
      <c r="D570" s="4" t="s">
        <v>48</v>
      </c>
      <c r="E570" s="4" t="s">
        <v>49</v>
      </c>
      <c r="F570" s="4" t="s">
        <v>25</v>
      </c>
      <c r="G570" s="4" t="s">
        <v>25</v>
      </c>
      <c r="H570" s="4" t="s">
        <v>25</v>
      </c>
      <c r="I570" s="5">
        <v>44621</v>
      </c>
      <c r="J570" s="6">
        <v>0</v>
      </c>
      <c r="K570" s="6">
        <v>0</v>
      </c>
      <c r="L570" s="6">
        <v>30.125</v>
      </c>
      <c r="M570" s="6">
        <v>28.317499999999999</v>
      </c>
      <c r="N570" s="6">
        <v>30.125</v>
      </c>
      <c r="O570" s="6">
        <v>28.317499999999999</v>
      </c>
      <c r="P570" s="6">
        <v>8</v>
      </c>
      <c r="Q570" s="4" t="s">
        <v>26</v>
      </c>
      <c r="R570" s="4">
        <v>0</v>
      </c>
      <c r="S570" s="4" t="s">
        <v>246</v>
      </c>
      <c r="T570" s="4" t="s">
        <v>439</v>
      </c>
      <c r="U570" s="4">
        <v>0</v>
      </c>
      <c r="V570" s="4">
        <v>36</v>
      </c>
      <c r="W570" s="4">
        <v>81</v>
      </c>
    </row>
    <row r="571" spans="1:23" ht="11.25" customHeight="1" x14ac:dyDescent="0.3">
      <c r="A571" s="4" t="s">
        <v>21</v>
      </c>
      <c r="B571" s="4" t="s">
        <v>37</v>
      </c>
      <c r="C571" s="4" t="s">
        <v>23</v>
      </c>
      <c r="D571" s="4" t="s">
        <v>48</v>
      </c>
      <c r="E571" s="4" t="s">
        <v>49</v>
      </c>
      <c r="F571" s="4" t="s">
        <v>25</v>
      </c>
      <c r="G571" s="4" t="s">
        <v>25</v>
      </c>
      <c r="H571" s="4" t="s">
        <v>25</v>
      </c>
      <c r="I571" s="5">
        <v>44652</v>
      </c>
      <c r="J571" s="6">
        <v>0</v>
      </c>
      <c r="K571" s="6">
        <v>0</v>
      </c>
      <c r="L571" s="6">
        <v>24.422999999999998</v>
      </c>
      <c r="M571" s="6">
        <v>22.957619999999999</v>
      </c>
      <c r="N571" s="6">
        <v>24.422999999999998</v>
      </c>
      <c r="O571" s="6">
        <v>22.957619999999999</v>
      </c>
      <c r="P571" s="6">
        <v>8</v>
      </c>
      <c r="Q571" s="4" t="s">
        <v>26</v>
      </c>
      <c r="R571" s="4">
        <v>0</v>
      </c>
      <c r="S571" s="4" t="s">
        <v>247</v>
      </c>
      <c r="T571" s="4" t="s">
        <v>440</v>
      </c>
      <c r="U571" s="4">
        <v>0</v>
      </c>
      <c r="V571" s="4">
        <v>36</v>
      </c>
      <c r="W571" s="4">
        <v>81</v>
      </c>
    </row>
    <row r="572" spans="1:23" ht="11.25" customHeight="1" x14ac:dyDescent="0.3">
      <c r="A572" s="4" t="s">
        <v>21</v>
      </c>
      <c r="B572" s="4" t="s">
        <v>37</v>
      </c>
      <c r="C572" s="4" t="s">
        <v>23</v>
      </c>
      <c r="D572" s="4" t="s">
        <v>48</v>
      </c>
      <c r="E572" s="4" t="s">
        <v>49</v>
      </c>
      <c r="F572" s="4" t="s">
        <v>25</v>
      </c>
      <c r="G572" s="4" t="s">
        <v>25</v>
      </c>
      <c r="H572" s="4" t="s">
        <v>25</v>
      </c>
      <c r="I572" s="5">
        <v>44682</v>
      </c>
      <c r="J572" s="6">
        <v>0</v>
      </c>
      <c r="K572" s="6">
        <v>0</v>
      </c>
      <c r="L572" s="6">
        <v>25.241</v>
      </c>
      <c r="M572" s="6">
        <v>23.72654</v>
      </c>
      <c r="N572" s="6">
        <v>25.241</v>
      </c>
      <c r="O572" s="6">
        <v>23.72654</v>
      </c>
      <c r="P572" s="6">
        <v>8</v>
      </c>
      <c r="Q572" s="4" t="s">
        <v>26</v>
      </c>
      <c r="R572" s="4">
        <v>0</v>
      </c>
      <c r="S572" s="4" t="s">
        <v>248</v>
      </c>
      <c r="T572" s="4" t="s">
        <v>441</v>
      </c>
      <c r="U572" s="4">
        <v>0</v>
      </c>
      <c r="V572" s="4">
        <v>36</v>
      </c>
      <c r="W572" s="4">
        <v>81</v>
      </c>
    </row>
    <row r="573" spans="1:23" ht="11.25" customHeight="1" x14ac:dyDescent="0.3">
      <c r="A573" s="4" t="s">
        <v>21</v>
      </c>
      <c r="B573" s="4" t="s">
        <v>37</v>
      </c>
      <c r="C573" s="4" t="s">
        <v>23</v>
      </c>
      <c r="D573" s="4" t="s">
        <v>48</v>
      </c>
      <c r="E573" s="4" t="s">
        <v>49</v>
      </c>
      <c r="F573" s="4" t="s">
        <v>25</v>
      </c>
      <c r="G573" s="4" t="s">
        <v>25</v>
      </c>
      <c r="H573" s="4" t="s">
        <v>25</v>
      </c>
      <c r="I573" s="5">
        <v>44713</v>
      </c>
      <c r="J573" s="6">
        <v>0</v>
      </c>
      <c r="K573" s="6">
        <v>0</v>
      </c>
      <c r="L573" s="6">
        <v>22.896999999999998</v>
      </c>
      <c r="M573" s="6">
        <v>21.52318</v>
      </c>
      <c r="N573" s="6">
        <v>22.896999999999998</v>
      </c>
      <c r="O573" s="6">
        <v>21.52318</v>
      </c>
      <c r="P573" s="6">
        <v>8</v>
      </c>
      <c r="Q573" s="4" t="s">
        <v>26</v>
      </c>
      <c r="R573" s="4">
        <v>0</v>
      </c>
      <c r="S573" s="4" t="s">
        <v>249</v>
      </c>
      <c r="T573" s="4" t="s">
        <v>442</v>
      </c>
      <c r="U573" s="4">
        <v>0</v>
      </c>
      <c r="V573" s="4">
        <v>36</v>
      </c>
      <c r="W573" s="4">
        <v>81</v>
      </c>
    </row>
    <row r="574" spans="1:23" ht="11.25" customHeight="1" x14ac:dyDescent="0.3">
      <c r="A574" s="4" t="s">
        <v>21</v>
      </c>
      <c r="B574" s="4" t="s">
        <v>37</v>
      </c>
      <c r="C574" s="4" t="s">
        <v>23</v>
      </c>
      <c r="D574" s="4" t="s">
        <v>48</v>
      </c>
      <c r="E574" s="4" t="s">
        <v>49</v>
      </c>
      <c r="F574" s="4" t="s">
        <v>25</v>
      </c>
      <c r="G574" s="4" t="s">
        <v>25</v>
      </c>
      <c r="H574" s="4" t="s">
        <v>25</v>
      </c>
      <c r="I574" s="5">
        <v>44743</v>
      </c>
      <c r="J574" s="6">
        <v>0</v>
      </c>
      <c r="K574" s="6">
        <v>0</v>
      </c>
      <c r="L574" s="6">
        <v>19.231999999999999</v>
      </c>
      <c r="M574" s="6">
        <v>18.07808</v>
      </c>
      <c r="N574" s="6">
        <v>19.231999999999999</v>
      </c>
      <c r="O574" s="6">
        <v>18.07808</v>
      </c>
      <c r="P574" s="6">
        <v>8</v>
      </c>
      <c r="Q574" s="4" t="s">
        <v>26</v>
      </c>
      <c r="R574" s="4">
        <v>0</v>
      </c>
      <c r="S574" s="4" t="s">
        <v>250</v>
      </c>
      <c r="T574" s="4" t="s">
        <v>443</v>
      </c>
      <c r="U574" s="4">
        <v>0</v>
      </c>
      <c r="V574" s="4">
        <v>36</v>
      </c>
      <c r="W574" s="4">
        <v>81</v>
      </c>
    </row>
    <row r="575" spans="1:23" ht="11.25" customHeight="1" x14ac:dyDescent="0.3">
      <c r="A575" s="4" t="s">
        <v>21</v>
      </c>
      <c r="B575" s="4" t="s">
        <v>37</v>
      </c>
      <c r="C575" s="4" t="s">
        <v>23</v>
      </c>
      <c r="D575" s="4" t="s">
        <v>48</v>
      </c>
      <c r="E575" s="4" t="s">
        <v>49</v>
      </c>
      <c r="F575" s="4" t="s">
        <v>25</v>
      </c>
      <c r="G575" s="4" t="s">
        <v>25</v>
      </c>
      <c r="H575" s="4" t="s">
        <v>25</v>
      </c>
      <c r="I575" s="5">
        <v>44774</v>
      </c>
      <c r="J575" s="6">
        <v>0</v>
      </c>
      <c r="K575" s="6">
        <v>0</v>
      </c>
      <c r="L575" s="6">
        <v>24.995999999999999</v>
      </c>
      <c r="M575" s="6">
        <v>23.49624</v>
      </c>
      <c r="N575" s="6">
        <v>24.995999999999999</v>
      </c>
      <c r="O575" s="6">
        <v>23.49624</v>
      </c>
      <c r="P575" s="6">
        <v>8</v>
      </c>
      <c r="Q575" s="4" t="s">
        <v>26</v>
      </c>
      <c r="R575" s="4">
        <v>0</v>
      </c>
      <c r="S575" s="4" t="s">
        <v>251</v>
      </c>
      <c r="T575" s="4" t="s">
        <v>444</v>
      </c>
      <c r="U575" s="4">
        <v>0</v>
      </c>
      <c r="V575" s="4">
        <v>36</v>
      </c>
      <c r="W575" s="4">
        <v>81</v>
      </c>
    </row>
    <row r="576" spans="1:23" ht="11.25" customHeight="1" x14ac:dyDescent="0.3">
      <c r="A576" s="4" t="s">
        <v>21</v>
      </c>
      <c r="B576" s="4" t="s">
        <v>45</v>
      </c>
      <c r="C576" s="4" t="s">
        <v>23</v>
      </c>
      <c r="D576" s="4" t="s">
        <v>46</v>
      </c>
      <c r="E576" s="4" t="s">
        <v>47</v>
      </c>
      <c r="F576" s="4" t="s">
        <v>25</v>
      </c>
      <c r="G576" s="4" t="s">
        <v>25</v>
      </c>
      <c r="H576" s="4" t="s">
        <v>25</v>
      </c>
      <c r="I576" s="5">
        <v>44440</v>
      </c>
      <c r="J576" s="6">
        <v>0</v>
      </c>
      <c r="K576" s="6">
        <v>0</v>
      </c>
      <c r="L576" s="6">
        <v>308.06400000000002</v>
      </c>
      <c r="M576" s="6">
        <v>308.06400000000002</v>
      </c>
      <c r="N576" s="6">
        <v>308.06400000000002</v>
      </c>
      <c r="O576" s="6">
        <v>308.06400000000002</v>
      </c>
      <c r="P576" s="6">
        <v>3</v>
      </c>
      <c r="Q576" s="4" t="s">
        <v>26</v>
      </c>
      <c r="R576" s="4">
        <v>0</v>
      </c>
      <c r="S576" s="4" t="s">
        <v>252</v>
      </c>
      <c r="T576" s="4" t="s">
        <v>445</v>
      </c>
      <c r="U576" s="4">
        <v>0</v>
      </c>
      <c r="V576" s="4">
        <v>47</v>
      </c>
      <c r="W576" s="4">
        <v>83</v>
      </c>
    </row>
    <row r="577" spans="1:23" ht="11.25" customHeight="1" x14ac:dyDescent="0.3">
      <c r="A577" s="4" t="s">
        <v>21</v>
      </c>
      <c r="B577" s="4" t="s">
        <v>45</v>
      </c>
      <c r="C577" s="4" t="s">
        <v>23</v>
      </c>
      <c r="D577" s="4" t="s">
        <v>46</v>
      </c>
      <c r="E577" s="4" t="s">
        <v>47</v>
      </c>
      <c r="F577" s="4" t="s">
        <v>25</v>
      </c>
      <c r="G577" s="4" t="s">
        <v>25</v>
      </c>
      <c r="H577" s="4" t="s">
        <v>25</v>
      </c>
      <c r="I577" s="5">
        <v>44470</v>
      </c>
      <c r="J577" s="6">
        <v>0</v>
      </c>
      <c r="K577" s="6">
        <v>0</v>
      </c>
      <c r="L577" s="6">
        <v>308.262</v>
      </c>
      <c r="M577" s="6">
        <v>308.262</v>
      </c>
      <c r="N577" s="6">
        <v>308.262</v>
      </c>
      <c r="O577" s="6">
        <v>308.262</v>
      </c>
      <c r="P577" s="6">
        <v>3</v>
      </c>
      <c r="Q577" s="4" t="s">
        <v>26</v>
      </c>
      <c r="R577" s="4">
        <v>0</v>
      </c>
      <c r="S577" s="4" t="s">
        <v>253</v>
      </c>
      <c r="T577" s="4" t="s">
        <v>446</v>
      </c>
      <c r="U577" s="4">
        <v>0</v>
      </c>
      <c r="V577" s="4">
        <v>47</v>
      </c>
      <c r="W577" s="4">
        <v>83</v>
      </c>
    </row>
    <row r="578" spans="1:23" ht="11.25" customHeight="1" x14ac:dyDescent="0.3">
      <c r="A578" s="4" t="s">
        <v>21</v>
      </c>
      <c r="B578" s="4" t="s">
        <v>45</v>
      </c>
      <c r="C578" s="4" t="s">
        <v>23</v>
      </c>
      <c r="D578" s="4" t="s">
        <v>46</v>
      </c>
      <c r="E578" s="4" t="s">
        <v>47</v>
      </c>
      <c r="F578" s="4" t="s">
        <v>25</v>
      </c>
      <c r="G578" s="4" t="s">
        <v>25</v>
      </c>
      <c r="H578" s="4" t="s">
        <v>25</v>
      </c>
      <c r="I578" s="5">
        <v>44501</v>
      </c>
      <c r="J578" s="6">
        <v>0</v>
      </c>
      <c r="K578" s="6">
        <v>0</v>
      </c>
      <c r="L578" s="6">
        <v>308.76900000000001</v>
      </c>
      <c r="M578" s="6">
        <v>308.76900000000001</v>
      </c>
      <c r="N578" s="6">
        <v>308.76900000000001</v>
      </c>
      <c r="O578" s="6">
        <v>308.76900000000001</v>
      </c>
      <c r="P578" s="6">
        <v>3</v>
      </c>
      <c r="Q578" s="4" t="s">
        <v>26</v>
      </c>
      <c r="R578" s="4">
        <v>0</v>
      </c>
      <c r="S578" s="4" t="s">
        <v>254</v>
      </c>
      <c r="T578" s="4" t="s">
        <v>447</v>
      </c>
      <c r="U578" s="4">
        <v>0</v>
      </c>
      <c r="V578" s="4">
        <v>47</v>
      </c>
      <c r="W578" s="4">
        <v>83</v>
      </c>
    </row>
    <row r="579" spans="1:23" ht="11.25" customHeight="1" x14ac:dyDescent="0.3">
      <c r="A579" s="4" t="s">
        <v>21</v>
      </c>
      <c r="B579" s="4" t="s">
        <v>45</v>
      </c>
      <c r="C579" s="4" t="s">
        <v>23</v>
      </c>
      <c r="D579" s="4" t="s">
        <v>46</v>
      </c>
      <c r="E579" s="4" t="s">
        <v>47</v>
      </c>
      <c r="F579" s="4" t="s">
        <v>25</v>
      </c>
      <c r="G579" s="4" t="s">
        <v>25</v>
      </c>
      <c r="H579" s="4" t="s">
        <v>25</v>
      </c>
      <c r="I579" s="5">
        <v>44531</v>
      </c>
      <c r="J579" s="6">
        <v>0</v>
      </c>
      <c r="K579" s="6">
        <v>0</v>
      </c>
      <c r="L579" s="6">
        <v>315.70699999999999</v>
      </c>
      <c r="M579" s="6">
        <v>315.70699999999999</v>
      </c>
      <c r="N579" s="6">
        <v>315.70699999999999</v>
      </c>
      <c r="O579" s="6">
        <v>315.70699999999999</v>
      </c>
      <c r="P579" s="6">
        <v>4</v>
      </c>
      <c r="Q579" s="4" t="s">
        <v>26</v>
      </c>
      <c r="R579" s="4">
        <v>0</v>
      </c>
      <c r="S579" s="4" t="s">
        <v>255</v>
      </c>
      <c r="T579" s="4" t="s">
        <v>448</v>
      </c>
      <c r="U579" s="4">
        <v>0</v>
      </c>
      <c r="V579" s="4">
        <v>47</v>
      </c>
      <c r="W579" s="4">
        <v>83</v>
      </c>
    </row>
    <row r="580" spans="1:23" ht="11.25" customHeight="1" x14ac:dyDescent="0.3">
      <c r="A580" s="4" t="s">
        <v>21</v>
      </c>
      <c r="B580" s="4" t="s">
        <v>45</v>
      </c>
      <c r="C580" s="4" t="s">
        <v>23</v>
      </c>
      <c r="D580" s="4" t="s">
        <v>46</v>
      </c>
      <c r="E580" s="4" t="s">
        <v>47</v>
      </c>
      <c r="F580" s="4" t="s">
        <v>25</v>
      </c>
      <c r="G580" s="4" t="s">
        <v>25</v>
      </c>
      <c r="H580" s="4" t="s">
        <v>25</v>
      </c>
      <c r="I580" s="5">
        <v>44562</v>
      </c>
      <c r="J580" s="6">
        <v>0</v>
      </c>
      <c r="K580" s="6">
        <v>0</v>
      </c>
      <c r="L580" s="6">
        <v>317.30099999999999</v>
      </c>
      <c r="M580" s="6">
        <v>317.30099999999999</v>
      </c>
      <c r="N580" s="6">
        <v>317.30099999999999</v>
      </c>
      <c r="O580" s="6">
        <v>317.30099999999999</v>
      </c>
      <c r="P580" s="6">
        <v>4</v>
      </c>
      <c r="Q580" s="4" t="s">
        <v>26</v>
      </c>
      <c r="R580" s="4">
        <v>0</v>
      </c>
      <c r="S580" s="4" t="s">
        <v>256</v>
      </c>
      <c r="T580" s="4" t="s">
        <v>449</v>
      </c>
      <c r="U580" s="4">
        <v>0</v>
      </c>
      <c r="V580" s="4">
        <v>47</v>
      </c>
      <c r="W580" s="4">
        <v>83</v>
      </c>
    </row>
    <row r="581" spans="1:23" ht="11.25" customHeight="1" x14ac:dyDescent="0.3">
      <c r="A581" s="4" t="s">
        <v>21</v>
      </c>
      <c r="B581" s="4" t="s">
        <v>45</v>
      </c>
      <c r="C581" s="4" t="s">
        <v>23</v>
      </c>
      <c r="D581" s="4" t="s">
        <v>46</v>
      </c>
      <c r="E581" s="4" t="s">
        <v>47</v>
      </c>
      <c r="F581" s="4" t="s">
        <v>25</v>
      </c>
      <c r="G581" s="4" t="s">
        <v>25</v>
      </c>
      <c r="H581" s="4" t="s">
        <v>25</v>
      </c>
      <c r="I581" s="5">
        <v>44593</v>
      </c>
      <c r="J581" s="6">
        <v>0</v>
      </c>
      <c r="K581" s="6">
        <v>0</v>
      </c>
      <c r="L581" s="6">
        <v>317.30099999999999</v>
      </c>
      <c r="M581" s="6">
        <v>317.30099999999999</v>
      </c>
      <c r="N581" s="6">
        <v>317.30099999999999</v>
      </c>
      <c r="O581" s="6">
        <v>317.30099999999999</v>
      </c>
      <c r="P581" s="6">
        <v>4</v>
      </c>
      <c r="Q581" s="4" t="s">
        <v>26</v>
      </c>
      <c r="R581" s="4">
        <v>0</v>
      </c>
      <c r="S581" s="4" t="s">
        <v>257</v>
      </c>
      <c r="T581" s="4" t="s">
        <v>450</v>
      </c>
      <c r="U581" s="4">
        <v>0</v>
      </c>
      <c r="V581" s="4">
        <v>47</v>
      </c>
      <c r="W581" s="4">
        <v>83</v>
      </c>
    </row>
    <row r="582" spans="1:23" ht="11.25" customHeight="1" x14ac:dyDescent="0.3">
      <c r="A582" s="4" t="s">
        <v>21</v>
      </c>
      <c r="B582" s="4" t="s">
        <v>45</v>
      </c>
      <c r="C582" s="4" t="s">
        <v>23</v>
      </c>
      <c r="D582" s="4" t="s">
        <v>46</v>
      </c>
      <c r="E582" s="4" t="s">
        <v>47</v>
      </c>
      <c r="F582" s="4" t="s">
        <v>25</v>
      </c>
      <c r="G582" s="4" t="s">
        <v>25</v>
      </c>
      <c r="H582" s="4" t="s">
        <v>25</v>
      </c>
      <c r="I582" s="5">
        <v>44621</v>
      </c>
      <c r="J582" s="6">
        <v>0</v>
      </c>
      <c r="K582" s="6">
        <v>0</v>
      </c>
      <c r="L582" s="6">
        <v>318.34800000000001</v>
      </c>
      <c r="M582" s="6">
        <v>318.34800000000001</v>
      </c>
      <c r="N582" s="6">
        <v>318.34800000000001</v>
      </c>
      <c r="O582" s="6">
        <v>318.34800000000001</v>
      </c>
      <c r="P582" s="6">
        <v>4</v>
      </c>
      <c r="Q582" s="4" t="s">
        <v>26</v>
      </c>
      <c r="R582" s="4">
        <v>0</v>
      </c>
      <c r="S582" s="4" t="s">
        <v>258</v>
      </c>
      <c r="T582" s="4" t="s">
        <v>451</v>
      </c>
      <c r="U582" s="4">
        <v>0</v>
      </c>
      <c r="V582" s="4">
        <v>47</v>
      </c>
      <c r="W582" s="4">
        <v>83</v>
      </c>
    </row>
    <row r="583" spans="1:23" ht="11.25" customHeight="1" x14ac:dyDescent="0.3">
      <c r="A583" s="4" t="s">
        <v>21</v>
      </c>
      <c r="B583" s="4" t="s">
        <v>45</v>
      </c>
      <c r="C583" s="4" t="s">
        <v>23</v>
      </c>
      <c r="D583" s="4" t="s">
        <v>46</v>
      </c>
      <c r="E583" s="4" t="s">
        <v>47</v>
      </c>
      <c r="F583" s="4" t="s">
        <v>25</v>
      </c>
      <c r="G583" s="4" t="s">
        <v>25</v>
      </c>
      <c r="H583" s="4" t="s">
        <v>25</v>
      </c>
      <c r="I583" s="5">
        <v>44652</v>
      </c>
      <c r="J583" s="6">
        <v>0</v>
      </c>
      <c r="K583" s="6">
        <v>0</v>
      </c>
      <c r="L583" s="6">
        <v>318.91899999999998</v>
      </c>
      <c r="M583" s="6">
        <v>318.91899999999998</v>
      </c>
      <c r="N583" s="6">
        <v>318.91899999999998</v>
      </c>
      <c r="O583" s="6">
        <v>318.91899999999998</v>
      </c>
      <c r="P583" s="6">
        <v>4</v>
      </c>
      <c r="Q583" s="4" t="s">
        <v>26</v>
      </c>
      <c r="R583" s="4">
        <v>0</v>
      </c>
      <c r="S583" s="4" t="s">
        <v>259</v>
      </c>
      <c r="T583" s="4" t="s">
        <v>452</v>
      </c>
      <c r="U583" s="4">
        <v>0</v>
      </c>
      <c r="V583" s="4">
        <v>47</v>
      </c>
      <c r="W583" s="4">
        <v>83</v>
      </c>
    </row>
    <row r="584" spans="1:23" ht="11.25" customHeight="1" x14ac:dyDescent="0.3">
      <c r="A584" s="4" t="s">
        <v>21</v>
      </c>
      <c r="B584" s="4" t="s">
        <v>45</v>
      </c>
      <c r="C584" s="4" t="s">
        <v>23</v>
      </c>
      <c r="D584" s="4" t="s">
        <v>46</v>
      </c>
      <c r="E584" s="4" t="s">
        <v>47</v>
      </c>
      <c r="F584" s="4" t="s">
        <v>25</v>
      </c>
      <c r="G584" s="4" t="s">
        <v>25</v>
      </c>
      <c r="H584" s="4" t="s">
        <v>25</v>
      </c>
      <c r="I584" s="5">
        <v>44682</v>
      </c>
      <c r="J584" s="6">
        <v>0</v>
      </c>
      <c r="K584" s="6">
        <v>0</v>
      </c>
      <c r="L584" s="6">
        <v>320.483</v>
      </c>
      <c r="M584" s="6">
        <v>320.483</v>
      </c>
      <c r="N584" s="6">
        <v>320.483</v>
      </c>
      <c r="O584" s="6">
        <v>320.483</v>
      </c>
      <c r="P584" s="6">
        <v>4</v>
      </c>
      <c r="Q584" s="4" t="s">
        <v>26</v>
      </c>
      <c r="R584" s="4">
        <v>0</v>
      </c>
      <c r="S584" s="4" t="s">
        <v>260</v>
      </c>
      <c r="T584" s="4" t="s">
        <v>453</v>
      </c>
      <c r="U584" s="4">
        <v>0</v>
      </c>
      <c r="V584" s="4">
        <v>47</v>
      </c>
      <c r="W584" s="4">
        <v>83</v>
      </c>
    </row>
    <row r="585" spans="1:23" ht="11.25" customHeight="1" x14ac:dyDescent="0.3">
      <c r="A585" s="4" t="s">
        <v>21</v>
      </c>
      <c r="B585" s="4" t="s">
        <v>45</v>
      </c>
      <c r="C585" s="4" t="s">
        <v>23</v>
      </c>
      <c r="D585" s="4" t="s">
        <v>46</v>
      </c>
      <c r="E585" s="4" t="s">
        <v>47</v>
      </c>
      <c r="F585" s="4" t="s">
        <v>25</v>
      </c>
      <c r="G585" s="4" t="s">
        <v>25</v>
      </c>
      <c r="H585" s="4" t="s">
        <v>25</v>
      </c>
      <c r="I585" s="5">
        <v>44713</v>
      </c>
      <c r="J585" s="6">
        <v>0</v>
      </c>
      <c r="K585" s="6">
        <v>0</v>
      </c>
      <c r="L585" s="6">
        <v>322.30599999999998</v>
      </c>
      <c r="M585" s="6">
        <v>322.30599999999998</v>
      </c>
      <c r="N585" s="6">
        <v>322.30599999999998</v>
      </c>
      <c r="O585" s="6">
        <v>322.30599999999998</v>
      </c>
      <c r="P585" s="6">
        <v>4</v>
      </c>
      <c r="Q585" s="4" t="s">
        <v>26</v>
      </c>
      <c r="R585" s="4">
        <v>0</v>
      </c>
      <c r="S585" s="4" t="s">
        <v>261</v>
      </c>
      <c r="T585" s="4" t="s">
        <v>454</v>
      </c>
      <c r="U585" s="4">
        <v>0</v>
      </c>
      <c r="V585" s="4">
        <v>47</v>
      </c>
      <c r="W585" s="4">
        <v>83</v>
      </c>
    </row>
    <row r="586" spans="1:23" ht="11.25" customHeight="1" x14ac:dyDescent="0.3">
      <c r="A586" s="4" t="s">
        <v>21</v>
      </c>
      <c r="B586" s="4" t="s">
        <v>45</v>
      </c>
      <c r="C586" s="4" t="s">
        <v>23</v>
      </c>
      <c r="D586" s="4" t="s">
        <v>46</v>
      </c>
      <c r="E586" s="4" t="s">
        <v>47</v>
      </c>
      <c r="F586" s="4" t="s">
        <v>25</v>
      </c>
      <c r="G586" s="4" t="s">
        <v>25</v>
      </c>
      <c r="H586" s="4" t="s">
        <v>25</v>
      </c>
      <c r="I586" s="5">
        <v>44743</v>
      </c>
      <c r="J586" s="6">
        <v>0</v>
      </c>
      <c r="K586" s="6">
        <v>0</v>
      </c>
      <c r="L586" s="6">
        <v>335.56099999999998</v>
      </c>
      <c r="M586" s="6">
        <v>335.56099999999998</v>
      </c>
      <c r="N586" s="6">
        <v>335.56099999999998</v>
      </c>
      <c r="O586" s="6">
        <v>335.56099999999998</v>
      </c>
      <c r="P586" s="6">
        <v>4</v>
      </c>
      <c r="Q586" s="4" t="s">
        <v>26</v>
      </c>
      <c r="R586" s="4">
        <v>0</v>
      </c>
      <c r="S586" s="4" t="s">
        <v>262</v>
      </c>
      <c r="T586" s="4" t="s">
        <v>455</v>
      </c>
      <c r="U586" s="4">
        <v>0</v>
      </c>
      <c r="V586" s="4">
        <v>47</v>
      </c>
      <c r="W586" s="4">
        <v>83</v>
      </c>
    </row>
    <row r="587" spans="1:23" ht="11.25" customHeight="1" x14ac:dyDescent="0.3">
      <c r="A587" s="4" t="s">
        <v>21</v>
      </c>
      <c r="B587" s="4" t="s">
        <v>45</v>
      </c>
      <c r="C587" s="4" t="s">
        <v>23</v>
      </c>
      <c r="D587" s="4" t="s">
        <v>46</v>
      </c>
      <c r="E587" s="4" t="s">
        <v>47</v>
      </c>
      <c r="F587" s="4" t="s">
        <v>25</v>
      </c>
      <c r="G587" s="4" t="s">
        <v>25</v>
      </c>
      <c r="H587" s="4" t="s">
        <v>25</v>
      </c>
      <c r="I587" s="5">
        <v>44774</v>
      </c>
      <c r="J587" s="6">
        <v>0</v>
      </c>
      <c r="K587" s="6">
        <v>0</v>
      </c>
      <c r="L587" s="6">
        <v>316.31</v>
      </c>
      <c r="M587" s="6">
        <v>316.31</v>
      </c>
      <c r="N587" s="6">
        <v>316.31</v>
      </c>
      <c r="O587" s="6">
        <v>316.31</v>
      </c>
      <c r="P587" s="6">
        <v>4</v>
      </c>
      <c r="Q587" s="4" t="s">
        <v>26</v>
      </c>
      <c r="R587" s="4">
        <v>0</v>
      </c>
      <c r="S587" s="4" t="s">
        <v>263</v>
      </c>
      <c r="T587" s="4" t="s">
        <v>456</v>
      </c>
      <c r="U587" s="4">
        <v>0</v>
      </c>
      <c r="V587" s="4">
        <v>47</v>
      </c>
      <c r="W587" s="4">
        <v>83</v>
      </c>
    </row>
  </sheetData>
  <sortState xmlns:xlrd2="http://schemas.microsoft.com/office/spreadsheetml/2017/richdata2" ref="A2:W587">
    <sortCondition ref="B2:B587"/>
    <sortCondition ref="C2:C587"/>
    <sortCondition ref="D2:D587"/>
    <sortCondition ref="E2:E587"/>
    <sortCondition ref="F2:F587"/>
    <sortCondition ref="H2:H587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D22E-11C3-45A1-9659-44253626E33D}">
  <dimension ref="A1:H70"/>
  <sheetViews>
    <sheetView showGridLines="0" workbookViewId="0">
      <selection activeCell="H1" sqref="H1"/>
    </sheetView>
  </sheetViews>
  <sheetFormatPr defaultRowHeight="11.25" customHeight="1" x14ac:dyDescent="0.3"/>
  <cols>
    <col min="1" max="1" width="10.33203125" style="8" bestFit="1" customWidth="1"/>
    <col min="2" max="2" width="13.5546875" style="8" bestFit="1" customWidth="1"/>
    <col min="3" max="3" width="3.77734375" style="8" bestFit="1" customWidth="1"/>
    <col min="4" max="4" width="5.109375" style="8" bestFit="1" customWidth="1"/>
    <col min="5" max="5" width="6.77734375" style="8" bestFit="1" customWidth="1"/>
    <col min="6" max="6" width="8.88671875" style="8"/>
    <col min="7" max="7" width="15.33203125" style="8" bestFit="1" customWidth="1"/>
    <col min="8" max="8" width="1.5546875" style="8" bestFit="1" customWidth="1"/>
    <col min="9" max="16384" width="8.88671875" style="8"/>
  </cols>
  <sheetData>
    <row r="1" spans="1:8" s="7" customFormat="1" ht="11.25" customHeight="1" x14ac:dyDescent="0.3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G1" s="7" t="s">
        <v>58</v>
      </c>
      <c r="H1" s="7">
        <f>COUNTA(A:A)</f>
        <v>70</v>
      </c>
    </row>
    <row r="2" spans="1:8" ht="11.25" customHeight="1" x14ac:dyDescent="0.3">
      <c r="A2" s="8" t="s">
        <v>487</v>
      </c>
      <c r="B2" s="8" t="s">
        <v>488</v>
      </c>
      <c r="C2" s="8" t="s">
        <v>489</v>
      </c>
      <c r="D2" s="8">
        <v>20</v>
      </c>
      <c r="E2" s="8" t="s">
        <v>490</v>
      </c>
    </row>
    <row r="3" spans="1:8" ht="11.25" customHeight="1" x14ac:dyDescent="0.3">
      <c r="A3" s="8" t="s">
        <v>487</v>
      </c>
      <c r="B3" s="8" t="s">
        <v>488</v>
      </c>
      <c r="C3" s="8" t="s">
        <v>489</v>
      </c>
      <c r="D3" s="8">
        <v>21</v>
      </c>
      <c r="E3" s="8" t="s">
        <v>490</v>
      </c>
    </row>
    <row r="4" spans="1:8" ht="11.25" customHeight="1" x14ac:dyDescent="0.3">
      <c r="A4" s="8" t="s">
        <v>487</v>
      </c>
      <c r="B4" s="8" t="s">
        <v>488</v>
      </c>
      <c r="C4" s="8" t="s">
        <v>489</v>
      </c>
      <c r="D4" s="8">
        <v>22</v>
      </c>
      <c r="E4" s="8" t="s">
        <v>490</v>
      </c>
    </row>
    <row r="5" spans="1:8" ht="11.25" customHeight="1" x14ac:dyDescent="0.3">
      <c r="A5" s="8" t="s">
        <v>487</v>
      </c>
      <c r="B5" s="8" t="s">
        <v>488</v>
      </c>
      <c r="C5" s="8" t="s">
        <v>489</v>
      </c>
      <c r="D5" s="8">
        <v>23</v>
      </c>
      <c r="E5" s="8" t="s">
        <v>490</v>
      </c>
    </row>
    <row r="6" spans="1:8" ht="11.25" customHeight="1" x14ac:dyDescent="0.3">
      <c r="A6" s="8" t="s">
        <v>487</v>
      </c>
      <c r="B6" s="8" t="s">
        <v>488</v>
      </c>
      <c r="C6" s="8" t="s">
        <v>489</v>
      </c>
      <c r="D6" s="8">
        <v>24</v>
      </c>
      <c r="E6" s="8" t="s">
        <v>490</v>
      </c>
    </row>
    <row r="7" spans="1:8" ht="11.25" customHeight="1" x14ac:dyDescent="0.3">
      <c r="A7" s="8" t="s">
        <v>487</v>
      </c>
      <c r="B7" s="8" t="s">
        <v>488</v>
      </c>
      <c r="C7" s="8" t="s">
        <v>489</v>
      </c>
      <c r="D7" s="8">
        <v>25</v>
      </c>
      <c r="E7" s="8" t="s">
        <v>490</v>
      </c>
    </row>
    <row r="8" spans="1:8" ht="11.25" customHeight="1" x14ac:dyDescent="0.3">
      <c r="A8" s="8" t="s">
        <v>487</v>
      </c>
      <c r="B8" s="8" t="s">
        <v>488</v>
      </c>
      <c r="C8" s="8" t="s">
        <v>489</v>
      </c>
      <c r="D8" s="8">
        <v>26</v>
      </c>
      <c r="E8" s="8" t="s">
        <v>490</v>
      </c>
    </row>
    <row r="9" spans="1:8" ht="11.25" customHeight="1" x14ac:dyDescent="0.3">
      <c r="A9" s="8" t="s">
        <v>487</v>
      </c>
      <c r="B9" s="8" t="s">
        <v>488</v>
      </c>
      <c r="C9" s="8" t="s">
        <v>489</v>
      </c>
      <c r="D9" s="8">
        <v>27</v>
      </c>
      <c r="E9" s="8" t="s">
        <v>490</v>
      </c>
    </row>
    <row r="10" spans="1:8" ht="11.25" customHeight="1" x14ac:dyDescent="0.3">
      <c r="A10" s="8" t="s">
        <v>487</v>
      </c>
      <c r="B10" s="8" t="s">
        <v>488</v>
      </c>
      <c r="C10" s="8" t="s">
        <v>489</v>
      </c>
      <c r="D10" s="8">
        <v>28</v>
      </c>
      <c r="E10" s="8" t="s">
        <v>490</v>
      </c>
    </row>
    <row r="11" spans="1:8" ht="11.25" customHeight="1" x14ac:dyDescent="0.3">
      <c r="A11" s="8" t="s">
        <v>487</v>
      </c>
      <c r="B11" s="8" t="s">
        <v>488</v>
      </c>
      <c r="C11" s="8" t="s">
        <v>489</v>
      </c>
      <c r="D11" s="8">
        <v>29</v>
      </c>
      <c r="E11" s="8" t="s">
        <v>490</v>
      </c>
    </row>
    <row r="12" spans="1:8" ht="11.25" customHeight="1" x14ac:dyDescent="0.3">
      <c r="A12" s="8" t="s">
        <v>487</v>
      </c>
      <c r="B12" s="8" t="s">
        <v>488</v>
      </c>
      <c r="C12" s="8" t="s">
        <v>489</v>
      </c>
      <c r="D12" s="8">
        <v>30</v>
      </c>
      <c r="E12" s="8" t="s">
        <v>490</v>
      </c>
    </row>
    <row r="13" spans="1:8" ht="11.25" customHeight="1" x14ac:dyDescent="0.3">
      <c r="A13" s="8" t="s">
        <v>487</v>
      </c>
      <c r="B13" s="8" t="s">
        <v>488</v>
      </c>
      <c r="C13" s="8" t="s">
        <v>489</v>
      </c>
      <c r="D13" s="8">
        <v>31</v>
      </c>
      <c r="E13" s="8" t="s">
        <v>490</v>
      </c>
    </row>
    <row r="14" spans="1:8" ht="11.25" customHeight="1" x14ac:dyDescent="0.3">
      <c r="A14" s="8" t="s">
        <v>487</v>
      </c>
      <c r="B14" s="8" t="s">
        <v>488</v>
      </c>
      <c r="C14" s="8" t="s">
        <v>489</v>
      </c>
      <c r="D14" s="8">
        <v>32</v>
      </c>
      <c r="E14" s="8" t="s">
        <v>490</v>
      </c>
    </row>
    <row r="15" spans="1:8" ht="11.25" customHeight="1" x14ac:dyDescent="0.3">
      <c r="A15" s="8" t="s">
        <v>487</v>
      </c>
      <c r="B15" s="8" t="s">
        <v>488</v>
      </c>
      <c r="C15" s="8" t="s">
        <v>489</v>
      </c>
      <c r="D15" s="8">
        <v>33</v>
      </c>
      <c r="E15" s="8" t="s">
        <v>490</v>
      </c>
    </row>
    <row r="16" spans="1:8" ht="11.25" customHeight="1" x14ac:dyDescent="0.3">
      <c r="A16" s="8" t="s">
        <v>487</v>
      </c>
      <c r="B16" s="8" t="s">
        <v>488</v>
      </c>
      <c r="C16" s="8" t="s">
        <v>489</v>
      </c>
      <c r="D16" s="8">
        <v>34</v>
      </c>
      <c r="E16" s="8" t="s">
        <v>490</v>
      </c>
    </row>
    <row r="17" spans="1:5" ht="11.25" customHeight="1" x14ac:dyDescent="0.3">
      <c r="A17" s="8" t="s">
        <v>487</v>
      </c>
      <c r="B17" s="8" t="s">
        <v>488</v>
      </c>
      <c r="C17" s="8" t="s">
        <v>489</v>
      </c>
      <c r="D17" s="8">
        <v>35</v>
      </c>
      <c r="E17" s="8" t="s">
        <v>490</v>
      </c>
    </row>
    <row r="18" spans="1:5" ht="11.25" customHeight="1" x14ac:dyDescent="0.3">
      <c r="A18" s="8" t="s">
        <v>487</v>
      </c>
      <c r="B18" s="8" t="s">
        <v>488</v>
      </c>
      <c r="C18" s="8" t="s">
        <v>489</v>
      </c>
      <c r="D18" s="8">
        <v>36</v>
      </c>
      <c r="E18" s="8" t="s">
        <v>490</v>
      </c>
    </row>
    <row r="19" spans="1:5" ht="11.25" customHeight="1" x14ac:dyDescent="0.3">
      <c r="A19" s="8" t="s">
        <v>487</v>
      </c>
      <c r="B19" s="8" t="s">
        <v>488</v>
      </c>
      <c r="C19" s="8" t="s">
        <v>489</v>
      </c>
      <c r="D19" s="8">
        <v>37</v>
      </c>
      <c r="E19" s="8" t="s">
        <v>490</v>
      </c>
    </row>
    <row r="20" spans="1:5" ht="11.25" customHeight="1" x14ac:dyDescent="0.3">
      <c r="A20" s="8" t="s">
        <v>487</v>
      </c>
      <c r="B20" s="8" t="s">
        <v>488</v>
      </c>
      <c r="C20" s="8" t="s">
        <v>489</v>
      </c>
      <c r="D20" s="8">
        <v>141</v>
      </c>
      <c r="E20" s="8" t="s">
        <v>490</v>
      </c>
    </row>
    <row r="21" spans="1:5" ht="11.25" customHeight="1" x14ac:dyDescent="0.3">
      <c r="A21" s="8" t="s">
        <v>487</v>
      </c>
      <c r="B21" s="8" t="s">
        <v>488</v>
      </c>
      <c r="C21" s="8" t="s">
        <v>489</v>
      </c>
      <c r="D21" s="8">
        <v>142</v>
      </c>
      <c r="E21" s="8" t="s">
        <v>490</v>
      </c>
    </row>
    <row r="22" spans="1:5" ht="11.25" customHeight="1" x14ac:dyDescent="0.3">
      <c r="A22" s="8" t="s">
        <v>487</v>
      </c>
      <c r="B22" s="8" t="s">
        <v>488</v>
      </c>
      <c r="C22" s="8" t="s">
        <v>489</v>
      </c>
      <c r="D22" s="8">
        <v>143</v>
      </c>
      <c r="E22" s="8" t="s">
        <v>490</v>
      </c>
    </row>
    <row r="23" spans="1:5" ht="11.25" customHeight="1" x14ac:dyDescent="0.3">
      <c r="A23" s="8" t="s">
        <v>487</v>
      </c>
      <c r="B23" s="8" t="s">
        <v>488</v>
      </c>
      <c r="C23" s="8" t="s">
        <v>489</v>
      </c>
      <c r="D23" s="8">
        <v>144</v>
      </c>
      <c r="E23" s="8" t="s">
        <v>490</v>
      </c>
    </row>
    <row r="24" spans="1:5" ht="11.25" customHeight="1" x14ac:dyDescent="0.3">
      <c r="A24" s="8" t="s">
        <v>487</v>
      </c>
      <c r="B24" s="8" t="s">
        <v>488</v>
      </c>
      <c r="C24" s="8" t="s">
        <v>489</v>
      </c>
      <c r="D24" s="8">
        <v>145</v>
      </c>
      <c r="E24" s="8" t="s">
        <v>490</v>
      </c>
    </row>
    <row r="25" spans="1:5" ht="11.25" customHeight="1" x14ac:dyDescent="0.3">
      <c r="A25" s="8" t="s">
        <v>487</v>
      </c>
      <c r="B25" s="8" t="s">
        <v>488</v>
      </c>
      <c r="C25" s="8" t="s">
        <v>489</v>
      </c>
      <c r="D25" s="8">
        <v>146</v>
      </c>
      <c r="E25" s="8" t="s">
        <v>490</v>
      </c>
    </row>
    <row r="26" spans="1:5" ht="11.25" customHeight="1" x14ac:dyDescent="0.3">
      <c r="A26" s="8" t="s">
        <v>487</v>
      </c>
      <c r="B26" s="8" t="s">
        <v>488</v>
      </c>
      <c r="C26" s="8" t="s">
        <v>489</v>
      </c>
      <c r="D26" s="8">
        <v>147</v>
      </c>
      <c r="E26" s="8" t="s">
        <v>490</v>
      </c>
    </row>
    <row r="27" spans="1:5" ht="11.25" customHeight="1" x14ac:dyDescent="0.3">
      <c r="A27" s="8" t="s">
        <v>487</v>
      </c>
      <c r="B27" s="8" t="s">
        <v>488</v>
      </c>
      <c r="C27" s="8" t="s">
        <v>489</v>
      </c>
      <c r="D27" s="8">
        <v>148</v>
      </c>
      <c r="E27" s="8" t="s">
        <v>490</v>
      </c>
    </row>
    <row r="28" spans="1:5" ht="11.25" customHeight="1" x14ac:dyDescent="0.3">
      <c r="A28" s="8" t="s">
        <v>487</v>
      </c>
      <c r="B28" s="8" t="s">
        <v>488</v>
      </c>
      <c r="C28" s="8" t="s">
        <v>489</v>
      </c>
      <c r="D28" s="8">
        <v>149</v>
      </c>
      <c r="E28" s="8" t="s">
        <v>490</v>
      </c>
    </row>
    <row r="29" spans="1:5" ht="11.25" customHeight="1" x14ac:dyDescent="0.3">
      <c r="A29" s="8" t="s">
        <v>487</v>
      </c>
      <c r="B29" s="8" t="s">
        <v>488</v>
      </c>
      <c r="C29" s="8" t="s">
        <v>489</v>
      </c>
      <c r="D29" s="8">
        <v>150</v>
      </c>
      <c r="E29" s="8" t="s">
        <v>490</v>
      </c>
    </row>
    <row r="30" spans="1:5" ht="11.25" customHeight="1" x14ac:dyDescent="0.3">
      <c r="A30" s="8" t="s">
        <v>487</v>
      </c>
      <c r="B30" s="8" t="s">
        <v>488</v>
      </c>
      <c r="C30" s="8" t="s">
        <v>489</v>
      </c>
      <c r="D30" s="8">
        <v>151</v>
      </c>
      <c r="E30" s="8" t="s">
        <v>490</v>
      </c>
    </row>
    <row r="31" spans="1:5" ht="11.25" customHeight="1" x14ac:dyDescent="0.3">
      <c r="A31" s="8" t="s">
        <v>487</v>
      </c>
      <c r="B31" s="8" t="s">
        <v>488</v>
      </c>
      <c r="C31" s="8" t="s">
        <v>489</v>
      </c>
      <c r="D31" s="8">
        <v>152</v>
      </c>
      <c r="E31" s="8" t="s">
        <v>490</v>
      </c>
    </row>
    <row r="32" spans="1:5" ht="11.25" customHeight="1" x14ac:dyDescent="0.3">
      <c r="A32" s="8" t="s">
        <v>487</v>
      </c>
      <c r="B32" s="8" t="s">
        <v>488</v>
      </c>
      <c r="C32" s="8" t="s">
        <v>489</v>
      </c>
      <c r="D32" s="8">
        <v>153</v>
      </c>
      <c r="E32" s="8" t="s">
        <v>490</v>
      </c>
    </row>
    <row r="33" spans="1:5" ht="11.25" customHeight="1" x14ac:dyDescent="0.3">
      <c r="A33" s="8" t="s">
        <v>487</v>
      </c>
      <c r="B33" s="8" t="s">
        <v>488</v>
      </c>
      <c r="C33" s="8" t="s">
        <v>489</v>
      </c>
      <c r="D33" s="8">
        <v>154</v>
      </c>
      <c r="E33" s="8" t="s">
        <v>490</v>
      </c>
    </row>
    <row r="34" spans="1:5" ht="11.25" customHeight="1" x14ac:dyDescent="0.3">
      <c r="A34" s="8" t="s">
        <v>487</v>
      </c>
      <c r="B34" s="8" t="s">
        <v>488</v>
      </c>
      <c r="C34" s="8" t="s">
        <v>489</v>
      </c>
      <c r="D34" s="8">
        <v>155</v>
      </c>
      <c r="E34" s="8" t="s">
        <v>490</v>
      </c>
    </row>
    <row r="35" spans="1:5" ht="11.25" customHeight="1" x14ac:dyDescent="0.3">
      <c r="A35" s="8" t="s">
        <v>487</v>
      </c>
      <c r="B35" s="8" t="s">
        <v>488</v>
      </c>
      <c r="C35" s="8" t="s">
        <v>489</v>
      </c>
      <c r="D35" s="8">
        <v>156</v>
      </c>
      <c r="E35" s="8" t="s">
        <v>490</v>
      </c>
    </row>
    <row r="36" spans="1:5" ht="11.25" customHeight="1" x14ac:dyDescent="0.3">
      <c r="A36" s="8" t="s">
        <v>487</v>
      </c>
      <c r="B36" s="8" t="s">
        <v>488</v>
      </c>
      <c r="C36" s="8" t="s">
        <v>489</v>
      </c>
      <c r="D36" s="8">
        <v>157</v>
      </c>
      <c r="E36" s="8" t="s">
        <v>490</v>
      </c>
    </row>
    <row r="37" spans="1:5" ht="11.25" customHeight="1" x14ac:dyDescent="0.3">
      <c r="A37" s="8" t="s">
        <v>487</v>
      </c>
      <c r="B37" s="8" t="s">
        <v>488</v>
      </c>
      <c r="C37" s="8" t="s">
        <v>489</v>
      </c>
      <c r="D37" s="8">
        <v>158</v>
      </c>
      <c r="E37" s="8" t="s">
        <v>490</v>
      </c>
    </row>
    <row r="38" spans="1:5" ht="11.25" customHeight="1" x14ac:dyDescent="0.3">
      <c r="A38" s="8" t="s">
        <v>487</v>
      </c>
      <c r="B38" s="8" t="s">
        <v>488</v>
      </c>
      <c r="C38" s="8" t="s">
        <v>489</v>
      </c>
      <c r="D38" s="8">
        <v>159</v>
      </c>
      <c r="E38" s="8" t="s">
        <v>490</v>
      </c>
    </row>
    <row r="39" spans="1:5" ht="11.25" customHeight="1" x14ac:dyDescent="0.3">
      <c r="A39" s="8" t="s">
        <v>487</v>
      </c>
      <c r="B39" s="8" t="s">
        <v>488</v>
      </c>
      <c r="C39" s="8" t="s">
        <v>489</v>
      </c>
      <c r="D39" s="8">
        <v>160</v>
      </c>
      <c r="E39" s="8" t="s">
        <v>490</v>
      </c>
    </row>
    <row r="40" spans="1:5" ht="11.25" customHeight="1" x14ac:dyDescent="0.3">
      <c r="A40" s="8" t="s">
        <v>487</v>
      </c>
      <c r="B40" s="8" t="s">
        <v>488</v>
      </c>
      <c r="C40" s="8" t="s">
        <v>489</v>
      </c>
      <c r="D40" s="8">
        <v>161</v>
      </c>
      <c r="E40" s="8" t="s">
        <v>490</v>
      </c>
    </row>
    <row r="41" spans="1:5" ht="11.25" customHeight="1" x14ac:dyDescent="0.3">
      <c r="A41" s="8" t="s">
        <v>487</v>
      </c>
      <c r="B41" s="8" t="s">
        <v>488</v>
      </c>
      <c r="C41" s="8" t="s">
        <v>489</v>
      </c>
      <c r="D41" s="8">
        <v>162</v>
      </c>
      <c r="E41" s="8" t="s">
        <v>490</v>
      </c>
    </row>
    <row r="42" spans="1:5" ht="11.25" customHeight="1" x14ac:dyDescent="0.3">
      <c r="A42" s="8" t="s">
        <v>487</v>
      </c>
      <c r="B42" s="8" t="s">
        <v>488</v>
      </c>
      <c r="C42" s="8" t="s">
        <v>489</v>
      </c>
      <c r="D42" s="8">
        <v>163</v>
      </c>
      <c r="E42" s="8" t="s">
        <v>490</v>
      </c>
    </row>
    <row r="43" spans="1:5" ht="11.25" customHeight="1" x14ac:dyDescent="0.3">
      <c r="A43" s="8" t="s">
        <v>487</v>
      </c>
      <c r="B43" s="8" t="s">
        <v>488</v>
      </c>
      <c r="C43" s="8" t="s">
        <v>489</v>
      </c>
      <c r="D43" s="8">
        <v>191</v>
      </c>
      <c r="E43" s="8" t="s">
        <v>490</v>
      </c>
    </row>
    <row r="44" spans="1:5" ht="11.25" customHeight="1" x14ac:dyDescent="0.3">
      <c r="A44" s="8" t="s">
        <v>487</v>
      </c>
      <c r="B44" s="8" t="s">
        <v>488</v>
      </c>
      <c r="C44" s="8" t="s">
        <v>489</v>
      </c>
      <c r="D44" s="8">
        <v>192</v>
      </c>
      <c r="E44" s="8" t="s">
        <v>490</v>
      </c>
    </row>
    <row r="45" spans="1:5" ht="11.25" customHeight="1" x14ac:dyDescent="0.3">
      <c r="A45" s="8" t="s">
        <v>487</v>
      </c>
      <c r="B45" s="8" t="s">
        <v>488</v>
      </c>
      <c r="C45" s="8" t="s">
        <v>489</v>
      </c>
      <c r="D45" s="8">
        <v>193</v>
      </c>
      <c r="E45" s="8" t="s">
        <v>490</v>
      </c>
    </row>
    <row r="46" spans="1:5" ht="11.25" customHeight="1" x14ac:dyDescent="0.3">
      <c r="A46" s="8" t="s">
        <v>487</v>
      </c>
      <c r="B46" s="8" t="s">
        <v>488</v>
      </c>
      <c r="C46" s="8" t="s">
        <v>489</v>
      </c>
      <c r="D46" s="8">
        <v>194</v>
      </c>
      <c r="E46" s="8" t="s">
        <v>490</v>
      </c>
    </row>
    <row r="47" spans="1:5" ht="11.25" customHeight="1" x14ac:dyDescent="0.3">
      <c r="A47" s="8" t="s">
        <v>487</v>
      </c>
      <c r="B47" s="8" t="s">
        <v>488</v>
      </c>
      <c r="C47" s="8" t="s">
        <v>489</v>
      </c>
      <c r="D47" s="8">
        <v>195</v>
      </c>
      <c r="E47" s="8" t="s">
        <v>490</v>
      </c>
    </row>
    <row r="48" spans="1:5" ht="11.25" customHeight="1" x14ac:dyDescent="0.3">
      <c r="A48" s="8" t="s">
        <v>487</v>
      </c>
      <c r="B48" s="8" t="s">
        <v>488</v>
      </c>
      <c r="C48" s="8" t="s">
        <v>489</v>
      </c>
      <c r="D48" s="8">
        <v>196</v>
      </c>
      <c r="E48" s="8" t="s">
        <v>490</v>
      </c>
    </row>
    <row r="49" spans="1:5" ht="11.25" customHeight="1" x14ac:dyDescent="0.3">
      <c r="A49" s="8" t="s">
        <v>487</v>
      </c>
      <c r="B49" s="8" t="s">
        <v>488</v>
      </c>
      <c r="C49" s="8" t="s">
        <v>489</v>
      </c>
      <c r="D49" s="8">
        <v>197</v>
      </c>
      <c r="E49" s="8" t="s">
        <v>490</v>
      </c>
    </row>
    <row r="50" spans="1:5" ht="11.25" customHeight="1" x14ac:dyDescent="0.3">
      <c r="A50" s="8" t="s">
        <v>487</v>
      </c>
      <c r="B50" s="8" t="s">
        <v>488</v>
      </c>
      <c r="C50" s="8" t="s">
        <v>489</v>
      </c>
      <c r="D50" s="8">
        <v>198</v>
      </c>
      <c r="E50" s="8" t="s">
        <v>490</v>
      </c>
    </row>
    <row r="51" spans="1:5" ht="11.25" customHeight="1" x14ac:dyDescent="0.3">
      <c r="A51" s="8" t="s">
        <v>487</v>
      </c>
      <c r="B51" s="8" t="s">
        <v>488</v>
      </c>
      <c r="C51" s="8" t="s">
        <v>489</v>
      </c>
      <c r="D51" s="8">
        <v>199</v>
      </c>
      <c r="E51" s="8" t="s">
        <v>490</v>
      </c>
    </row>
    <row r="52" spans="1:5" ht="11.25" customHeight="1" x14ac:dyDescent="0.3">
      <c r="A52" s="8" t="s">
        <v>487</v>
      </c>
      <c r="B52" s="8" t="s">
        <v>488</v>
      </c>
      <c r="C52" s="8" t="s">
        <v>489</v>
      </c>
      <c r="D52" s="8">
        <v>200</v>
      </c>
      <c r="E52" s="8" t="s">
        <v>490</v>
      </c>
    </row>
    <row r="53" spans="1:5" ht="11.25" customHeight="1" x14ac:dyDescent="0.3">
      <c r="A53" s="8" t="s">
        <v>487</v>
      </c>
      <c r="B53" s="8" t="s">
        <v>488</v>
      </c>
      <c r="C53" s="8" t="s">
        <v>489</v>
      </c>
      <c r="D53" s="8">
        <v>201</v>
      </c>
      <c r="E53" s="8" t="s">
        <v>490</v>
      </c>
    </row>
    <row r="54" spans="1:5" ht="11.25" customHeight="1" x14ac:dyDescent="0.3">
      <c r="A54" s="8" t="s">
        <v>487</v>
      </c>
      <c r="B54" s="8" t="s">
        <v>488</v>
      </c>
      <c r="C54" s="8" t="s">
        <v>489</v>
      </c>
      <c r="D54" s="8">
        <v>202</v>
      </c>
      <c r="E54" s="8" t="s">
        <v>490</v>
      </c>
    </row>
    <row r="55" spans="1:5" ht="11.25" customHeight="1" x14ac:dyDescent="0.3">
      <c r="A55" s="8" t="s">
        <v>487</v>
      </c>
      <c r="B55" s="8" t="s">
        <v>488</v>
      </c>
      <c r="C55" s="8" t="s">
        <v>489</v>
      </c>
      <c r="D55" s="8">
        <v>227</v>
      </c>
      <c r="E55" s="8" t="s">
        <v>490</v>
      </c>
    </row>
    <row r="56" spans="1:5" ht="11.25" customHeight="1" x14ac:dyDescent="0.3">
      <c r="A56" s="8" t="s">
        <v>487</v>
      </c>
      <c r="B56" s="8" t="s">
        <v>488</v>
      </c>
      <c r="C56" s="8" t="s">
        <v>489</v>
      </c>
      <c r="D56" s="8">
        <v>228</v>
      </c>
      <c r="E56" s="8" t="s">
        <v>490</v>
      </c>
    </row>
    <row r="57" spans="1:5" ht="11.25" customHeight="1" x14ac:dyDescent="0.3">
      <c r="A57" s="8" t="s">
        <v>487</v>
      </c>
      <c r="B57" s="8" t="s">
        <v>488</v>
      </c>
      <c r="C57" s="8" t="s">
        <v>489</v>
      </c>
      <c r="D57" s="8">
        <v>229</v>
      </c>
      <c r="E57" s="8" t="s">
        <v>490</v>
      </c>
    </row>
    <row r="58" spans="1:5" ht="11.25" customHeight="1" x14ac:dyDescent="0.3">
      <c r="A58" s="8" t="s">
        <v>487</v>
      </c>
      <c r="B58" s="8" t="s">
        <v>488</v>
      </c>
      <c r="C58" s="8" t="s">
        <v>489</v>
      </c>
      <c r="D58" s="8">
        <v>230</v>
      </c>
      <c r="E58" s="8" t="s">
        <v>490</v>
      </c>
    </row>
    <row r="59" spans="1:5" ht="11.25" customHeight="1" x14ac:dyDescent="0.3">
      <c r="A59" s="8" t="s">
        <v>487</v>
      </c>
      <c r="B59" s="8" t="s">
        <v>488</v>
      </c>
      <c r="C59" s="8" t="s">
        <v>489</v>
      </c>
      <c r="D59" s="8">
        <v>231</v>
      </c>
      <c r="E59" s="8" t="s">
        <v>490</v>
      </c>
    </row>
    <row r="60" spans="1:5" ht="11.25" customHeight="1" x14ac:dyDescent="0.3">
      <c r="A60" s="8" t="s">
        <v>487</v>
      </c>
      <c r="B60" s="8" t="s">
        <v>488</v>
      </c>
      <c r="C60" s="8" t="s">
        <v>489</v>
      </c>
      <c r="D60" s="8">
        <v>232</v>
      </c>
      <c r="E60" s="8" t="s">
        <v>490</v>
      </c>
    </row>
    <row r="61" spans="1:5" ht="11.25" customHeight="1" x14ac:dyDescent="0.3">
      <c r="A61" s="8" t="s">
        <v>487</v>
      </c>
      <c r="B61" s="8" t="s">
        <v>488</v>
      </c>
      <c r="C61" s="8" t="s">
        <v>489</v>
      </c>
      <c r="D61" s="8">
        <v>233</v>
      </c>
      <c r="E61" s="8" t="s">
        <v>490</v>
      </c>
    </row>
    <row r="62" spans="1:5" ht="11.25" customHeight="1" x14ac:dyDescent="0.3">
      <c r="A62" s="8" t="s">
        <v>487</v>
      </c>
      <c r="B62" s="8" t="s">
        <v>488</v>
      </c>
      <c r="C62" s="8" t="s">
        <v>489</v>
      </c>
      <c r="D62" s="8">
        <v>234</v>
      </c>
      <c r="E62" s="8" t="s">
        <v>490</v>
      </c>
    </row>
    <row r="63" spans="1:5" ht="11.25" customHeight="1" x14ac:dyDescent="0.3">
      <c r="A63" s="8" t="s">
        <v>487</v>
      </c>
      <c r="B63" s="8" t="s">
        <v>488</v>
      </c>
      <c r="C63" s="8" t="s">
        <v>489</v>
      </c>
      <c r="D63" s="8">
        <v>235</v>
      </c>
      <c r="E63" s="8" t="s">
        <v>490</v>
      </c>
    </row>
    <row r="64" spans="1:5" ht="11.25" customHeight="1" x14ac:dyDescent="0.3">
      <c r="A64" s="8" t="s">
        <v>487</v>
      </c>
      <c r="B64" s="8" t="s">
        <v>488</v>
      </c>
      <c r="C64" s="8" t="s">
        <v>489</v>
      </c>
      <c r="D64" s="8">
        <v>236</v>
      </c>
      <c r="E64" s="8" t="s">
        <v>490</v>
      </c>
    </row>
    <row r="65" spans="1:5" ht="11.25" customHeight="1" x14ac:dyDescent="0.3">
      <c r="A65" s="8" t="s">
        <v>487</v>
      </c>
      <c r="B65" s="8" t="s">
        <v>488</v>
      </c>
      <c r="C65" s="8" t="s">
        <v>489</v>
      </c>
      <c r="D65" s="8">
        <v>237</v>
      </c>
      <c r="E65" s="8" t="s">
        <v>490</v>
      </c>
    </row>
    <row r="66" spans="1:5" ht="11.25" customHeight="1" x14ac:dyDescent="0.3">
      <c r="A66" s="8" t="s">
        <v>487</v>
      </c>
      <c r="B66" s="8" t="s">
        <v>488</v>
      </c>
      <c r="C66" s="8" t="s">
        <v>489</v>
      </c>
      <c r="D66" s="8">
        <v>238</v>
      </c>
      <c r="E66" s="8" t="s">
        <v>490</v>
      </c>
    </row>
    <row r="67" spans="1:5" ht="11.25" customHeight="1" x14ac:dyDescent="0.3">
      <c r="A67" s="8" t="s">
        <v>487</v>
      </c>
      <c r="C67" s="8" t="s">
        <v>580</v>
      </c>
      <c r="D67" s="8">
        <v>40</v>
      </c>
      <c r="E67" s="8" t="s">
        <v>9</v>
      </c>
    </row>
    <row r="68" spans="1:5" ht="11.25" customHeight="1" x14ac:dyDescent="0.3">
      <c r="A68" s="8" t="s">
        <v>487</v>
      </c>
      <c r="C68" s="8" t="s">
        <v>580</v>
      </c>
      <c r="D68" s="8">
        <v>40</v>
      </c>
      <c r="E68" s="8" t="s">
        <v>9</v>
      </c>
    </row>
    <row r="69" spans="1:5" ht="11.25" customHeight="1" x14ac:dyDescent="0.3">
      <c r="A69" s="8" t="s">
        <v>487</v>
      </c>
      <c r="C69" s="8" t="s">
        <v>580</v>
      </c>
      <c r="D69" s="8">
        <v>40</v>
      </c>
      <c r="E69" s="8" t="s">
        <v>9</v>
      </c>
    </row>
    <row r="70" spans="1:5" ht="11.25" customHeight="1" x14ac:dyDescent="0.3">
      <c r="A70" s="8" t="s">
        <v>487</v>
      </c>
      <c r="C70" s="8" t="s">
        <v>580</v>
      </c>
      <c r="D70" s="8">
        <v>40</v>
      </c>
      <c r="E70" s="8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935F-87D5-4E4B-BEAB-CD213E480F99}">
  <dimension ref="A1:AX85"/>
  <sheetViews>
    <sheetView showGridLines="0" workbookViewId="0"/>
  </sheetViews>
  <sheetFormatPr defaultRowHeight="10.199999999999999" x14ac:dyDescent="0.3"/>
  <cols>
    <col min="1" max="1" width="4.33203125" style="8" bestFit="1" customWidth="1"/>
    <col min="2" max="2" width="8" style="8" bestFit="1" customWidth="1"/>
    <col min="3" max="3" width="7.6640625" style="8" bestFit="1" customWidth="1"/>
    <col min="4" max="4" width="24.6640625" style="8" bestFit="1" customWidth="1"/>
    <col min="5" max="5" width="12.6640625" style="8" bestFit="1" customWidth="1"/>
    <col min="6" max="6" width="23.109375" style="8" bestFit="1" customWidth="1"/>
    <col min="7" max="9" width="9.5546875" style="8" bestFit="1" customWidth="1"/>
    <col min="10" max="10" width="6.44140625" style="8" bestFit="1" customWidth="1"/>
    <col min="11" max="11" width="3.88671875" style="8" bestFit="1" customWidth="1"/>
    <col min="12" max="12" width="4.21875" style="8" bestFit="1" customWidth="1"/>
    <col min="13" max="13" width="5.88671875" style="8" bestFit="1" customWidth="1"/>
    <col min="14" max="14" width="5.5546875" style="8" bestFit="1" customWidth="1"/>
    <col min="15" max="15" width="10.33203125" style="8" bestFit="1" customWidth="1"/>
    <col min="16" max="16" width="9.33203125" style="8" bestFit="1" customWidth="1"/>
    <col min="17" max="16384" width="8.88671875" style="8"/>
  </cols>
  <sheetData>
    <row r="1" spans="1:50" ht="11.25" customHeight="1" x14ac:dyDescent="0.3">
      <c r="A1" s="30" t="s">
        <v>640</v>
      </c>
      <c r="B1" s="30" t="s">
        <v>631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632</v>
      </c>
      <c r="K1" s="30" t="s">
        <v>633</v>
      </c>
      <c r="L1" s="30" t="s">
        <v>634</v>
      </c>
      <c r="M1" s="30" t="s">
        <v>635</v>
      </c>
      <c r="N1" s="30" t="s">
        <v>636</v>
      </c>
      <c r="O1" s="30" t="s">
        <v>512</v>
      </c>
      <c r="P1" s="30" t="s">
        <v>498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31">
        <v>1</v>
      </c>
      <c r="B2" s="31" t="s">
        <v>492</v>
      </c>
      <c r="C2" s="31" t="s">
        <v>22</v>
      </c>
      <c r="D2" s="31" t="s">
        <v>33</v>
      </c>
      <c r="E2" s="31" t="s">
        <v>24</v>
      </c>
      <c r="F2" s="31" t="s">
        <v>24</v>
      </c>
      <c r="G2" s="31" t="s">
        <v>25</v>
      </c>
      <c r="H2" s="31" t="s">
        <v>25</v>
      </c>
      <c r="I2" s="31" t="s">
        <v>34</v>
      </c>
      <c r="J2" s="31" t="s">
        <v>637</v>
      </c>
      <c r="K2" s="31" t="s">
        <v>638</v>
      </c>
      <c r="L2" s="31" t="s">
        <v>467</v>
      </c>
      <c r="M2" s="31">
        <v>2021</v>
      </c>
      <c r="N2" s="31">
        <v>0</v>
      </c>
      <c r="O2" s="31">
        <v>1146.8699999999999</v>
      </c>
      <c r="P2" s="31">
        <v>54.752788787110397</v>
      </c>
    </row>
    <row r="3" spans="1:50" ht="11.25" customHeight="1" x14ac:dyDescent="0.3">
      <c r="A3" s="31">
        <v>2</v>
      </c>
      <c r="B3" s="31" t="s">
        <v>492</v>
      </c>
      <c r="C3" s="31" t="s">
        <v>42</v>
      </c>
      <c r="D3" s="31" t="s">
        <v>33</v>
      </c>
      <c r="E3" s="31" t="s">
        <v>43</v>
      </c>
      <c r="F3" s="31" t="s">
        <v>25</v>
      </c>
      <c r="G3" s="31" t="s">
        <v>25</v>
      </c>
      <c r="H3" s="31" t="s">
        <v>25</v>
      </c>
      <c r="I3" s="31" t="s">
        <v>34</v>
      </c>
      <c r="J3" s="31" t="s">
        <v>637</v>
      </c>
      <c r="K3" s="31" t="s">
        <v>638</v>
      </c>
      <c r="L3" s="31" t="s">
        <v>467</v>
      </c>
      <c r="M3" s="31">
        <v>2021</v>
      </c>
      <c r="N3" s="31">
        <v>0</v>
      </c>
      <c r="O3" s="31">
        <v>1095.05</v>
      </c>
      <c r="P3" s="31">
        <v>48.182454132657099</v>
      </c>
    </row>
    <row r="4" spans="1:50" ht="11.25" customHeight="1" x14ac:dyDescent="0.3">
      <c r="A4" s="31">
        <v>3</v>
      </c>
      <c r="B4" s="31" t="s">
        <v>492</v>
      </c>
      <c r="C4" s="31" t="s">
        <v>39</v>
      </c>
      <c r="D4" s="31" t="s">
        <v>40</v>
      </c>
      <c r="E4" s="31" t="s">
        <v>25</v>
      </c>
      <c r="F4" s="31" t="s">
        <v>25</v>
      </c>
      <c r="G4" s="31" t="s">
        <v>475</v>
      </c>
      <c r="H4" s="31" t="s">
        <v>25</v>
      </c>
      <c r="I4" s="31" t="s">
        <v>35</v>
      </c>
      <c r="J4" s="31" t="s">
        <v>637</v>
      </c>
      <c r="K4" s="31" t="s">
        <v>638</v>
      </c>
      <c r="L4" s="31" t="s">
        <v>467</v>
      </c>
      <c r="M4" s="31">
        <v>2021</v>
      </c>
      <c r="N4" s="31">
        <v>0</v>
      </c>
      <c r="O4" s="31">
        <v>11.23</v>
      </c>
      <c r="P4" s="31">
        <v>0</v>
      </c>
    </row>
    <row r="5" spans="1:50" ht="11.25" customHeight="1" x14ac:dyDescent="0.3">
      <c r="A5" s="31">
        <v>4</v>
      </c>
      <c r="B5" s="31" t="s">
        <v>492</v>
      </c>
      <c r="C5" s="31" t="s">
        <v>22</v>
      </c>
      <c r="D5" s="31" t="s">
        <v>483</v>
      </c>
      <c r="E5" s="31" t="s">
        <v>24</v>
      </c>
      <c r="F5" s="31" t="s">
        <v>30</v>
      </c>
      <c r="G5" s="31" t="s">
        <v>25</v>
      </c>
      <c r="H5" s="31" t="s">
        <v>25</v>
      </c>
      <c r="I5" s="31" t="s">
        <v>25</v>
      </c>
      <c r="J5" s="31" t="s">
        <v>637</v>
      </c>
      <c r="K5" s="31" t="s">
        <v>638</v>
      </c>
      <c r="L5" s="31" t="s">
        <v>467</v>
      </c>
      <c r="M5" s="31">
        <v>2021</v>
      </c>
      <c r="N5" s="31">
        <v>0</v>
      </c>
      <c r="O5" s="31">
        <v>251.56</v>
      </c>
      <c r="P5" s="31">
        <v>0</v>
      </c>
    </row>
    <row r="6" spans="1:50" ht="11.25" customHeight="1" x14ac:dyDescent="0.3">
      <c r="A6" s="31">
        <v>5</v>
      </c>
      <c r="B6" s="31" t="s">
        <v>492</v>
      </c>
      <c r="C6" s="31" t="s">
        <v>42</v>
      </c>
      <c r="D6" s="31" t="s">
        <v>33</v>
      </c>
      <c r="E6" s="31" t="s">
        <v>43</v>
      </c>
      <c r="F6" s="31" t="s">
        <v>25</v>
      </c>
      <c r="G6" s="31" t="s">
        <v>25</v>
      </c>
      <c r="H6" s="31" t="s">
        <v>25</v>
      </c>
      <c r="I6" s="31" t="s">
        <v>36</v>
      </c>
      <c r="J6" s="31" t="s">
        <v>637</v>
      </c>
      <c r="K6" s="31" t="s">
        <v>638</v>
      </c>
      <c r="L6" s="31" t="s">
        <v>467</v>
      </c>
      <c r="M6" s="31">
        <v>2021</v>
      </c>
      <c r="N6" s="31">
        <v>0</v>
      </c>
      <c r="O6" s="31">
        <v>689.4</v>
      </c>
      <c r="P6" s="31">
        <v>48.182454132657099</v>
      </c>
    </row>
    <row r="7" spans="1:50" ht="11.25" customHeight="1" x14ac:dyDescent="0.3">
      <c r="A7" s="31">
        <v>6</v>
      </c>
      <c r="B7" s="31" t="s">
        <v>492</v>
      </c>
      <c r="C7" s="31" t="s">
        <v>39</v>
      </c>
      <c r="D7" s="31" t="s">
        <v>40</v>
      </c>
      <c r="E7" s="31" t="s">
        <v>25</v>
      </c>
      <c r="F7" s="31" t="s">
        <v>25</v>
      </c>
      <c r="G7" s="31" t="s">
        <v>25</v>
      </c>
      <c r="H7" s="31" t="s">
        <v>25</v>
      </c>
      <c r="I7" s="31" t="s">
        <v>35</v>
      </c>
      <c r="J7" s="31" t="s">
        <v>637</v>
      </c>
      <c r="K7" s="31" t="s">
        <v>638</v>
      </c>
      <c r="L7" s="31" t="s">
        <v>467</v>
      </c>
      <c r="M7" s="31">
        <v>2021</v>
      </c>
      <c r="N7" s="31">
        <v>0</v>
      </c>
      <c r="O7" s="31">
        <v>67.489999999999995</v>
      </c>
      <c r="P7" s="31">
        <v>47.634926244786001</v>
      </c>
    </row>
    <row r="8" spans="1:50" ht="11.25" customHeight="1" x14ac:dyDescent="0.3">
      <c r="A8" s="31">
        <v>7</v>
      </c>
      <c r="B8" s="31" t="s">
        <v>492</v>
      </c>
      <c r="C8" s="31" t="s">
        <v>22</v>
      </c>
      <c r="D8" s="31" t="s">
        <v>483</v>
      </c>
      <c r="E8" s="31" t="s">
        <v>24</v>
      </c>
      <c r="F8" s="31" t="s">
        <v>24</v>
      </c>
      <c r="G8" s="31" t="s">
        <v>25</v>
      </c>
      <c r="H8" s="31" t="s">
        <v>25</v>
      </c>
      <c r="I8" s="31" t="s">
        <v>25</v>
      </c>
      <c r="J8" s="31" t="s">
        <v>637</v>
      </c>
      <c r="K8" s="31" t="s">
        <v>638</v>
      </c>
      <c r="L8" s="31" t="s">
        <v>467</v>
      </c>
      <c r="M8" s="31">
        <v>2021</v>
      </c>
      <c r="N8" s="31">
        <v>0</v>
      </c>
      <c r="O8" s="31">
        <v>482.65</v>
      </c>
      <c r="P8" s="31">
        <v>54.752788787110397</v>
      </c>
    </row>
    <row r="9" spans="1:50" ht="11.25" customHeight="1" x14ac:dyDescent="0.3">
      <c r="A9" s="31">
        <v>8</v>
      </c>
      <c r="B9" s="31" t="s">
        <v>492</v>
      </c>
      <c r="C9" s="31" t="s">
        <v>39</v>
      </c>
      <c r="D9" s="31" t="s">
        <v>476</v>
      </c>
      <c r="E9" s="31" t="s">
        <v>25</v>
      </c>
      <c r="F9" s="31" t="s">
        <v>25</v>
      </c>
      <c r="G9" s="31" t="s">
        <v>25</v>
      </c>
      <c r="H9" s="31" t="s">
        <v>25</v>
      </c>
      <c r="I9" s="31" t="s">
        <v>25</v>
      </c>
      <c r="J9" s="31" t="s">
        <v>639</v>
      </c>
      <c r="K9" s="31" t="s">
        <v>638</v>
      </c>
      <c r="L9" s="31" t="s">
        <v>471</v>
      </c>
      <c r="M9" s="31">
        <v>2021</v>
      </c>
      <c r="N9" s="31">
        <v>0</v>
      </c>
      <c r="O9" s="31">
        <v>7.68</v>
      </c>
      <c r="P9" s="31">
        <v>0</v>
      </c>
    </row>
    <row r="10" spans="1:50" ht="11.25" customHeight="1" x14ac:dyDescent="0.3">
      <c r="A10" s="31">
        <v>9</v>
      </c>
      <c r="B10" s="31" t="s">
        <v>492</v>
      </c>
      <c r="C10" s="31" t="s">
        <v>22</v>
      </c>
      <c r="D10" s="31" t="s">
        <v>23</v>
      </c>
      <c r="E10" s="31" t="s">
        <v>24</v>
      </c>
      <c r="F10" s="31" t="s">
        <v>30</v>
      </c>
      <c r="G10" s="31" t="s">
        <v>25</v>
      </c>
      <c r="H10" s="31" t="s">
        <v>25</v>
      </c>
      <c r="I10" s="31" t="s">
        <v>25</v>
      </c>
      <c r="J10" s="31" t="s">
        <v>637</v>
      </c>
      <c r="K10" s="31" t="s">
        <v>638</v>
      </c>
      <c r="L10" s="31" t="s">
        <v>467</v>
      </c>
      <c r="M10" s="31">
        <v>2021</v>
      </c>
      <c r="N10" s="31">
        <v>0</v>
      </c>
      <c r="O10" s="31">
        <v>251.56</v>
      </c>
      <c r="P10" s="31">
        <v>0</v>
      </c>
    </row>
    <row r="11" spans="1:50" ht="11.25" customHeight="1" x14ac:dyDescent="0.3">
      <c r="A11" s="31">
        <v>10</v>
      </c>
      <c r="B11" s="31" t="s">
        <v>492</v>
      </c>
      <c r="C11" s="31" t="s">
        <v>39</v>
      </c>
      <c r="D11" s="31" t="s">
        <v>40</v>
      </c>
      <c r="E11" s="31" t="s">
        <v>25</v>
      </c>
      <c r="F11" s="31" t="s">
        <v>25</v>
      </c>
      <c r="G11" s="31" t="s">
        <v>25</v>
      </c>
      <c r="H11" s="31" t="s">
        <v>25</v>
      </c>
      <c r="I11" s="31" t="s">
        <v>25</v>
      </c>
      <c r="J11" s="31" t="s">
        <v>639</v>
      </c>
      <c r="K11" s="31" t="s">
        <v>638</v>
      </c>
      <c r="L11" s="31" t="s">
        <v>471</v>
      </c>
      <c r="M11" s="31">
        <v>2021</v>
      </c>
      <c r="N11" s="31">
        <v>0</v>
      </c>
      <c r="O11" s="31">
        <v>34.08</v>
      </c>
      <c r="P11" s="31">
        <v>0</v>
      </c>
    </row>
    <row r="12" spans="1:50" ht="11.25" customHeight="1" x14ac:dyDescent="0.3">
      <c r="A12" s="31">
        <v>11</v>
      </c>
      <c r="B12" s="31" t="s">
        <v>492</v>
      </c>
      <c r="C12" s="31" t="s">
        <v>22</v>
      </c>
      <c r="D12" s="31" t="s">
        <v>23</v>
      </c>
      <c r="E12" s="31" t="s">
        <v>24</v>
      </c>
      <c r="F12" s="31" t="s">
        <v>31</v>
      </c>
      <c r="G12" s="31" t="s">
        <v>25</v>
      </c>
      <c r="H12" s="31" t="s">
        <v>25</v>
      </c>
      <c r="I12" s="31" t="s">
        <v>25</v>
      </c>
      <c r="J12" s="31" t="s">
        <v>637</v>
      </c>
      <c r="K12" s="31" t="s">
        <v>638</v>
      </c>
      <c r="L12" s="31" t="s">
        <v>467</v>
      </c>
      <c r="M12" s="31">
        <v>2021</v>
      </c>
      <c r="N12" s="31">
        <v>0</v>
      </c>
      <c r="O12" s="31">
        <v>377.34</v>
      </c>
      <c r="P12" s="31">
        <v>0</v>
      </c>
    </row>
    <row r="13" spans="1:50" ht="11.25" customHeight="1" x14ac:dyDescent="0.3">
      <c r="A13" s="31">
        <v>12</v>
      </c>
      <c r="B13" s="31" t="s">
        <v>492</v>
      </c>
      <c r="C13" s="31" t="s">
        <v>39</v>
      </c>
      <c r="D13" s="31" t="s">
        <v>470</v>
      </c>
      <c r="E13" s="31" t="s">
        <v>25</v>
      </c>
      <c r="F13" s="31" t="s">
        <v>25</v>
      </c>
      <c r="G13" s="31" t="s">
        <v>475</v>
      </c>
      <c r="H13" s="31" t="s">
        <v>25</v>
      </c>
      <c r="I13" s="31" t="s">
        <v>25</v>
      </c>
      <c r="J13" s="31" t="s">
        <v>637</v>
      </c>
      <c r="K13" s="31" t="s">
        <v>638</v>
      </c>
      <c r="L13" s="31" t="s">
        <v>467</v>
      </c>
      <c r="M13" s="31">
        <v>2021</v>
      </c>
      <c r="N13" s="31">
        <v>0</v>
      </c>
      <c r="O13" s="31">
        <v>11.23</v>
      </c>
      <c r="P13" s="31">
        <v>0</v>
      </c>
    </row>
    <row r="14" spans="1:50" ht="11.25" customHeight="1" x14ac:dyDescent="0.3">
      <c r="A14" s="31">
        <v>13</v>
      </c>
      <c r="B14" s="31" t="s">
        <v>492</v>
      </c>
      <c r="C14" s="31" t="s">
        <v>22</v>
      </c>
      <c r="D14" s="31" t="s">
        <v>23</v>
      </c>
      <c r="E14" s="31" t="s">
        <v>24</v>
      </c>
      <c r="F14" s="31" t="s">
        <v>29</v>
      </c>
      <c r="G14" s="31" t="s">
        <v>25</v>
      </c>
      <c r="H14" s="31" t="s">
        <v>25</v>
      </c>
      <c r="I14" s="31" t="s">
        <v>25</v>
      </c>
      <c r="J14" s="31" t="s">
        <v>637</v>
      </c>
      <c r="K14" s="31" t="s">
        <v>638</v>
      </c>
      <c r="L14" s="31" t="s">
        <v>467</v>
      </c>
      <c r="M14" s="31">
        <v>2021</v>
      </c>
      <c r="N14" s="31">
        <v>0</v>
      </c>
      <c r="O14" s="31">
        <v>146.74</v>
      </c>
      <c r="P14" s="31">
        <v>0</v>
      </c>
    </row>
    <row r="15" spans="1:50" ht="11.25" customHeight="1" x14ac:dyDescent="0.3">
      <c r="A15" s="31">
        <v>14</v>
      </c>
      <c r="B15" s="31" t="s">
        <v>492</v>
      </c>
      <c r="C15" s="31" t="s">
        <v>477</v>
      </c>
      <c r="D15" s="31" t="s">
        <v>476</v>
      </c>
      <c r="E15" s="31" t="s">
        <v>25</v>
      </c>
      <c r="F15" s="31" t="s">
        <v>25</v>
      </c>
      <c r="G15" s="31" t="s">
        <v>478</v>
      </c>
      <c r="H15" s="31" t="s">
        <v>25</v>
      </c>
      <c r="I15" s="31" t="s">
        <v>25</v>
      </c>
      <c r="J15" s="31" t="s">
        <v>639</v>
      </c>
      <c r="K15" s="31" t="s">
        <v>638</v>
      </c>
      <c r="L15" s="31" t="s">
        <v>471</v>
      </c>
      <c r="M15" s="31">
        <v>2021</v>
      </c>
      <c r="N15" s="31">
        <v>0</v>
      </c>
      <c r="O15" s="31">
        <v>7.92</v>
      </c>
      <c r="P15" s="31">
        <v>0</v>
      </c>
    </row>
    <row r="16" spans="1:50" ht="11.25" customHeight="1" x14ac:dyDescent="0.3">
      <c r="A16" s="31">
        <v>15</v>
      </c>
      <c r="B16" s="31" t="s">
        <v>492</v>
      </c>
      <c r="C16" s="31" t="s">
        <v>22</v>
      </c>
      <c r="D16" s="31" t="s">
        <v>483</v>
      </c>
      <c r="E16" s="31" t="s">
        <v>24</v>
      </c>
      <c r="F16" s="31" t="s">
        <v>32</v>
      </c>
      <c r="G16" s="31" t="s">
        <v>25</v>
      </c>
      <c r="H16" s="31" t="s">
        <v>25</v>
      </c>
      <c r="I16" s="31" t="s">
        <v>25</v>
      </c>
      <c r="J16" s="31" t="s">
        <v>637</v>
      </c>
      <c r="K16" s="31" t="s">
        <v>638</v>
      </c>
      <c r="L16" s="31" t="s">
        <v>467</v>
      </c>
      <c r="M16" s="31">
        <v>2021</v>
      </c>
      <c r="N16" s="31">
        <v>0</v>
      </c>
      <c r="O16" s="31">
        <v>419.27</v>
      </c>
      <c r="P16" s="31">
        <v>0</v>
      </c>
    </row>
    <row r="17" spans="1:16" ht="11.25" customHeight="1" x14ac:dyDescent="0.3">
      <c r="A17" s="31">
        <v>16</v>
      </c>
      <c r="B17" s="31" t="s">
        <v>492</v>
      </c>
      <c r="C17" s="31" t="s">
        <v>477</v>
      </c>
      <c r="D17" s="31" t="s">
        <v>476</v>
      </c>
      <c r="E17" s="31" t="s">
        <v>25</v>
      </c>
      <c r="F17" s="31" t="s">
        <v>25</v>
      </c>
      <c r="G17" s="31" t="s">
        <v>479</v>
      </c>
      <c r="H17" s="31" t="s">
        <v>25</v>
      </c>
      <c r="I17" s="31" t="s">
        <v>25</v>
      </c>
      <c r="J17" s="31" t="s">
        <v>639</v>
      </c>
      <c r="K17" s="31" t="s">
        <v>638</v>
      </c>
      <c r="L17" s="31" t="s">
        <v>471</v>
      </c>
      <c r="M17" s="31">
        <v>2021</v>
      </c>
      <c r="N17" s="31">
        <v>0</v>
      </c>
      <c r="O17" s="31">
        <v>16.100000000000001</v>
      </c>
      <c r="P17" s="31">
        <v>0</v>
      </c>
    </row>
    <row r="18" spans="1:16" ht="11.25" customHeight="1" x14ac:dyDescent="0.3">
      <c r="A18" s="31">
        <v>17</v>
      </c>
      <c r="B18" s="31" t="s">
        <v>492</v>
      </c>
      <c r="C18" s="31" t="s">
        <v>39</v>
      </c>
      <c r="D18" s="31" t="s">
        <v>470</v>
      </c>
      <c r="E18" s="31" t="s">
        <v>25</v>
      </c>
      <c r="F18" s="31" t="s">
        <v>25</v>
      </c>
      <c r="G18" s="31" t="s">
        <v>25</v>
      </c>
      <c r="H18" s="31" t="s">
        <v>25</v>
      </c>
      <c r="I18" s="31" t="s">
        <v>35</v>
      </c>
      <c r="J18" s="31" t="s">
        <v>639</v>
      </c>
      <c r="K18" s="31" t="s">
        <v>638</v>
      </c>
      <c r="L18" s="31" t="s">
        <v>471</v>
      </c>
      <c r="M18" s="31">
        <v>2021</v>
      </c>
      <c r="N18" s="31">
        <v>0</v>
      </c>
      <c r="O18" s="31">
        <v>34.08</v>
      </c>
      <c r="P18" s="31">
        <v>0</v>
      </c>
    </row>
    <row r="19" spans="1:16" ht="11.25" customHeight="1" x14ac:dyDescent="0.3">
      <c r="A19" s="31">
        <v>18</v>
      </c>
      <c r="B19" s="31" t="s">
        <v>492</v>
      </c>
      <c r="C19" s="31" t="s">
        <v>22</v>
      </c>
      <c r="D19" s="31" t="s">
        <v>23</v>
      </c>
      <c r="E19" s="31" t="s">
        <v>24</v>
      </c>
      <c r="F19" s="31" t="s">
        <v>24</v>
      </c>
      <c r="G19" s="31" t="s">
        <v>25</v>
      </c>
      <c r="H19" s="31" t="s">
        <v>25</v>
      </c>
      <c r="I19" s="31" t="s">
        <v>25</v>
      </c>
      <c r="J19" s="31" t="s">
        <v>637</v>
      </c>
      <c r="K19" s="31" t="s">
        <v>638</v>
      </c>
      <c r="L19" s="31" t="s">
        <v>467</v>
      </c>
      <c r="M19" s="31">
        <v>2021</v>
      </c>
      <c r="N19" s="31">
        <v>0</v>
      </c>
      <c r="O19" s="31">
        <v>482.65</v>
      </c>
      <c r="P19" s="31">
        <v>54.752788787110397</v>
      </c>
    </row>
    <row r="20" spans="1:16" ht="11.25" customHeight="1" x14ac:dyDescent="0.3">
      <c r="A20" s="31">
        <v>19</v>
      </c>
      <c r="B20" s="31" t="s">
        <v>492</v>
      </c>
      <c r="C20" s="31" t="s">
        <v>22</v>
      </c>
      <c r="D20" s="31" t="s">
        <v>483</v>
      </c>
      <c r="E20" s="31" t="s">
        <v>24</v>
      </c>
      <c r="F20" s="31" t="s">
        <v>29</v>
      </c>
      <c r="G20" s="31" t="s">
        <v>25</v>
      </c>
      <c r="H20" s="31" t="s">
        <v>25</v>
      </c>
      <c r="I20" s="31" t="s">
        <v>25</v>
      </c>
      <c r="J20" s="31" t="s">
        <v>637</v>
      </c>
      <c r="K20" s="31" t="s">
        <v>638</v>
      </c>
      <c r="L20" s="31" t="s">
        <v>467</v>
      </c>
      <c r="M20" s="31">
        <v>2021</v>
      </c>
      <c r="N20" s="31">
        <v>0</v>
      </c>
      <c r="O20" s="31">
        <v>146.74</v>
      </c>
      <c r="P20" s="31">
        <v>0</v>
      </c>
    </row>
    <row r="21" spans="1:16" ht="11.25" customHeight="1" x14ac:dyDescent="0.3">
      <c r="A21" s="31">
        <v>20</v>
      </c>
      <c r="B21" s="31" t="s">
        <v>492</v>
      </c>
      <c r="C21" s="31" t="s">
        <v>22</v>
      </c>
      <c r="D21" s="31" t="s">
        <v>23</v>
      </c>
      <c r="E21" s="31" t="s">
        <v>24</v>
      </c>
      <c r="F21" s="31" t="s">
        <v>32</v>
      </c>
      <c r="G21" s="31" t="s">
        <v>25</v>
      </c>
      <c r="H21" s="31" t="s">
        <v>25</v>
      </c>
      <c r="I21" s="31" t="s">
        <v>25</v>
      </c>
      <c r="J21" s="31" t="s">
        <v>637</v>
      </c>
      <c r="K21" s="31" t="s">
        <v>638</v>
      </c>
      <c r="L21" s="31" t="s">
        <v>467</v>
      </c>
      <c r="M21" s="31">
        <v>2021</v>
      </c>
      <c r="N21" s="31">
        <v>0</v>
      </c>
      <c r="O21" s="31">
        <v>419.27</v>
      </c>
      <c r="P21" s="31">
        <v>0</v>
      </c>
    </row>
    <row r="22" spans="1:16" ht="11.25" customHeight="1" x14ac:dyDescent="0.3">
      <c r="A22" s="31">
        <v>21</v>
      </c>
      <c r="B22" s="31" t="s">
        <v>492</v>
      </c>
      <c r="C22" s="31" t="s">
        <v>39</v>
      </c>
      <c r="D22" s="31" t="s">
        <v>470</v>
      </c>
      <c r="E22" s="31" t="s">
        <v>25</v>
      </c>
      <c r="F22" s="31" t="s">
        <v>25</v>
      </c>
      <c r="G22" s="31" t="s">
        <v>25</v>
      </c>
      <c r="H22" s="31" t="s">
        <v>25</v>
      </c>
      <c r="I22" s="31" t="s">
        <v>34</v>
      </c>
      <c r="J22" s="31" t="s">
        <v>639</v>
      </c>
      <c r="K22" s="31" t="s">
        <v>638</v>
      </c>
      <c r="L22" s="31" t="s">
        <v>471</v>
      </c>
      <c r="M22" s="31">
        <v>2021</v>
      </c>
      <c r="N22" s="31">
        <v>0</v>
      </c>
      <c r="O22" s="31">
        <v>103.04</v>
      </c>
      <c r="P22" s="31">
        <v>0</v>
      </c>
    </row>
    <row r="23" spans="1:16" ht="11.25" customHeight="1" x14ac:dyDescent="0.3">
      <c r="A23" s="31">
        <v>22</v>
      </c>
      <c r="B23" s="31" t="s">
        <v>492</v>
      </c>
      <c r="C23" s="31" t="s">
        <v>22</v>
      </c>
      <c r="D23" s="31" t="s">
        <v>33</v>
      </c>
      <c r="E23" s="31" t="s">
        <v>24</v>
      </c>
      <c r="F23" s="31" t="s">
        <v>24</v>
      </c>
      <c r="G23" s="31" t="s">
        <v>25</v>
      </c>
      <c r="H23" s="31" t="s">
        <v>25</v>
      </c>
      <c r="I23" s="31" t="s">
        <v>35</v>
      </c>
      <c r="J23" s="31" t="s">
        <v>637</v>
      </c>
      <c r="K23" s="31" t="s">
        <v>638</v>
      </c>
      <c r="L23" s="31" t="s">
        <v>467</v>
      </c>
      <c r="M23" s="31">
        <v>2021</v>
      </c>
      <c r="N23" s="31">
        <v>0</v>
      </c>
      <c r="O23" s="31">
        <v>303.06</v>
      </c>
      <c r="P23" s="31">
        <v>54.752788787110397</v>
      </c>
    </row>
    <row r="24" spans="1:16" ht="11.25" customHeight="1" x14ac:dyDescent="0.3">
      <c r="A24" s="31">
        <v>23</v>
      </c>
      <c r="B24" s="31" t="s">
        <v>492</v>
      </c>
      <c r="C24" s="31" t="s">
        <v>39</v>
      </c>
      <c r="D24" s="31" t="s">
        <v>40</v>
      </c>
      <c r="E24" s="31" t="s">
        <v>25</v>
      </c>
      <c r="F24" s="31" t="s">
        <v>25</v>
      </c>
      <c r="G24" s="31" t="s">
        <v>25</v>
      </c>
      <c r="H24" s="31" t="s">
        <v>25</v>
      </c>
      <c r="I24" s="31" t="s">
        <v>34</v>
      </c>
      <c r="J24" s="31" t="s">
        <v>637</v>
      </c>
      <c r="K24" s="31" t="s">
        <v>638</v>
      </c>
      <c r="L24" s="31" t="s">
        <v>467</v>
      </c>
      <c r="M24" s="31">
        <v>2021</v>
      </c>
      <c r="N24" s="31">
        <v>0</v>
      </c>
      <c r="O24" s="31">
        <v>2545.94</v>
      </c>
      <c r="P24" s="31">
        <v>47.634926244786001</v>
      </c>
    </row>
    <row r="25" spans="1:16" ht="11.25" customHeight="1" x14ac:dyDescent="0.3">
      <c r="A25" s="31">
        <v>24</v>
      </c>
      <c r="B25" s="31" t="s">
        <v>492</v>
      </c>
      <c r="C25" s="31" t="s">
        <v>42</v>
      </c>
      <c r="D25" s="31" t="s">
        <v>33</v>
      </c>
      <c r="E25" s="31" t="s">
        <v>43</v>
      </c>
      <c r="F25" s="31" t="s">
        <v>485</v>
      </c>
      <c r="G25" s="31" t="s">
        <v>25</v>
      </c>
      <c r="H25" s="31" t="s">
        <v>25</v>
      </c>
      <c r="I25" s="31" t="s">
        <v>36</v>
      </c>
      <c r="J25" s="31" t="s">
        <v>637</v>
      </c>
      <c r="K25" s="31" t="s">
        <v>638</v>
      </c>
      <c r="L25" s="31" t="s">
        <v>467</v>
      </c>
      <c r="M25" s="31">
        <v>2021</v>
      </c>
      <c r="N25" s="31">
        <v>0</v>
      </c>
      <c r="O25" s="31">
        <v>658.06</v>
      </c>
      <c r="P25" s="31">
        <v>45.9923425811727</v>
      </c>
    </row>
    <row r="26" spans="1:16" ht="11.25" customHeight="1" x14ac:dyDescent="0.3">
      <c r="A26" s="31">
        <v>25</v>
      </c>
      <c r="B26" s="31" t="s">
        <v>520</v>
      </c>
      <c r="C26" s="31" t="s">
        <v>39</v>
      </c>
      <c r="D26" s="31" t="s">
        <v>466</v>
      </c>
      <c r="E26" s="31" t="s">
        <v>25</v>
      </c>
      <c r="F26" s="31" t="s">
        <v>25</v>
      </c>
      <c r="G26" s="31" t="s">
        <v>25</v>
      </c>
      <c r="H26" s="31" t="s">
        <v>25</v>
      </c>
      <c r="I26" s="31" t="s">
        <v>34</v>
      </c>
      <c r="J26" s="31" t="s">
        <v>637</v>
      </c>
      <c r="K26" s="31" t="s">
        <v>638</v>
      </c>
      <c r="L26" s="31" t="s">
        <v>467</v>
      </c>
      <c r="M26" s="31">
        <v>2021</v>
      </c>
      <c r="N26" s="31">
        <v>0</v>
      </c>
      <c r="O26" s="31">
        <v>223.07</v>
      </c>
      <c r="P26" s="31"/>
    </row>
    <row r="27" spans="1:16" ht="11.25" customHeight="1" x14ac:dyDescent="0.3">
      <c r="A27" s="31">
        <v>26</v>
      </c>
      <c r="B27" s="31" t="s">
        <v>492</v>
      </c>
      <c r="C27" s="31" t="s">
        <v>22</v>
      </c>
      <c r="D27" s="31" t="s">
        <v>33</v>
      </c>
      <c r="E27" s="31" t="s">
        <v>24</v>
      </c>
      <c r="F27" s="31" t="s">
        <v>24</v>
      </c>
      <c r="G27" s="31" t="s">
        <v>25</v>
      </c>
      <c r="H27" s="31" t="s">
        <v>25</v>
      </c>
      <c r="I27" s="31" t="s">
        <v>36</v>
      </c>
      <c r="J27" s="31" t="s">
        <v>637</v>
      </c>
      <c r="K27" s="31" t="s">
        <v>638</v>
      </c>
      <c r="L27" s="31" t="s">
        <v>467</v>
      </c>
      <c r="M27" s="31">
        <v>2021</v>
      </c>
      <c r="N27" s="31">
        <v>0</v>
      </c>
      <c r="O27" s="31">
        <v>724.93</v>
      </c>
      <c r="P27" s="31">
        <v>54.752788787110397</v>
      </c>
    </row>
    <row r="28" spans="1:16" ht="11.25" customHeight="1" x14ac:dyDescent="0.3">
      <c r="A28" s="31">
        <v>27</v>
      </c>
      <c r="B28" s="31" t="s">
        <v>492</v>
      </c>
      <c r="C28" s="31" t="s">
        <v>39</v>
      </c>
      <c r="D28" s="31" t="s">
        <v>40</v>
      </c>
      <c r="E28" s="31" t="s">
        <v>25</v>
      </c>
      <c r="F28" s="31" t="s">
        <v>25</v>
      </c>
      <c r="G28" s="31" t="s">
        <v>475</v>
      </c>
      <c r="H28" s="31" t="s">
        <v>25</v>
      </c>
      <c r="I28" s="31" t="s">
        <v>34</v>
      </c>
      <c r="J28" s="31" t="s">
        <v>637</v>
      </c>
      <c r="K28" s="31" t="s">
        <v>638</v>
      </c>
      <c r="L28" s="31" t="s">
        <v>467</v>
      </c>
      <c r="M28" s="31">
        <v>2021</v>
      </c>
      <c r="N28" s="31">
        <v>0</v>
      </c>
      <c r="O28" s="31">
        <v>2489.6799999999998</v>
      </c>
      <c r="P28" s="31">
        <v>0</v>
      </c>
    </row>
    <row r="29" spans="1:16" ht="11.25" customHeight="1" x14ac:dyDescent="0.3">
      <c r="A29" s="31">
        <v>28</v>
      </c>
      <c r="B29" s="31" t="s">
        <v>492</v>
      </c>
      <c r="C29" s="31" t="s">
        <v>42</v>
      </c>
      <c r="D29" s="31" t="s">
        <v>23</v>
      </c>
      <c r="E29" s="31" t="s">
        <v>43</v>
      </c>
      <c r="F29" s="31" t="s">
        <v>485</v>
      </c>
      <c r="G29" s="31" t="s">
        <v>25</v>
      </c>
      <c r="H29" s="31" t="s">
        <v>25</v>
      </c>
      <c r="I29" s="31" t="s">
        <v>25</v>
      </c>
      <c r="J29" s="31" t="s">
        <v>637</v>
      </c>
      <c r="K29" s="31" t="s">
        <v>638</v>
      </c>
      <c r="L29" s="31" t="s">
        <v>467</v>
      </c>
      <c r="M29" s="31">
        <v>2021</v>
      </c>
      <c r="N29" s="31">
        <v>0</v>
      </c>
      <c r="O29" s="31">
        <v>405.42</v>
      </c>
      <c r="P29" s="31">
        <v>45.9923425811727</v>
      </c>
    </row>
    <row r="30" spans="1:16" ht="11.25" customHeight="1" x14ac:dyDescent="0.3">
      <c r="A30" s="31">
        <v>29</v>
      </c>
      <c r="B30" s="31" t="s">
        <v>520</v>
      </c>
      <c r="C30" s="31" t="s">
        <v>22</v>
      </c>
      <c r="D30" s="31" t="s">
        <v>466</v>
      </c>
      <c r="E30" s="31" t="s">
        <v>24</v>
      </c>
      <c r="F30" s="31" t="s">
        <v>24</v>
      </c>
      <c r="G30" s="31" t="s">
        <v>25</v>
      </c>
      <c r="H30" s="31" t="s">
        <v>25</v>
      </c>
      <c r="I30" s="31" t="s">
        <v>34</v>
      </c>
      <c r="J30" s="31" t="s">
        <v>637</v>
      </c>
      <c r="K30" s="31" t="s">
        <v>638</v>
      </c>
      <c r="L30" s="31" t="s">
        <v>467</v>
      </c>
      <c r="M30" s="31">
        <v>2021</v>
      </c>
      <c r="N30" s="31">
        <v>0</v>
      </c>
      <c r="O30" s="31">
        <v>223.07</v>
      </c>
      <c r="P30" s="31"/>
    </row>
    <row r="31" spans="1:16" ht="11.25" customHeight="1" x14ac:dyDescent="0.3">
      <c r="A31" s="31">
        <v>30</v>
      </c>
      <c r="B31" s="31" t="s">
        <v>492</v>
      </c>
      <c r="C31" s="31" t="s">
        <v>22</v>
      </c>
      <c r="D31" s="31" t="s">
        <v>483</v>
      </c>
      <c r="E31" s="31" t="s">
        <v>24</v>
      </c>
      <c r="F31" s="31" t="s">
        <v>31</v>
      </c>
      <c r="G31" s="31" t="s">
        <v>25</v>
      </c>
      <c r="H31" s="31" t="s">
        <v>25</v>
      </c>
      <c r="I31" s="31" t="s">
        <v>25</v>
      </c>
      <c r="J31" s="31" t="s">
        <v>637</v>
      </c>
      <c r="K31" s="31" t="s">
        <v>638</v>
      </c>
      <c r="L31" s="31" t="s">
        <v>467</v>
      </c>
      <c r="M31" s="31">
        <v>2021</v>
      </c>
      <c r="N31" s="31">
        <v>0</v>
      </c>
      <c r="O31" s="31">
        <v>377.34</v>
      </c>
      <c r="P31" s="31">
        <v>0</v>
      </c>
    </row>
    <row r="32" spans="1:16" ht="11.25" customHeight="1" x14ac:dyDescent="0.3">
      <c r="A32" s="31">
        <v>31</v>
      </c>
      <c r="B32" s="31" t="s">
        <v>492</v>
      </c>
      <c r="C32" s="31" t="s">
        <v>42</v>
      </c>
      <c r="D32" s="31" t="s">
        <v>483</v>
      </c>
      <c r="E32" s="31" t="s">
        <v>43</v>
      </c>
      <c r="F32" s="31" t="s">
        <v>484</v>
      </c>
      <c r="G32" s="31" t="s">
        <v>25</v>
      </c>
      <c r="H32" s="31" t="s">
        <v>25</v>
      </c>
      <c r="I32" s="31" t="s">
        <v>25</v>
      </c>
      <c r="J32" s="31" t="s">
        <v>637</v>
      </c>
      <c r="K32" s="31" t="s">
        <v>638</v>
      </c>
      <c r="L32" s="31" t="s">
        <v>467</v>
      </c>
      <c r="M32" s="31">
        <v>2021</v>
      </c>
      <c r="N32" s="31">
        <v>0</v>
      </c>
      <c r="O32" s="31">
        <v>424.73</v>
      </c>
      <c r="P32" s="31">
        <v>48.182454132657099</v>
      </c>
    </row>
    <row r="33" spans="1:16" ht="11.25" customHeight="1" x14ac:dyDescent="0.3">
      <c r="A33" s="31">
        <v>32</v>
      </c>
      <c r="B33" s="31" t="s">
        <v>520</v>
      </c>
      <c r="C33" s="31" t="s">
        <v>22</v>
      </c>
      <c r="D33" s="31" t="s">
        <v>466</v>
      </c>
      <c r="E33" s="31" t="s">
        <v>24</v>
      </c>
      <c r="F33" s="31" t="s">
        <v>24</v>
      </c>
      <c r="G33" s="31" t="s">
        <v>25</v>
      </c>
      <c r="H33" s="31" t="s">
        <v>25</v>
      </c>
      <c r="I33" s="31" t="s">
        <v>35</v>
      </c>
      <c r="J33" s="31" t="s">
        <v>637</v>
      </c>
      <c r="K33" s="31" t="s">
        <v>638</v>
      </c>
      <c r="L33" s="31" t="s">
        <v>467</v>
      </c>
      <c r="M33" s="31">
        <v>2021</v>
      </c>
      <c r="N33" s="31">
        <v>0</v>
      </c>
      <c r="O33" s="31">
        <v>223.07</v>
      </c>
      <c r="P33" s="31"/>
    </row>
    <row r="34" spans="1:16" ht="11.25" customHeight="1" x14ac:dyDescent="0.3">
      <c r="A34" s="31">
        <v>33</v>
      </c>
      <c r="B34" s="31" t="s">
        <v>492</v>
      </c>
      <c r="C34" s="31" t="s">
        <v>42</v>
      </c>
      <c r="D34" s="31" t="s">
        <v>33</v>
      </c>
      <c r="E34" s="31" t="s">
        <v>43</v>
      </c>
      <c r="F34" s="31" t="s">
        <v>484</v>
      </c>
      <c r="G34" s="31" t="s">
        <v>25</v>
      </c>
      <c r="H34" s="31" t="s">
        <v>25</v>
      </c>
      <c r="I34" s="31" t="s">
        <v>35</v>
      </c>
      <c r="J34" s="31" t="s">
        <v>637</v>
      </c>
      <c r="K34" s="31" t="s">
        <v>638</v>
      </c>
      <c r="L34" s="31" t="s">
        <v>467</v>
      </c>
      <c r="M34" s="31">
        <v>2021</v>
      </c>
      <c r="N34" s="31">
        <v>0</v>
      </c>
      <c r="O34" s="31">
        <v>283.75</v>
      </c>
      <c r="P34" s="31">
        <v>48.182454132657099</v>
      </c>
    </row>
    <row r="35" spans="1:16" ht="11.25" customHeight="1" x14ac:dyDescent="0.3">
      <c r="A35" s="31">
        <v>34</v>
      </c>
      <c r="B35" s="31" t="s">
        <v>492</v>
      </c>
      <c r="C35" s="31" t="s">
        <v>37</v>
      </c>
      <c r="D35" s="31" t="s">
        <v>483</v>
      </c>
      <c r="E35" s="31" t="s">
        <v>25</v>
      </c>
      <c r="F35" s="31" t="s">
        <v>25</v>
      </c>
      <c r="G35" s="31" t="s">
        <v>25</v>
      </c>
      <c r="H35" s="31" t="s">
        <v>25</v>
      </c>
      <c r="I35" s="31" t="s">
        <v>25</v>
      </c>
      <c r="J35" s="31" t="s">
        <v>637</v>
      </c>
      <c r="K35" s="31" t="s">
        <v>638</v>
      </c>
      <c r="L35" s="31" t="s">
        <v>467</v>
      </c>
      <c r="M35" s="31">
        <v>2021</v>
      </c>
      <c r="N35" s="31">
        <v>0</v>
      </c>
      <c r="O35" s="31">
        <v>482.65</v>
      </c>
      <c r="P35" s="31">
        <v>54.752788787110397</v>
      </c>
    </row>
    <row r="36" spans="1:16" ht="11.25" customHeight="1" x14ac:dyDescent="0.3">
      <c r="A36" s="31">
        <v>35</v>
      </c>
      <c r="B36" s="31" t="s">
        <v>492</v>
      </c>
      <c r="C36" s="31" t="s">
        <v>42</v>
      </c>
      <c r="D36" s="31" t="s">
        <v>33</v>
      </c>
      <c r="E36" s="31" t="s">
        <v>43</v>
      </c>
      <c r="F36" s="31" t="s">
        <v>484</v>
      </c>
      <c r="G36" s="31" t="s">
        <v>25</v>
      </c>
      <c r="H36" s="31" t="s">
        <v>25</v>
      </c>
      <c r="I36" s="31" t="s">
        <v>34</v>
      </c>
      <c r="J36" s="31" t="s">
        <v>637</v>
      </c>
      <c r="K36" s="31" t="s">
        <v>638</v>
      </c>
      <c r="L36" s="31" t="s">
        <v>467</v>
      </c>
      <c r="M36" s="31">
        <v>2021</v>
      </c>
      <c r="N36" s="31">
        <v>0</v>
      </c>
      <c r="O36" s="31">
        <v>1095.05</v>
      </c>
      <c r="P36" s="31">
        <v>48.182454132657099</v>
      </c>
    </row>
    <row r="37" spans="1:16" ht="11.25" customHeight="1" x14ac:dyDescent="0.3">
      <c r="A37" s="31">
        <v>36</v>
      </c>
      <c r="B37" s="31" t="s">
        <v>492</v>
      </c>
      <c r="C37" s="31" t="s">
        <v>37</v>
      </c>
      <c r="D37" s="31" t="s">
        <v>23</v>
      </c>
      <c r="E37" s="31" t="s">
        <v>25</v>
      </c>
      <c r="F37" s="31" t="s">
        <v>25</v>
      </c>
      <c r="G37" s="31" t="s">
        <v>25</v>
      </c>
      <c r="H37" s="31" t="s">
        <v>25</v>
      </c>
      <c r="I37" s="31" t="s">
        <v>25</v>
      </c>
      <c r="J37" s="31" t="s">
        <v>637</v>
      </c>
      <c r="K37" s="31" t="s">
        <v>638</v>
      </c>
      <c r="L37" s="31" t="s">
        <v>467</v>
      </c>
      <c r="M37" s="31">
        <v>2021</v>
      </c>
      <c r="N37" s="31">
        <v>0</v>
      </c>
      <c r="O37" s="31">
        <v>482.65</v>
      </c>
      <c r="P37" s="31">
        <v>54.752788787110397</v>
      </c>
    </row>
    <row r="38" spans="1:16" ht="11.25" customHeight="1" x14ac:dyDescent="0.3">
      <c r="A38" s="31">
        <v>37</v>
      </c>
      <c r="B38" s="31" t="s">
        <v>492</v>
      </c>
      <c r="C38" s="31" t="s">
        <v>42</v>
      </c>
      <c r="D38" s="31" t="s">
        <v>483</v>
      </c>
      <c r="E38" s="31" t="s">
        <v>43</v>
      </c>
      <c r="F38" s="31" t="s">
        <v>25</v>
      </c>
      <c r="G38" s="31" t="s">
        <v>25</v>
      </c>
      <c r="H38" s="31" t="s">
        <v>25</v>
      </c>
      <c r="I38" s="31" t="s">
        <v>25</v>
      </c>
      <c r="J38" s="31" t="s">
        <v>637</v>
      </c>
      <c r="K38" s="31" t="s">
        <v>638</v>
      </c>
      <c r="L38" s="31" t="s">
        <v>467</v>
      </c>
      <c r="M38" s="31">
        <v>2021</v>
      </c>
      <c r="N38" s="31">
        <v>0</v>
      </c>
      <c r="O38" s="31">
        <v>424.73</v>
      </c>
      <c r="P38" s="31">
        <v>48.182454132657099</v>
      </c>
    </row>
    <row r="39" spans="1:16" ht="11.25" customHeight="1" x14ac:dyDescent="0.3">
      <c r="A39" s="31">
        <v>38</v>
      </c>
      <c r="B39" s="31" t="s">
        <v>520</v>
      </c>
      <c r="C39" s="31" t="s">
        <v>22</v>
      </c>
      <c r="D39" s="31" t="s">
        <v>466</v>
      </c>
      <c r="E39" s="31" t="s">
        <v>24</v>
      </c>
      <c r="F39" s="31" t="s">
        <v>24</v>
      </c>
      <c r="G39" s="31" t="s">
        <v>25</v>
      </c>
      <c r="H39" s="31" t="s">
        <v>25</v>
      </c>
      <c r="I39" s="31" t="s">
        <v>36</v>
      </c>
      <c r="J39" s="31" t="s">
        <v>637</v>
      </c>
      <c r="K39" s="31" t="s">
        <v>638</v>
      </c>
      <c r="L39" s="31" t="s">
        <v>467</v>
      </c>
      <c r="M39" s="31">
        <v>2021</v>
      </c>
      <c r="N39" s="31">
        <v>0</v>
      </c>
      <c r="O39" s="31">
        <v>223.07</v>
      </c>
      <c r="P39" s="31"/>
    </row>
    <row r="40" spans="1:16" ht="11.25" customHeight="1" x14ac:dyDescent="0.3">
      <c r="A40" s="31">
        <v>39</v>
      </c>
      <c r="B40" s="31" t="s">
        <v>520</v>
      </c>
      <c r="C40" s="31" t="s">
        <v>42</v>
      </c>
      <c r="D40" s="31" t="s">
        <v>466</v>
      </c>
      <c r="E40" s="31" t="s">
        <v>43</v>
      </c>
      <c r="F40" s="31" t="s">
        <v>25</v>
      </c>
      <c r="G40" s="31" t="s">
        <v>25</v>
      </c>
      <c r="H40" s="31" t="s">
        <v>25</v>
      </c>
      <c r="I40" s="31" t="s">
        <v>34</v>
      </c>
      <c r="J40" s="31" t="s">
        <v>637</v>
      </c>
      <c r="K40" s="31" t="s">
        <v>638</v>
      </c>
      <c r="L40" s="31" t="s">
        <v>467</v>
      </c>
      <c r="M40" s="31">
        <v>2021</v>
      </c>
      <c r="N40" s="31">
        <v>0</v>
      </c>
      <c r="O40" s="31">
        <v>196.3</v>
      </c>
      <c r="P40" s="31"/>
    </row>
    <row r="41" spans="1:16" ht="11.25" customHeight="1" x14ac:dyDescent="0.3">
      <c r="A41" s="31">
        <v>40</v>
      </c>
      <c r="B41" s="31" t="s">
        <v>520</v>
      </c>
      <c r="C41" s="31" t="s">
        <v>42</v>
      </c>
      <c r="D41" s="31" t="s">
        <v>482</v>
      </c>
      <c r="E41" s="31" t="s">
        <v>43</v>
      </c>
      <c r="F41" s="31" t="s">
        <v>485</v>
      </c>
      <c r="G41" s="31" t="s">
        <v>25</v>
      </c>
      <c r="H41" s="31" t="s">
        <v>25</v>
      </c>
      <c r="I41" s="31" t="s">
        <v>25</v>
      </c>
      <c r="J41" s="31" t="s">
        <v>637</v>
      </c>
      <c r="K41" s="31" t="s">
        <v>638</v>
      </c>
      <c r="L41" s="31" t="s">
        <v>467</v>
      </c>
      <c r="M41" s="31">
        <v>2021</v>
      </c>
      <c r="N41" s="31">
        <v>0</v>
      </c>
      <c r="O41" s="31">
        <v>187.38</v>
      </c>
      <c r="P41" s="31"/>
    </row>
    <row r="42" spans="1:16" ht="11.25" customHeight="1" x14ac:dyDescent="0.3">
      <c r="A42" s="31">
        <v>41</v>
      </c>
      <c r="B42" s="31" t="s">
        <v>492</v>
      </c>
      <c r="C42" s="31" t="s">
        <v>42</v>
      </c>
      <c r="D42" s="31" t="s">
        <v>483</v>
      </c>
      <c r="E42" s="31" t="s">
        <v>43</v>
      </c>
      <c r="F42" s="31" t="s">
        <v>485</v>
      </c>
      <c r="G42" s="31" t="s">
        <v>25</v>
      </c>
      <c r="H42" s="31" t="s">
        <v>25</v>
      </c>
      <c r="I42" s="31" t="s">
        <v>25</v>
      </c>
      <c r="J42" s="31" t="s">
        <v>637</v>
      </c>
      <c r="K42" s="31" t="s">
        <v>638</v>
      </c>
      <c r="L42" s="31" t="s">
        <v>467</v>
      </c>
      <c r="M42" s="31">
        <v>2021</v>
      </c>
      <c r="N42" s="31">
        <v>0</v>
      </c>
      <c r="O42" s="31">
        <v>405.42</v>
      </c>
      <c r="P42" s="31">
        <v>45.9923425811727</v>
      </c>
    </row>
    <row r="43" spans="1:16" ht="11.25" customHeight="1" x14ac:dyDescent="0.3">
      <c r="A43" s="31">
        <v>42</v>
      </c>
      <c r="B43" s="31" t="s">
        <v>520</v>
      </c>
      <c r="C43" s="31" t="s">
        <v>22</v>
      </c>
      <c r="D43" s="31" t="s">
        <v>481</v>
      </c>
      <c r="E43" s="31" t="s">
        <v>24</v>
      </c>
      <c r="F43" s="31" t="s">
        <v>24</v>
      </c>
      <c r="G43" s="31" t="s">
        <v>25</v>
      </c>
      <c r="H43" s="31" t="s">
        <v>25</v>
      </c>
      <c r="I43" s="31" t="s">
        <v>25</v>
      </c>
      <c r="J43" s="31" t="s">
        <v>637</v>
      </c>
      <c r="K43" s="31" t="s">
        <v>638</v>
      </c>
      <c r="L43" s="31" t="s">
        <v>467</v>
      </c>
      <c r="M43" s="31">
        <v>2021</v>
      </c>
      <c r="N43" s="31">
        <v>0</v>
      </c>
      <c r="O43" s="31">
        <v>223.07</v>
      </c>
      <c r="P43" s="31"/>
    </row>
    <row r="44" spans="1:16" ht="11.25" customHeight="1" x14ac:dyDescent="0.3">
      <c r="A44" s="31">
        <v>43</v>
      </c>
      <c r="B44" s="31" t="s">
        <v>492</v>
      </c>
      <c r="C44" s="31" t="s">
        <v>42</v>
      </c>
      <c r="D44" s="31" t="s">
        <v>33</v>
      </c>
      <c r="E44" s="31" t="s">
        <v>43</v>
      </c>
      <c r="F44" s="31" t="s">
        <v>25</v>
      </c>
      <c r="G44" s="31" t="s">
        <v>25</v>
      </c>
      <c r="H44" s="31" t="s">
        <v>25</v>
      </c>
      <c r="I44" s="31" t="s">
        <v>35</v>
      </c>
      <c r="J44" s="31" t="s">
        <v>637</v>
      </c>
      <c r="K44" s="31" t="s">
        <v>638</v>
      </c>
      <c r="L44" s="31" t="s">
        <v>467</v>
      </c>
      <c r="M44" s="31">
        <v>2021</v>
      </c>
      <c r="N44" s="31">
        <v>0</v>
      </c>
      <c r="O44" s="31">
        <v>283.75</v>
      </c>
      <c r="P44" s="31">
        <v>48.182454132657099</v>
      </c>
    </row>
    <row r="45" spans="1:16" ht="11.25" customHeight="1" x14ac:dyDescent="0.3">
      <c r="A45" s="31">
        <v>44</v>
      </c>
      <c r="B45" s="31" t="s">
        <v>492</v>
      </c>
      <c r="C45" s="31" t="s">
        <v>37</v>
      </c>
      <c r="D45" s="31" t="s">
        <v>33</v>
      </c>
      <c r="E45" s="31" t="s">
        <v>25</v>
      </c>
      <c r="F45" s="31" t="s">
        <v>25</v>
      </c>
      <c r="G45" s="31" t="s">
        <v>25</v>
      </c>
      <c r="H45" s="31" t="s">
        <v>25</v>
      </c>
      <c r="I45" s="31" t="s">
        <v>34</v>
      </c>
      <c r="J45" s="31" t="s">
        <v>637</v>
      </c>
      <c r="K45" s="31" t="s">
        <v>638</v>
      </c>
      <c r="L45" s="31" t="s">
        <v>467</v>
      </c>
      <c r="M45" s="31">
        <v>2021</v>
      </c>
      <c r="N45" s="31">
        <v>0</v>
      </c>
      <c r="O45" s="31">
        <v>1439.79</v>
      </c>
      <c r="P45" s="31">
        <v>54.752788787110397</v>
      </c>
    </row>
    <row r="46" spans="1:16" ht="11.25" customHeight="1" x14ac:dyDescent="0.3">
      <c r="A46" s="31">
        <v>45</v>
      </c>
      <c r="B46" s="31" t="s">
        <v>492</v>
      </c>
      <c r="C46" s="31" t="s">
        <v>42</v>
      </c>
      <c r="D46" s="31" t="s">
        <v>33</v>
      </c>
      <c r="E46" s="31" t="s">
        <v>43</v>
      </c>
      <c r="F46" s="31" t="s">
        <v>484</v>
      </c>
      <c r="G46" s="31" t="s">
        <v>25</v>
      </c>
      <c r="H46" s="31" t="s">
        <v>25</v>
      </c>
      <c r="I46" s="31" t="s">
        <v>36</v>
      </c>
      <c r="J46" s="31" t="s">
        <v>637</v>
      </c>
      <c r="K46" s="31" t="s">
        <v>638</v>
      </c>
      <c r="L46" s="31" t="s">
        <v>467</v>
      </c>
      <c r="M46" s="31">
        <v>2021</v>
      </c>
      <c r="N46" s="31">
        <v>0</v>
      </c>
      <c r="O46" s="31">
        <v>689.4</v>
      </c>
      <c r="P46" s="31">
        <v>48.182454132657099</v>
      </c>
    </row>
    <row r="47" spans="1:16" ht="11.25" customHeight="1" x14ac:dyDescent="0.3">
      <c r="A47" s="31">
        <v>46</v>
      </c>
      <c r="B47" s="31" t="s">
        <v>492</v>
      </c>
      <c r="C47" s="31" t="s">
        <v>42</v>
      </c>
      <c r="D47" s="31" t="s">
        <v>33</v>
      </c>
      <c r="E47" s="31" t="s">
        <v>43</v>
      </c>
      <c r="F47" s="31" t="s">
        <v>485</v>
      </c>
      <c r="G47" s="31" t="s">
        <v>25</v>
      </c>
      <c r="H47" s="31" t="s">
        <v>25</v>
      </c>
      <c r="I47" s="31" t="s">
        <v>34</v>
      </c>
      <c r="J47" s="31" t="s">
        <v>637</v>
      </c>
      <c r="K47" s="31" t="s">
        <v>638</v>
      </c>
      <c r="L47" s="31" t="s">
        <v>467</v>
      </c>
      <c r="M47" s="31">
        <v>2021</v>
      </c>
      <c r="N47" s="31">
        <v>0</v>
      </c>
      <c r="O47" s="31">
        <v>1045.28</v>
      </c>
      <c r="P47" s="31">
        <v>45.9923425811727</v>
      </c>
    </row>
    <row r="48" spans="1:16" ht="11.25" customHeight="1" x14ac:dyDescent="0.3">
      <c r="A48" s="31">
        <v>47</v>
      </c>
      <c r="B48" s="31" t="s">
        <v>492</v>
      </c>
      <c r="C48" s="31" t="s">
        <v>45</v>
      </c>
      <c r="D48" s="31" t="s">
        <v>23</v>
      </c>
      <c r="E48" s="31" t="s">
        <v>46</v>
      </c>
      <c r="F48" s="31" t="s">
        <v>47</v>
      </c>
      <c r="G48" s="31" t="s">
        <v>25</v>
      </c>
      <c r="H48" s="31" t="s">
        <v>25</v>
      </c>
      <c r="I48" s="31" t="s">
        <v>25</v>
      </c>
      <c r="J48" s="31" t="s">
        <v>637</v>
      </c>
      <c r="K48" s="31" t="s">
        <v>638</v>
      </c>
      <c r="L48" s="31" t="s">
        <v>467</v>
      </c>
      <c r="M48" s="31">
        <v>2021</v>
      </c>
      <c r="N48" s="31">
        <v>0</v>
      </c>
      <c r="O48" s="31">
        <v>289.58999999999997</v>
      </c>
      <c r="P48" s="31">
        <v>32.851673272266197</v>
      </c>
    </row>
    <row r="49" spans="1:16" ht="11.25" customHeight="1" x14ac:dyDescent="0.3">
      <c r="A49" s="31">
        <v>48</v>
      </c>
      <c r="B49" s="31" t="s">
        <v>492</v>
      </c>
      <c r="C49" s="31" t="s">
        <v>42</v>
      </c>
      <c r="D49" s="31" t="s">
        <v>23</v>
      </c>
      <c r="E49" s="31" t="s">
        <v>43</v>
      </c>
      <c r="F49" s="31" t="s">
        <v>484</v>
      </c>
      <c r="G49" s="31" t="s">
        <v>25</v>
      </c>
      <c r="H49" s="31" t="s">
        <v>25</v>
      </c>
      <c r="I49" s="31" t="s">
        <v>25</v>
      </c>
      <c r="J49" s="31" t="s">
        <v>637</v>
      </c>
      <c r="K49" s="31" t="s">
        <v>638</v>
      </c>
      <c r="L49" s="31" t="s">
        <v>467</v>
      </c>
      <c r="M49" s="31">
        <v>2021</v>
      </c>
      <c r="N49" s="31">
        <v>0</v>
      </c>
      <c r="O49" s="31">
        <v>424.73</v>
      </c>
      <c r="P49" s="31">
        <v>48.182454132657099</v>
      </c>
    </row>
    <row r="50" spans="1:16" ht="11.25" customHeight="1" x14ac:dyDescent="0.3">
      <c r="A50" s="31">
        <v>49</v>
      </c>
      <c r="B50" s="31" t="s">
        <v>492</v>
      </c>
      <c r="C50" s="31" t="s">
        <v>45</v>
      </c>
      <c r="D50" s="31" t="s">
        <v>23</v>
      </c>
      <c r="E50" s="31" t="s">
        <v>46</v>
      </c>
      <c r="F50" s="31" t="s">
        <v>486</v>
      </c>
      <c r="G50" s="31" t="s">
        <v>25</v>
      </c>
      <c r="H50" s="31" t="s">
        <v>25</v>
      </c>
      <c r="I50" s="31" t="s">
        <v>25</v>
      </c>
      <c r="J50" s="31" t="s">
        <v>637</v>
      </c>
      <c r="K50" s="31" t="s">
        <v>638</v>
      </c>
      <c r="L50" s="31" t="s">
        <v>467</v>
      </c>
      <c r="M50" s="31">
        <v>2021</v>
      </c>
      <c r="N50" s="31">
        <v>0</v>
      </c>
      <c r="O50" s="31">
        <v>265.45</v>
      </c>
      <c r="P50" s="31">
        <v>30.1140338329107</v>
      </c>
    </row>
    <row r="51" spans="1:16" ht="11.25" customHeight="1" x14ac:dyDescent="0.3">
      <c r="A51" s="31">
        <v>50</v>
      </c>
      <c r="B51" s="31" t="s">
        <v>520</v>
      </c>
      <c r="C51" s="31" t="s">
        <v>39</v>
      </c>
      <c r="D51" s="31" t="s">
        <v>466</v>
      </c>
      <c r="E51" s="31" t="s">
        <v>25</v>
      </c>
      <c r="F51" s="31" t="s">
        <v>25</v>
      </c>
      <c r="G51" s="31" t="s">
        <v>25</v>
      </c>
      <c r="H51" s="31" t="s">
        <v>25</v>
      </c>
      <c r="I51" s="31" t="s">
        <v>35</v>
      </c>
      <c r="J51" s="31" t="s">
        <v>637</v>
      </c>
      <c r="K51" s="31" t="s">
        <v>638</v>
      </c>
      <c r="L51" s="31" t="s">
        <v>467</v>
      </c>
      <c r="M51" s="31">
        <v>2021</v>
      </c>
      <c r="N51" s="31">
        <v>0</v>
      </c>
      <c r="O51" s="31">
        <v>223.07</v>
      </c>
      <c r="P51" s="31"/>
    </row>
    <row r="52" spans="1:16" ht="11.25" customHeight="1" x14ac:dyDescent="0.3">
      <c r="A52" s="31">
        <v>51</v>
      </c>
      <c r="B52" s="31" t="s">
        <v>520</v>
      </c>
      <c r="C52" s="31" t="s">
        <v>22</v>
      </c>
      <c r="D52" s="31" t="s">
        <v>482</v>
      </c>
      <c r="E52" s="31" t="s">
        <v>24</v>
      </c>
      <c r="F52" s="31" t="s">
        <v>31</v>
      </c>
      <c r="G52" s="31" t="s">
        <v>25</v>
      </c>
      <c r="H52" s="31" t="s">
        <v>25</v>
      </c>
      <c r="I52" s="31" t="s">
        <v>25</v>
      </c>
      <c r="J52" s="31" t="s">
        <v>637</v>
      </c>
      <c r="K52" s="31" t="s">
        <v>638</v>
      </c>
      <c r="L52" s="31" t="s">
        <v>467</v>
      </c>
      <c r="M52" s="31">
        <v>2021</v>
      </c>
      <c r="N52" s="31">
        <v>0</v>
      </c>
      <c r="O52" s="31">
        <v>200.76</v>
      </c>
      <c r="P52" s="31"/>
    </row>
    <row r="53" spans="1:16" ht="11.25" customHeight="1" x14ac:dyDescent="0.3">
      <c r="A53" s="31">
        <v>52</v>
      </c>
      <c r="B53" s="31" t="s">
        <v>520</v>
      </c>
      <c r="C53" s="31" t="s">
        <v>42</v>
      </c>
      <c r="D53" s="31" t="s">
        <v>482</v>
      </c>
      <c r="E53" s="31" t="s">
        <v>43</v>
      </c>
      <c r="F53" s="31" t="s">
        <v>25</v>
      </c>
      <c r="G53" s="31" t="s">
        <v>25</v>
      </c>
      <c r="H53" s="31" t="s">
        <v>25</v>
      </c>
      <c r="I53" s="31" t="s">
        <v>25</v>
      </c>
      <c r="J53" s="31" t="s">
        <v>637</v>
      </c>
      <c r="K53" s="31" t="s">
        <v>638</v>
      </c>
      <c r="L53" s="31" t="s">
        <v>467</v>
      </c>
      <c r="M53" s="31">
        <v>2021</v>
      </c>
      <c r="N53" s="31">
        <v>0</v>
      </c>
      <c r="O53" s="31">
        <v>196.3</v>
      </c>
      <c r="P53" s="31"/>
    </row>
    <row r="54" spans="1:16" ht="11.25" customHeight="1" x14ac:dyDescent="0.3">
      <c r="A54" s="31">
        <v>53</v>
      </c>
      <c r="B54" s="31" t="s">
        <v>520</v>
      </c>
      <c r="C54" s="31" t="s">
        <v>42</v>
      </c>
      <c r="D54" s="31" t="s">
        <v>481</v>
      </c>
      <c r="E54" s="31" t="s">
        <v>43</v>
      </c>
      <c r="F54" s="31" t="s">
        <v>25</v>
      </c>
      <c r="G54" s="31" t="s">
        <v>25</v>
      </c>
      <c r="H54" s="31" t="s">
        <v>25</v>
      </c>
      <c r="I54" s="31" t="s">
        <v>25</v>
      </c>
      <c r="J54" s="31" t="s">
        <v>637</v>
      </c>
      <c r="K54" s="31" t="s">
        <v>638</v>
      </c>
      <c r="L54" s="31" t="s">
        <v>467</v>
      </c>
      <c r="M54" s="31">
        <v>2021</v>
      </c>
      <c r="N54" s="31">
        <v>0</v>
      </c>
      <c r="O54" s="31">
        <v>196.3</v>
      </c>
      <c r="P54" s="31"/>
    </row>
    <row r="55" spans="1:16" ht="11.25" customHeight="1" x14ac:dyDescent="0.3">
      <c r="A55" s="31">
        <v>54</v>
      </c>
      <c r="B55" s="31" t="s">
        <v>520</v>
      </c>
      <c r="C55" s="31" t="s">
        <v>37</v>
      </c>
      <c r="D55" s="31" t="s">
        <v>466</v>
      </c>
      <c r="E55" s="31" t="s">
        <v>25</v>
      </c>
      <c r="F55" s="31" t="s">
        <v>25</v>
      </c>
      <c r="G55" s="31" t="s">
        <v>25</v>
      </c>
      <c r="H55" s="31" t="s">
        <v>25</v>
      </c>
      <c r="I55" s="31" t="s">
        <v>36</v>
      </c>
      <c r="J55" s="31" t="s">
        <v>637</v>
      </c>
      <c r="K55" s="31" t="s">
        <v>638</v>
      </c>
      <c r="L55" s="31" t="s">
        <v>467</v>
      </c>
      <c r="M55" s="31">
        <v>2021</v>
      </c>
      <c r="N55" s="31">
        <v>0</v>
      </c>
      <c r="O55" s="31">
        <v>223.07</v>
      </c>
      <c r="P55" s="31"/>
    </row>
    <row r="56" spans="1:16" ht="11.25" customHeight="1" x14ac:dyDescent="0.3">
      <c r="A56" s="31">
        <v>55</v>
      </c>
      <c r="B56" s="31" t="s">
        <v>492</v>
      </c>
      <c r="C56" s="31" t="s">
        <v>42</v>
      </c>
      <c r="D56" s="31" t="s">
        <v>33</v>
      </c>
      <c r="E56" s="31" t="s">
        <v>43</v>
      </c>
      <c r="F56" s="31" t="s">
        <v>485</v>
      </c>
      <c r="G56" s="31" t="s">
        <v>25</v>
      </c>
      <c r="H56" s="31" t="s">
        <v>25</v>
      </c>
      <c r="I56" s="31" t="s">
        <v>35</v>
      </c>
      <c r="J56" s="31" t="s">
        <v>637</v>
      </c>
      <c r="K56" s="31" t="s">
        <v>638</v>
      </c>
      <c r="L56" s="31" t="s">
        <v>467</v>
      </c>
      <c r="M56" s="31">
        <v>2021</v>
      </c>
      <c r="N56" s="31">
        <v>0</v>
      </c>
      <c r="O56" s="31">
        <v>270.85000000000002</v>
      </c>
      <c r="P56" s="31">
        <v>45.9923425811727</v>
      </c>
    </row>
    <row r="57" spans="1:16" ht="11.25" customHeight="1" x14ac:dyDescent="0.3">
      <c r="A57" s="31">
        <v>56</v>
      </c>
      <c r="B57" s="31" t="s">
        <v>520</v>
      </c>
      <c r="C57" s="31" t="s">
        <v>42</v>
      </c>
      <c r="D57" s="31" t="s">
        <v>466</v>
      </c>
      <c r="E57" s="31" t="s">
        <v>43</v>
      </c>
      <c r="F57" s="31" t="s">
        <v>25</v>
      </c>
      <c r="G57" s="31" t="s">
        <v>25</v>
      </c>
      <c r="H57" s="31" t="s">
        <v>25</v>
      </c>
      <c r="I57" s="31" t="s">
        <v>35</v>
      </c>
      <c r="J57" s="31" t="s">
        <v>637</v>
      </c>
      <c r="K57" s="31" t="s">
        <v>638</v>
      </c>
      <c r="L57" s="31" t="s">
        <v>467</v>
      </c>
      <c r="M57" s="31">
        <v>2021</v>
      </c>
      <c r="N57" s="31">
        <v>0</v>
      </c>
      <c r="O57" s="31">
        <v>196.3</v>
      </c>
      <c r="P57" s="31"/>
    </row>
    <row r="58" spans="1:16" ht="11.25" customHeight="1" x14ac:dyDescent="0.3">
      <c r="A58" s="31">
        <v>57</v>
      </c>
      <c r="B58" s="31" t="s">
        <v>520</v>
      </c>
      <c r="C58" s="31" t="s">
        <v>22</v>
      </c>
      <c r="D58" s="31" t="s">
        <v>482</v>
      </c>
      <c r="E58" s="31" t="s">
        <v>24</v>
      </c>
      <c r="F58" s="31" t="s">
        <v>24</v>
      </c>
      <c r="G58" s="31" t="s">
        <v>25</v>
      </c>
      <c r="H58" s="31" t="s">
        <v>25</v>
      </c>
      <c r="I58" s="31" t="s">
        <v>25</v>
      </c>
      <c r="J58" s="31" t="s">
        <v>637</v>
      </c>
      <c r="K58" s="31" t="s">
        <v>638</v>
      </c>
      <c r="L58" s="31" t="s">
        <v>467</v>
      </c>
      <c r="M58" s="31">
        <v>2021</v>
      </c>
      <c r="N58" s="31">
        <v>0</v>
      </c>
      <c r="O58" s="31">
        <v>223.07</v>
      </c>
      <c r="P58" s="31"/>
    </row>
    <row r="59" spans="1:16" ht="11.25" customHeight="1" x14ac:dyDescent="0.3">
      <c r="A59" s="31">
        <v>58</v>
      </c>
      <c r="B59" s="31" t="s">
        <v>520</v>
      </c>
      <c r="C59" s="31" t="s">
        <v>42</v>
      </c>
      <c r="D59" s="31" t="s">
        <v>466</v>
      </c>
      <c r="E59" s="31" t="s">
        <v>43</v>
      </c>
      <c r="F59" s="31" t="s">
        <v>485</v>
      </c>
      <c r="G59" s="31" t="s">
        <v>25</v>
      </c>
      <c r="H59" s="31" t="s">
        <v>25</v>
      </c>
      <c r="I59" s="31" t="s">
        <v>36</v>
      </c>
      <c r="J59" s="31" t="s">
        <v>637</v>
      </c>
      <c r="K59" s="31" t="s">
        <v>638</v>
      </c>
      <c r="L59" s="31" t="s">
        <v>467</v>
      </c>
      <c r="M59" s="31">
        <v>2021</v>
      </c>
      <c r="N59" s="31">
        <v>0</v>
      </c>
      <c r="O59" s="31">
        <v>187.38</v>
      </c>
      <c r="P59" s="31"/>
    </row>
    <row r="60" spans="1:16" ht="11.25" customHeight="1" x14ac:dyDescent="0.3">
      <c r="A60" s="31">
        <v>59</v>
      </c>
      <c r="B60" s="31" t="s">
        <v>520</v>
      </c>
      <c r="C60" s="31" t="s">
        <v>42</v>
      </c>
      <c r="D60" s="31" t="s">
        <v>466</v>
      </c>
      <c r="E60" s="31" t="s">
        <v>43</v>
      </c>
      <c r="F60" s="31" t="s">
        <v>484</v>
      </c>
      <c r="G60" s="31" t="s">
        <v>25</v>
      </c>
      <c r="H60" s="31" t="s">
        <v>25</v>
      </c>
      <c r="I60" s="31" t="s">
        <v>34</v>
      </c>
      <c r="J60" s="31" t="s">
        <v>637</v>
      </c>
      <c r="K60" s="31" t="s">
        <v>638</v>
      </c>
      <c r="L60" s="31" t="s">
        <v>467</v>
      </c>
      <c r="M60" s="31">
        <v>2021</v>
      </c>
      <c r="N60" s="31">
        <v>0</v>
      </c>
      <c r="O60" s="31">
        <v>196.3</v>
      </c>
      <c r="P60" s="31"/>
    </row>
    <row r="61" spans="1:16" ht="11.25" customHeight="1" x14ac:dyDescent="0.3">
      <c r="A61" s="31">
        <v>60</v>
      </c>
      <c r="B61" s="31" t="s">
        <v>520</v>
      </c>
      <c r="C61" s="31" t="s">
        <v>37</v>
      </c>
      <c r="D61" s="31" t="s">
        <v>466</v>
      </c>
      <c r="E61" s="31" t="s">
        <v>25</v>
      </c>
      <c r="F61" s="31" t="s">
        <v>25</v>
      </c>
      <c r="G61" s="31" t="s">
        <v>25</v>
      </c>
      <c r="H61" s="31" t="s">
        <v>25</v>
      </c>
      <c r="I61" s="31" t="s">
        <v>35</v>
      </c>
      <c r="J61" s="31" t="s">
        <v>637</v>
      </c>
      <c r="K61" s="31" t="s">
        <v>638</v>
      </c>
      <c r="L61" s="31" t="s">
        <v>467</v>
      </c>
      <c r="M61" s="31">
        <v>2021</v>
      </c>
      <c r="N61" s="31">
        <v>0</v>
      </c>
      <c r="O61" s="31">
        <v>223.07</v>
      </c>
      <c r="P61" s="31"/>
    </row>
    <row r="62" spans="1:16" ht="11.25" customHeight="1" x14ac:dyDescent="0.3">
      <c r="A62" s="31">
        <v>61</v>
      </c>
      <c r="B62" s="31" t="s">
        <v>520</v>
      </c>
      <c r="C62" s="31" t="s">
        <v>22</v>
      </c>
      <c r="D62" s="31" t="s">
        <v>481</v>
      </c>
      <c r="E62" s="31" t="s">
        <v>24</v>
      </c>
      <c r="F62" s="31" t="s">
        <v>32</v>
      </c>
      <c r="G62" s="31" t="s">
        <v>25</v>
      </c>
      <c r="H62" s="31" t="s">
        <v>25</v>
      </c>
      <c r="I62" s="31" t="s">
        <v>25</v>
      </c>
      <c r="J62" s="31" t="s">
        <v>637</v>
      </c>
      <c r="K62" s="31" t="s">
        <v>638</v>
      </c>
      <c r="L62" s="31" t="s">
        <v>467</v>
      </c>
      <c r="M62" s="31">
        <v>2021</v>
      </c>
      <c r="N62" s="31">
        <v>0</v>
      </c>
      <c r="O62" s="31">
        <v>223.07</v>
      </c>
      <c r="P62" s="31"/>
    </row>
    <row r="63" spans="1:16" ht="11.25" customHeight="1" x14ac:dyDescent="0.3">
      <c r="A63" s="31">
        <v>62</v>
      </c>
      <c r="B63" s="31" t="s">
        <v>520</v>
      </c>
      <c r="C63" s="31" t="s">
        <v>42</v>
      </c>
      <c r="D63" s="31" t="s">
        <v>466</v>
      </c>
      <c r="E63" s="31" t="s">
        <v>43</v>
      </c>
      <c r="F63" s="31" t="s">
        <v>485</v>
      </c>
      <c r="G63" s="31" t="s">
        <v>25</v>
      </c>
      <c r="H63" s="31" t="s">
        <v>25</v>
      </c>
      <c r="I63" s="31" t="s">
        <v>34</v>
      </c>
      <c r="J63" s="31" t="s">
        <v>637</v>
      </c>
      <c r="K63" s="31" t="s">
        <v>638</v>
      </c>
      <c r="L63" s="31" t="s">
        <v>467</v>
      </c>
      <c r="M63" s="31">
        <v>2021</v>
      </c>
      <c r="N63" s="31">
        <v>0</v>
      </c>
      <c r="O63" s="31">
        <v>187.38</v>
      </c>
      <c r="P63" s="31"/>
    </row>
    <row r="64" spans="1:16" ht="11.25" customHeight="1" x14ac:dyDescent="0.3">
      <c r="A64" s="31">
        <v>63</v>
      </c>
      <c r="B64" s="31" t="s">
        <v>520</v>
      </c>
      <c r="C64" s="31" t="s">
        <v>42</v>
      </c>
      <c r="D64" s="31" t="s">
        <v>481</v>
      </c>
      <c r="E64" s="31" t="s">
        <v>43</v>
      </c>
      <c r="F64" s="31" t="s">
        <v>484</v>
      </c>
      <c r="G64" s="31" t="s">
        <v>25</v>
      </c>
      <c r="H64" s="31" t="s">
        <v>25</v>
      </c>
      <c r="I64" s="31" t="s">
        <v>25</v>
      </c>
      <c r="J64" s="31" t="s">
        <v>637</v>
      </c>
      <c r="K64" s="31" t="s">
        <v>638</v>
      </c>
      <c r="L64" s="31" t="s">
        <v>467</v>
      </c>
      <c r="M64" s="31">
        <v>2021</v>
      </c>
      <c r="N64" s="31">
        <v>0</v>
      </c>
      <c r="O64" s="31">
        <v>196.3</v>
      </c>
      <c r="P64" s="31"/>
    </row>
    <row r="65" spans="1:16" ht="11.25" customHeight="1" x14ac:dyDescent="0.3">
      <c r="A65" s="31">
        <v>64</v>
      </c>
      <c r="B65" s="31" t="s">
        <v>520</v>
      </c>
      <c r="C65" s="31" t="s">
        <v>22</v>
      </c>
      <c r="D65" s="31" t="s">
        <v>482</v>
      </c>
      <c r="E65" s="31" t="s">
        <v>24</v>
      </c>
      <c r="F65" s="31" t="s">
        <v>32</v>
      </c>
      <c r="G65" s="31" t="s">
        <v>25</v>
      </c>
      <c r="H65" s="31" t="s">
        <v>25</v>
      </c>
      <c r="I65" s="31" t="s">
        <v>25</v>
      </c>
      <c r="J65" s="31" t="s">
        <v>637</v>
      </c>
      <c r="K65" s="31" t="s">
        <v>638</v>
      </c>
      <c r="L65" s="31" t="s">
        <v>467</v>
      </c>
      <c r="M65" s="31">
        <v>2021</v>
      </c>
      <c r="N65" s="31">
        <v>0</v>
      </c>
      <c r="O65" s="31">
        <v>223.07</v>
      </c>
      <c r="P65" s="31"/>
    </row>
    <row r="66" spans="1:16" ht="11.25" customHeight="1" x14ac:dyDescent="0.3">
      <c r="A66" s="31">
        <v>65</v>
      </c>
      <c r="B66" s="31" t="s">
        <v>520</v>
      </c>
      <c r="C66" s="31" t="s">
        <v>37</v>
      </c>
      <c r="D66" s="31" t="s">
        <v>466</v>
      </c>
      <c r="E66" s="31" t="s">
        <v>25</v>
      </c>
      <c r="F66" s="31" t="s">
        <v>25</v>
      </c>
      <c r="G66" s="31" t="s">
        <v>25</v>
      </c>
      <c r="H66" s="31" t="s">
        <v>25</v>
      </c>
      <c r="I66" s="31" t="s">
        <v>34</v>
      </c>
      <c r="J66" s="31" t="s">
        <v>637</v>
      </c>
      <c r="K66" s="31" t="s">
        <v>638</v>
      </c>
      <c r="L66" s="31" t="s">
        <v>467</v>
      </c>
      <c r="M66" s="31">
        <v>2021</v>
      </c>
      <c r="N66" s="31">
        <v>0</v>
      </c>
      <c r="O66" s="31">
        <v>223.07</v>
      </c>
      <c r="P66" s="31"/>
    </row>
    <row r="67" spans="1:16" ht="11.25" customHeight="1" x14ac:dyDescent="0.3">
      <c r="A67" s="31">
        <v>66</v>
      </c>
      <c r="B67" s="31" t="s">
        <v>520</v>
      </c>
      <c r="C67" s="31" t="s">
        <v>22</v>
      </c>
      <c r="D67" s="31" t="s">
        <v>481</v>
      </c>
      <c r="E67" s="31" t="s">
        <v>24</v>
      </c>
      <c r="F67" s="31" t="s">
        <v>30</v>
      </c>
      <c r="G67" s="31" t="s">
        <v>25</v>
      </c>
      <c r="H67" s="31" t="s">
        <v>25</v>
      </c>
      <c r="I67" s="31" t="s">
        <v>25</v>
      </c>
      <c r="J67" s="31" t="s">
        <v>637</v>
      </c>
      <c r="K67" s="31" t="s">
        <v>638</v>
      </c>
      <c r="L67" s="31" t="s">
        <v>467</v>
      </c>
      <c r="M67" s="31">
        <v>2021</v>
      </c>
      <c r="N67" s="31">
        <v>0</v>
      </c>
      <c r="O67" s="31">
        <v>133.84</v>
      </c>
      <c r="P67" s="31"/>
    </row>
    <row r="68" spans="1:16" ht="11.25" customHeight="1" x14ac:dyDescent="0.3">
      <c r="A68" s="31">
        <v>67</v>
      </c>
      <c r="B68" s="31" t="s">
        <v>520</v>
      </c>
      <c r="C68" s="31" t="s">
        <v>42</v>
      </c>
      <c r="D68" s="31" t="s">
        <v>466</v>
      </c>
      <c r="E68" s="31" t="s">
        <v>43</v>
      </c>
      <c r="F68" s="31" t="s">
        <v>484</v>
      </c>
      <c r="G68" s="31" t="s">
        <v>25</v>
      </c>
      <c r="H68" s="31" t="s">
        <v>25</v>
      </c>
      <c r="I68" s="31" t="s">
        <v>36</v>
      </c>
      <c r="J68" s="31" t="s">
        <v>637</v>
      </c>
      <c r="K68" s="31" t="s">
        <v>638</v>
      </c>
      <c r="L68" s="31" t="s">
        <v>467</v>
      </c>
      <c r="M68" s="31">
        <v>2021</v>
      </c>
      <c r="N68" s="31">
        <v>0</v>
      </c>
      <c r="O68" s="31">
        <v>196.3</v>
      </c>
      <c r="P68" s="31"/>
    </row>
    <row r="69" spans="1:16" ht="11.25" customHeight="1" x14ac:dyDescent="0.3">
      <c r="A69" s="31">
        <v>68</v>
      </c>
      <c r="B69" s="31" t="s">
        <v>520</v>
      </c>
      <c r="C69" s="31" t="s">
        <v>22</v>
      </c>
      <c r="D69" s="31" t="s">
        <v>481</v>
      </c>
      <c r="E69" s="31" t="s">
        <v>24</v>
      </c>
      <c r="F69" s="31" t="s">
        <v>29</v>
      </c>
      <c r="G69" s="31" t="s">
        <v>25</v>
      </c>
      <c r="H69" s="31" t="s">
        <v>25</v>
      </c>
      <c r="I69" s="31" t="s">
        <v>25</v>
      </c>
      <c r="J69" s="31" t="s">
        <v>637</v>
      </c>
      <c r="K69" s="31" t="s">
        <v>638</v>
      </c>
      <c r="L69" s="31" t="s">
        <v>467</v>
      </c>
      <c r="M69" s="31">
        <v>2021</v>
      </c>
      <c r="N69" s="31">
        <v>0</v>
      </c>
      <c r="O69" s="31">
        <v>78.069999999999993</v>
      </c>
      <c r="P69" s="31"/>
    </row>
    <row r="70" spans="1:16" ht="11.25" customHeight="1" x14ac:dyDescent="0.3">
      <c r="A70" s="31">
        <v>69</v>
      </c>
      <c r="B70" s="31" t="s">
        <v>520</v>
      </c>
      <c r="C70" s="31" t="s">
        <v>22</v>
      </c>
      <c r="D70" s="31" t="s">
        <v>482</v>
      </c>
      <c r="E70" s="31" t="s">
        <v>24</v>
      </c>
      <c r="F70" s="31" t="s">
        <v>29</v>
      </c>
      <c r="G70" s="31" t="s">
        <v>25</v>
      </c>
      <c r="H70" s="31" t="s">
        <v>25</v>
      </c>
      <c r="I70" s="31" t="s">
        <v>25</v>
      </c>
      <c r="J70" s="31" t="s">
        <v>637</v>
      </c>
      <c r="K70" s="31" t="s">
        <v>638</v>
      </c>
      <c r="L70" s="31" t="s">
        <v>467</v>
      </c>
      <c r="M70" s="31">
        <v>2021</v>
      </c>
      <c r="N70" s="31">
        <v>0</v>
      </c>
      <c r="O70" s="31">
        <v>78.069999999999993</v>
      </c>
      <c r="P70" s="31"/>
    </row>
    <row r="71" spans="1:16" ht="11.25" customHeight="1" x14ac:dyDescent="0.3">
      <c r="A71" s="31">
        <v>70</v>
      </c>
      <c r="B71" s="31" t="s">
        <v>520</v>
      </c>
      <c r="C71" s="31" t="s">
        <v>42</v>
      </c>
      <c r="D71" s="31" t="s">
        <v>466</v>
      </c>
      <c r="E71" s="31" t="s">
        <v>43</v>
      </c>
      <c r="F71" s="31" t="s">
        <v>485</v>
      </c>
      <c r="G71" s="31" t="s">
        <v>25</v>
      </c>
      <c r="H71" s="31" t="s">
        <v>25</v>
      </c>
      <c r="I71" s="31" t="s">
        <v>35</v>
      </c>
      <c r="J71" s="31" t="s">
        <v>637</v>
      </c>
      <c r="K71" s="31" t="s">
        <v>638</v>
      </c>
      <c r="L71" s="31" t="s">
        <v>467</v>
      </c>
      <c r="M71" s="31">
        <v>2021</v>
      </c>
      <c r="N71" s="31">
        <v>0</v>
      </c>
      <c r="O71" s="31">
        <v>187.38</v>
      </c>
      <c r="P71" s="31"/>
    </row>
    <row r="72" spans="1:16" ht="11.25" customHeight="1" x14ac:dyDescent="0.3">
      <c r="A72" s="31">
        <v>71</v>
      </c>
      <c r="B72" s="31" t="s">
        <v>520</v>
      </c>
      <c r="C72" s="31" t="s">
        <v>42</v>
      </c>
      <c r="D72" s="31" t="s">
        <v>481</v>
      </c>
      <c r="E72" s="31" t="s">
        <v>43</v>
      </c>
      <c r="F72" s="31" t="s">
        <v>485</v>
      </c>
      <c r="G72" s="31" t="s">
        <v>25</v>
      </c>
      <c r="H72" s="31" t="s">
        <v>25</v>
      </c>
      <c r="I72" s="31" t="s">
        <v>25</v>
      </c>
      <c r="J72" s="31" t="s">
        <v>637</v>
      </c>
      <c r="K72" s="31" t="s">
        <v>638</v>
      </c>
      <c r="L72" s="31" t="s">
        <v>467</v>
      </c>
      <c r="M72" s="31">
        <v>2021</v>
      </c>
      <c r="N72" s="31">
        <v>0</v>
      </c>
      <c r="O72" s="31">
        <v>187.38</v>
      </c>
      <c r="P72" s="31"/>
    </row>
    <row r="73" spans="1:16" ht="11.25" customHeight="1" x14ac:dyDescent="0.3">
      <c r="A73" s="31">
        <v>72</v>
      </c>
      <c r="B73" s="31" t="s">
        <v>520</v>
      </c>
      <c r="C73" s="31" t="s">
        <v>42</v>
      </c>
      <c r="D73" s="31" t="s">
        <v>482</v>
      </c>
      <c r="E73" s="31" t="s">
        <v>43</v>
      </c>
      <c r="F73" s="31" t="s">
        <v>484</v>
      </c>
      <c r="G73" s="31" t="s">
        <v>25</v>
      </c>
      <c r="H73" s="31" t="s">
        <v>25</v>
      </c>
      <c r="I73" s="31" t="s">
        <v>25</v>
      </c>
      <c r="J73" s="31" t="s">
        <v>637</v>
      </c>
      <c r="K73" s="31" t="s">
        <v>638</v>
      </c>
      <c r="L73" s="31" t="s">
        <v>467</v>
      </c>
      <c r="M73" s="31">
        <v>2021</v>
      </c>
      <c r="N73" s="31">
        <v>0</v>
      </c>
      <c r="O73" s="31">
        <v>196.3</v>
      </c>
      <c r="P73" s="31"/>
    </row>
    <row r="74" spans="1:16" ht="11.25" customHeight="1" x14ac:dyDescent="0.3">
      <c r="A74" s="31">
        <v>73</v>
      </c>
      <c r="B74" s="31" t="s">
        <v>492</v>
      </c>
      <c r="C74" s="31" t="s">
        <v>39</v>
      </c>
      <c r="D74" s="31" t="s">
        <v>470</v>
      </c>
      <c r="E74" s="31" t="s">
        <v>25</v>
      </c>
      <c r="F74" s="31" t="s">
        <v>25</v>
      </c>
      <c r="G74" s="31" t="s">
        <v>25</v>
      </c>
      <c r="H74" s="31" t="s">
        <v>25</v>
      </c>
      <c r="I74" s="31" t="s">
        <v>25</v>
      </c>
      <c r="J74" s="31" t="s">
        <v>637</v>
      </c>
      <c r="K74" s="31" t="s">
        <v>638</v>
      </c>
      <c r="L74" s="31" t="s">
        <v>467</v>
      </c>
      <c r="M74" s="31">
        <v>2021</v>
      </c>
      <c r="N74" s="31">
        <v>0</v>
      </c>
      <c r="O74" s="31">
        <v>67.489999999999995</v>
      </c>
      <c r="P74" s="31">
        <v>47.634926244786001</v>
      </c>
    </row>
    <row r="75" spans="1:16" ht="11.25" customHeight="1" x14ac:dyDescent="0.3">
      <c r="A75" s="31">
        <v>74</v>
      </c>
      <c r="B75" s="31" t="s">
        <v>520</v>
      </c>
      <c r="C75" s="31" t="s">
        <v>22</v>
      </c>
      <c r="D75" s="31" t="s">
        <v>482</v>
      </c>
      <c r="E75" s="31" t="s">
        <v>24</v>
      </c>
      <c r="F75" s="31" t="s">
        <v>30</v>
      </c>
      <c r="G75" s="31" t="s">
        <v>25</v>
      </c>
      <c r="H75" s="31" t="s">
        <v>25</v>
      </c>
      <c r="I75" s="31" t="s">
        <v>25</v>
      </c>
      <c r="J75" s="31" t="s">
        <v>637</v>
      </c>
      <c r="K75" s="31" t="s">
        <v>638</v>
      </c>
      <c r="L75" s="31" t="s">
        <v>467</v>
      </c>
      <c r="M75" s="31">
        <v>2021</v>
      </c>
      <c r="N75" s="31">
        <v>0</v>
      </c>
      <c r="O75" s="31">
        <v>133.84</v>
      </c>
      <c r="P75" s="31"/>
    </row>
    <row r="76" spans="1:16" ht="11.25" customHeight="1" x14ac:dyDescent="0.3">
      <c r="A76" s="31">
        <v>75</v>
      </c>
      <c r="B76" s="31" t="s">
        <v>492</v>
      </c>
      <c r="C76" s="31" t="s">
        <v>42</v>
      </c>
      <c r="D76" s="31" t="s">
        <v>23</v>
      </c>
      <c r="E76" s="31" t="s">
        <v>43</v>
      </c>
      <c r="F76" s="31" t="s">
        <v>25</v>
      </c>
      <c r="G76" s="31" t="s">
        <v>25</v>
      </c>
      <c r="H76" s="31" t="s">
        <v>25</v>
      </c>
      <c r="I76" s="31" t="s">
        <v>25</v>
      </c>
      <c r="J76" s="31" t="s">
        <v>637</v>
      </c>
      <c r="K76" s="31" t="s">
        <v>638</v>
      </c>
      <c r="L76" s="31" t="s">
        <v>467</v>
      </c>
      <c r="M76" s="31">
        <v>2021</v>
      </c>
      <c r="N76" s="31">
        <v>0</v>
      </c>
      <c r="O76" s="31">
        <v>424.73</v>
      </c>
      <c r="P76" s="31">
        <v>48.182454132657099</v>
      </c>
    </row>
    <row r="77" spans="1:16" ht="11.25" customHeight="1" x14ac:dyDescent="0.3">
      <c r="A77" s="31">
        <v>76</v>
      </c>
      <c r="B77" s="31" t="s">
        <v>492</v>
      </c>
      <c r="C77" s="31" t="s">
        <v>37</v>
      </c>
      <c r="D77" s="31" t="s">
        <v>33</v>
      </c>
      <c r="E77" s="31" t="s">
        <v>25</v>
      </c>
      <c r="F77" s="31" t="s">
        <v>25</v>
      </c>
      <c r="G77" s="31" t="s">
        <v>25</v>
      </c>
      <c r="H77" s="31" t="s">
        <v>25</v>
      </c>
      <c r="I77" s="31" t="s">
        <v>36</v>
      </c>
      <c r="J77" s="31" t="s">
        <v>637</v>
      </c>
      <c r="K77" s="31" t="s">
        <v>638</v>
      </c>
      <c r="L77" s="31" t="s">
        <v>467</v>
      </c>
      <c r="M77" s="31">
        <v>2021</v>
      </c>
      <c r="N77" s="31">
        <v>0</v>
      </c>
      <c r="O77" s="31">
        <v>900.63</v>
      </c>
      <c r="P77" s="31">
        <v>54.752788787110397</v>
      </c>
    </row>
    <row r="78" spans="1:16" ht="11.25" customHeight="1" x14ac:dyDescent="0.3">
      <c r="A78" s="31">
        <v>77</v>
      </c>
      <c r="B78" s="31" t="s">
        <v>520</v>
      </c>
      <c r="C78" s="31" t="s">
        <v>42</v>
      </c>
      <c r="D78" s="31" t="s">
        <v>466</v>
      </c>
      <c r="E78" s="31" t="s">
        <v>43</v>
      </c>
      <c r="F78" s="31" t="s">
        <v>25</v>
      </c>
      <c r="G78" s="31" t="s">
        <v>25</v>
      </c>
      <c r="H78" s="31" t="s">
        <v>25</v>
      </c>
      <c r="I78" s="31" t="s">
        <v>36</v>
      </c>
      <c r="J78" s="31" t="s">
        <v>637</v>
      </c>
      <c r="K78" s="31" t="s">
        <v>638</v>
      </c>
      <c r="L78" s="31" t="s">
        <v>467</v>
      </c>
      <c r="M78" s="31">
        <v>2021</v>
      </c>
      <c r="N78" s="31">
        <v>0</v>
      </c>
      <c r="O78" s="31">
        <v>196.3</v>
      </c>
      <c r="P78" s="31"/>
    </row>
    <row r="79" spans="1:16" ht="11.25" customHeight="1" x14ac:dyDescent="0.3">
      <c r="A79" s="31">
        <v>78</v>
      </c>
      <c r="B79" s="31" t="s">
        <v>492</v>
      </c>
      <c r="C79" s="31" t="s">
        <v>37</v>
      </c>
      <c r="D79" s="31" t="s">
        <v>33</v>
      </c>
      <c r="E79" s="31" t="s">
        <v>25</v>
      </c>
      <c r="F79" s="31" t="s">
        <v>25</v>
      </c>
      <c r="G79" s="31" t="s">
        <v>25</v>
      </c>
      <c r="H79" s="31" t="s">
        <v>25</v>
      </c>
      <c r="I79" s="31" t="s">
        <v>35</v>
      </c>
      <c r="J79" s="31" t="s">
        <v>637</v>
      </c>
      <c r="K79" s="31" t="s">
        <v>638</v>
      </c>
      <c r="L79" s="31" t="s">
        <v>467</v>
      </c>
      <c r="M79" s="31">
        <v>2021</v>
      </c>
      <c r="N79" s="31">
        <v>0</v>
      </c>
      <c r="O79" s="31">
        <v>361.54</v>
      </c>
      <c r="P79" s="31">
        <v>54.752788787110397</v>
      </c>
    </row>
    <row r="80" spans="1:16" ht="11.25" customHeight="1" x14ac:dyDescent="0.3">
      <c r="A80" s="31">
        <v>79</v>
      </c>
      <c r="B80" s="31" t="s">
        <v>520</v>
      </c>
      <c r="C80" s="31" t="s">
        <v>22</v>
      </c>
      <c r="D80" s="31" t="s">
        <v>481</v>
      </c>
      <c r="E80" s="31" t="s">
        <v>24</v>
      </c>
      <c r="F80" s="31" t="s">
        <v>31</v>
      </c>
      <c r="G80" s="31" t="s">
        <v>25</v>
      </c>
      <c r="H80" s="31" t="s">
        <v>25</v>
      </c>
      <c r="I80" s="31" t="s">
        <v>25</v>
      </c>
      <c r="J80" s="31" t="s">
        <v>637</v>
      </c>
      <c r="K80" s="31" t="s">
        <v>638</v>
      </c>
      <c r="L80" s="31" t="s">
        <v>467</v>
      </c>
      <c r="M80" s="31">
        <v>2021</v>
      </c>
      <c r="N80" s="31">
        <v>0</v>
      </c>
      <c r="O80" s="31">
        <v>200.76</v>
      </c>
      <c r="P80" s="31"/>
    </row>
    <row r="81" spans="1:16" ht="11.25" customHeight="1" x14ac:dyDescent="0.3">
      <c r="A81" s="31">
        <v>80</v>
      </c>
      <c r="B81" s="31" t="s">
        <v>520</v>
      </c>
      <c r="C81" s="31" t="s">
        <v>42</v>
      </c>
      <c r="D81" s="31" t="s">
        <v>466</v>
      </c>
      <c r="E81" s="31" t="s">
        <v>43</v>
      </c>
      <c r="F81" s="31" t="s">
        <v>484</v>
      </c>
      <c r="G81" s="31" t="s">
        <v>25</v>
      </c>
      <c r="H81" s="31" t="s">
        <v>25</v>
      </c>
      <c r="I81" s="31" t="s">
        <v>35</v>
      </c>
      <c r="J81" s="31" t="s">
        <v>637</v>
      </c>
      <c r="K81" s="31" t="s">
        <v>638</v>
      </c>
      <c r="L81" s="31" t="s">
        <v>467</v>
      </c>
      <c r="M81" s="31">
        <v>2021</v>
      </c>
      <c r="N81" s="31">
        <v>0</v>
      </c>
      <c r="O81" s="31">
        <v>196.3</v>
      </c>
      <c r="P81" s="31"/>
    </row>
    <row r="82" spans="1:16" ht="11.25" customHeight="1" x14ac:dyDescent="0.3">
      <c r="A82" s="31">
        <v>81</v>
      </c>
      <c r="B82" s="31" t="s">
        <v>520</v>
      </c>
      <c r="C82" s="31" t="s">
        <v>37</v>
      </c>
      <c r="D82" s="31" t="s">
        <v>481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25</v>
      </c>
      <c r="J82" s="31" t="s">
        <v>637</v>
      </c>
      <c r="K82" s="31" t="s">
        <v>638</v>
      </c>
      <c r="L82" s="31" t="s">
        <v>467</v>
      </c>
      <c r="M82" s="31">
        <v>2021</v>
      </c>
      <c r="N82" s="31">
        <v>0</v>
      </c>
      <c r="O82" s="31">
        <v>223.07</v>
      </c>
      <c r="P82" s="31"/>
    </row>
    <row r="83" spans="1:16" ht="11.25" customHeight="1" x14ac:dyDescent="0.3">
      <c r="A83" s="31">
        <v>82</v>
      </c>
      <c r="B83" s="31" t="s">
        <v>520</v>
      </c>
      <c r="C83" s="31" t="s">
        <v>37</v>
      </c>
      <c r="D83" s="31" t="s">
        <v>482</v>
      </c>
      <c r="E83" s="31" t="s">
        <v>25</v>
      </c>
      <c r="F83" s="31" t="s">
        <v>25</v>
      </c>
      <c r="G83" s="31" t="s">
        <v>25</v>
      </c>
      <c r="H83" s="31" t="s">
        <v>25</v>
      </c>
      <c r="I83" s="31" t="s">
        <v>25</v>
      </c>
      <c r="J83" s="31" t="s">
        <v>637</v>
      </c>
      <c r="K83" s="31" t="s">
        <v>638</v>
      </c>
      <c r="L83" s="31" t="s">
        <v>467</v>
      </c>
      <c r="M83" s="31">
        <v>2021</v>
      </c>
      <c r="N83" s="31">
        <v>0</v>
      </c>
      <c r="O83" s="31">
        <v>223.07</v>
      </c>
      <c r="P83" s="31"/>
    </row>
    <row r="84" spans="1:16" ht="11.25" customHeight="1" x14ac:dyDescent="0.3">
      <c r="A84" s="31">
        <v>83</v>
      </c>
      <c r="B84" s="31" t="s">
        <v>520</v>
      </c>
      <c r="C84" s="31" t="s">
        <v>45</v>
      </c>
      <c r="D84" s="31" t="s">
        <v>481</v>
      </c>
      <c r="E84" s="31" t="s">
        <v>46</v>
      </c>
      <c r="F84" s="31" t="s">
        <v>47</v>
      </c>
      <c r="G84" s="31" t="s">
        <v>25</v>
      </c>
      <c r="H84" s="31" t="s">
        <v>25</v>
      </c>
      <c r="I84" s="31" t="s">
        <v>25</v>
      </c>
      <c r="J84" s="31" t="s">
        <v>637</v>
      </c>
      <c r="K84" s="31" t="s">
        <v>638</v>
      </c>
      <c r="L84" s="31" t="s">
        <v>467</v>
      </c>
      <c r="M84" s="31">
        <v>2021</v>
      </c>
      <c r="N84" s="31">
        <v>0</v>
      </c>
      <c r="O84" s="31">
        <v>133.84</v>
      </c>
      <c r="P84" s="31"/>
    </row>
    <row r="85" spans="1:16" ht="11.25" customHeight="1" x14ac:dyDescent="0.3">
      <c r="A85" s="31">
        <v>84</v>
      </c>
      <c r="B85" s="31" t="s">
        <v>520</v>
      </c>
      <c r="C85" s="31" t="s">
        <v>45</v>
      </c>
      <c r="D85" s="31" t="s">
        <v>481</v>
      </c>
      <c r="E85" s="31" t="s">
        <v>46</v>
      </c>
      <c r="F85" s="31" t="s">
        <v>486</v>
      </c>
      <c r="G85" s="31" t="s">
        <v>25</v>
      </c>
      <c r="H85" s="31" t="s">
        <v>25</v>
      </c>
      <c r="I85" s="31" t="s">
        <v>25</v>
      </c>
      <c r="J85" s="31" t="s">
        <v>637</v>
      </c>
      <c r="K85" s="31" t="s">
        <v>638</v>
      </c>
      <c r="L85" s="31" t="s">
        <v>467</v>
      </c>
      <c r="M85" s="31">
        <v>2021</v>
      </c>
      <c r="N85" s="31">
        <v>0</v>
      </c>
      <c r="O85" s="31">
        <v>122.69</v>
      </c>
      <c r="P85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6E1E-15F8-45D7-A2E1-A624FC3BDB17}">
  <dimension ref="A1:AD49"/>
  <sheetViews>
    <sheetView showGridLines="0" workbookViewId="0">
      <selection sqref="A1:W49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457</v>
      </c>
      <c r="B1" s="10" t="s">
        <v>458</v>
      </c>
      <c r="C1" s="10" t="s">
        <v>459</v>
      </c>
      <c r="D1" s="10" t="s">
        <v>460</v>
      </c>
      <c r="E1" s="10" t="s">
        <v>461</v>
      </c>
      <c r="F1" s="10" t="s">
        <v>462</v>
      </c>
      <c r="G1" s="10" t="s">
        <v>463</v>
      </c>
      <c r="H1" s="10" t="s">
        <v>464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465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5" t="s">
        <v>39</v>
      </c>
      <c r="B2" s="75" t="s">
        <v>470</v>
      </c>
      <c r="C2" s="75" t="s">
        <v>25</v>
      </c>
      <c r="D2" s="75" t="s">
        <v>25</v>
      </c>
      <c r="E2" s="75" t="s">
        <v>25</v>
      </c>
      <c r="F2" s="75" t="s">
        <v>25</v>
      </c>
      <c r="G2" s="13" t="s">
        <v>472</v>
      </c>
      <c r="H2" s="13" t="s">
        <v>471</v>
      </c>
      <c r="I2" s="13">
        <f>SUMIF(Mercado_Receita!$S$2:$S$587,"44440A4AzulNão se aplicaNão se aplicaNão se aplicaNão se aplicaPonta",Mercado_Receita!$J$2:$J$587)+SUMIF(Mercado_Receita!$S$2:$S$587,"44440A4AzulNão se aplicaNão se aplicaAPENão se aplicaPonta",Mercado_Receita!$J$2:$J$587)</f>
        <v>0</v>
      </c>
      <c r="J2" s="13">
        <f>SUMIF(Mercado_Receita!$S$2:$S$587,"44470A4AzulNão se aplicaNão se aplicaNão se aplicaNão se aplicaPonta",Mercado_Receita!$J$2:$J$587)+SUMIF(Mercado_Receita!$S$2:$S$587,"44470A4AzulNão se aplicaNão se aplicaAPENão se aplicaPonta",Mercado_Receita!$J$2:$J$587)</f>
        <v>0</v>
      </c>
      <c r="K2" s="13">
        <f>SUMIF(Mercado_Receita!$S$2:$S$587,"44501A4AzulNão se aplicaNão se aplicaNão se aplicaNão se aplicaPonta",Mercado_Receita!$J$2:$J$587)+SUMIF(Mercado_Receita!$S$2:$S$587,"44501A4AzulNão se aplicaNão se aplicaAPENão se aplicaPonta",Mercado_Receita!$J$2:$J$587)</f>
        <v>0</v>
      </c>
      <c r="L2" s="13">
        <f>SUMIF(Mercado_Receita!$S$2:$S$587,"44531A4AzulNão se aplicaNão se aplicaNão se aplicaNão se aplicaPonta",Mercado_Receita!$J$2:$J$587)+SUMIF(Mercado_Receita!$S$2:$S$587,"44531A4AzulNão se aplicaNão se aplicaAPENão se aplicaPonta",Mercado_Receita!$J$2:$J$587)</f>
        <v>0</v>
      </c>
      <c r="M2" s="13">
        <f>SUMIF(Mercado_Receita!$S$2:$S$587,"44562A4AzulNão se aplicaNão se aplicaNão se aplicaNão se aplicaPonta",Mercado_Receita!$J$2:$J$587)+SUMIF(Mercado_Receita!$S$2:$S$587,"44562A4AzulNão se aplicaNão se aplicaAPENão se aplicaPonta",Mercado_Receita!$J$2:$J$587)</f>
        <v>0</v>
      </c>
      <c r="N2" s="13">
        <f>SUMIF(Mercado_Receita!$S$2:$S$587,"44593A4AzulNão se aplicaNão se aplicaNão se aplicaNão se aplicaPonta",Mercado_Receita!$J$2:$J$587)+SUMIF(Mercado_Receita!$S$2:$S$587,"44593A4AzulNão se aplicaNão se aplicaAPENão se aplicaPonta",Mercado_Receita!$J$2:$J$587)</f>
        <v>0</v>
      </c>
      <c r="O2" s="13">
        <f>SUMIF(Mercado_Receita!$S$2:$S$587,"44621A4AzulNão se aplicaNão se aplicaNão se aplicaNão se aplicaPonta",Mercado_Receita!$J$2:$J$587)+SUMIF(Mercado_Receita!$S$2:$S$587,"44621A4AzulNão se aplicaNão se aplicaAPENão se aplicaPonta",Mercado_Receita!$J$2:$J$587)</f>
        <v>0</v>
      </c>
      <c r="P2" s="13">
        <f>SUMIF(Mercado_Receita!$S$2:$S$587,"44652A4AzulNão se aplicaNão se aplicaNão se aplicaNão se aplicaPonta",Mercado_Receita!$J$2:$J$587)+SUMIF(Mercado_Receita!$S$2:$S$587,"44652A4AzulNão se aplicaNão se aplicaAPENão se aplicaPonta",Mercado_Receita!$J$2:$J$587)</f>
        <v>0</v>
      </c>
      <c r="Q2" s="13">
        <f>SUMIF(Mercado_Receita!$S$2:$S$587,"44682A4AzulNão se aplicaNão se aplicaNão se aplicaNão se aplicaPonta",Mercado_Receita!$J$2:$J$587)+SUMIF(Mercado_Receita!$S$2:$S$587,"44682A4AzulNão se aplicaNão se aplicaAPENão se aplicaPonta",Mercado_Receita!$J$2:$J$587)</f>
        <v>0</v>
      </c>
      <c r="R2" s="13">
        <f>SUMIF(Mercado_Receita!$S$2:$S$587,"44713A4AzulNão se aplicaNão se aplicaNão se aplicaNão se aplicaPonta",Mercado_Receita!$J$2:$J$587)+SUMIF(Mercado_Receita!$S$2:$S$587,"44713A4AzulNão se aplicaNão se aplicaAPENão se aplicaPonta",Mercado_Receita!$J$2:$J$587)</f>
        <v>0</v>
      </c>
      <c r="S2" s="13">
        <f>SUMIF(Mercado_Receita!$S$2:$S$587,"44743A4AzulNão se aplicaNão se aplicaNão se aplicaNão se aplicaPonta",Mercado_Receita!$J$2:$J$587)+SUMIF(Mercado_Receita!$S$2:$S$587,"44743A4AzulNão se aplicaNão se aplicaAPENão se aplicaPonta",Mercado_Receita!$J$2:$J$587)</f>
        <v>0</v>
      </c>
      <c r="T2" s="13">
        <f>SUMIF(Mercado_Receita!$S$2:$S$587,"44774A4AzulNão se aplicaNão se aplicaNão se aplicaNão se aplicaPonta",Mercado_Receita!$J$2:$J$587)+SUMIF(Mercado_Receita!$S$2:$S$587,"44774A4AzulNão se aplicaNão se aplicaAPENão se aplicaPonta",Mercado_Receita!$J$2:$J$587)</f>
        <v>0</v>
      </c>
      <c r="U2" s="13">
        <f t="shared" ref="U2:U48" si="0">SUM(I2:T2)</f>
        <v>0</v>
      </c>
      <c r="V2" s="13"/>
      <c r="W2" s="13"/>
    </row>
    <row r="3" spans="1:30" ht="11.25" customHeight="1" x14ac:dyDescent="0.3">
      <c r="A3" s="76"/>
      <c r="B3" s="76"/>
      <c r="C3" s="76"/>
      <c r="D3" s="76"/>
      <c r="E3" s="76"/>
      <c r="F3" s="76"/>
      <c r="G3" s="13" t="s">
        <v>473</v>
      </c>
      <c r="H3" s="13" t="s">
        <v>471</v>
      </c>
      <c r="I3" s="13">
        <f>SUMIF(Mercado_Receita!$S$2:$S$587,"44440A4AzulNão se aplicaNão se aplicaNão se aplicaNão se aplicaFora ponta",Mercado_Receita!$J$2:$J$587)+SUMIF(Mercado_Receita!$S$2:$S$587,"44440A4AzulNão se aplicaNão se aplicaAPENão se aplicaFora ponta",Mercado_Receita!$J$2:$J$587)</f>
        <v>0</v>
      </c>
      <c r="J3" s="13">
        <f>SUMIF(Mercado_Receita!$S$2:$S$587,"44470A4AzulNão se aplicaNão se aplicaNão se aplicaNão se aplicaFora ponta",Mercado_Receita!$J$2:$J$587)+SUMIF(Mercado_Receita!$S$2:$S$587,"44470A4AzulNão se aplicaNão se aplicaAPENão se aplicaFora ponta",Mercado_Receita!$J$2:$J$587)</f>
        <v>0</v>
      </c>
      <c r="K3" s="13">
        <f>SUMIF(Mercado_Receita!$S$2:$S$587,"44501A4AzulNão se aplicaNão se aplicaNão se aplicaNão se aplicaFora ponta",Mercado_Receita!$J$2:$J$587)+SUMIF(Mercado_Receita!$S$2:$S$587,"44501A4AzulNão se aplicaNão se aplicaAPENão se aplicaFora ponta",Mercado_Receita!$J$2:$J$587)</f>
        <v>0</v>
      </c>
      <c r="L3" s="13">
        <f>SUMIF(Mercado_Receita!$S$2:$S$587,"44531A4AzulNão se aplicaNão se aplicaNão se aplicaNão se aplicaFora ponta",Mercado_Receita!$J$2:$J$587)+SUMIF(Mercado_Receita!$S$2:$S$587,"44531A4AzulNão se aplicaNão se aplicaAPENão se aplicaFora ponta",Mercado_Receita!$J$2:$J$587)</f>
        <v>0</v>
      </c>
      <c r="M3" s="13">
        <f>SUMIF(Mercado_Receita!$S$2:$S$587,"44562A4AzulNão se aplicaNão se aplicaNão se aplicaNão se aplicaFora ponta",Mercado_Receita!$J$2:$J$587)+SUMIF(Mercado_Receita!$S$2:$S$587,"44562A4AzulNão se aplicaNão se aplicaAPENão se aplicaFora ponta",Mercado_Receita!$J$2:$J$587)</f>
        <v>0</v>
      </c>
      <c r="N3" s="13">
        <f>SUMIF(Mercado_Receita!$S$2:$S$587,"44593A4AzulNão se aplicaNão se aplicaNão se aplicaNão se aplicaFora ponta",Mercado_Receita!$J$2:$J$587)+SUMIF(Mercado_Receita!$S$2:$S$587,"44593A4AzulNão se aplicaNão se aplicaAPENão se aplicaFora ponta",Mercado_Receita!$J$2:$J$587)</f>
        <v>0</v>
      </c>
      <c r="O3" s="13">
        <f>SUMIF(Mercado_Receita!$S$2:$S$587,"44621A4AzulNão se aplicaNão se aplicaNão se aplicaNão se aplicaFora ponta",Mercado_Receita!$J$2:$J$587)+SUMIF(Mercado_Receita!$S$2:$S$587,"44621A4AzulNão se aplicaNão se aplicaAPENão se aplicaFora ponta",Mercado_Receita!$J$2:$J$587)</f>
        <v>0</v>
      </c>
      <c r="P3" s="13">
        <f>SUMIF(Mercado_Receita!$S$2:$S$587,"44652A4AzulNão se aplicaNão se aplicaNão se aplicaNão se aplicaFora ponta",Mercado_Receita!$J$2:$J$587)+SUMIF(Mercado_Receita!$S$2:$S$587,"44652A4AzulNão se aplicaNão se aplicaAPENão se aplicaFora ponta",Mercado_Receita!$J$2:$J$587)</f>
        <v>0</v>
      </c>
      <c r="Q3" s="13">
        <f>SUMIF(Mercado_Receita!$S$2:$S$587,"44682A4AzulNão se aplicaNão se aplicaNão se aplicaNão se aplicaFora ponta",Mercado_Receita!$J$2:$J$587)+SUMIF(Mercado_Receita!$S$2:$S$587,"44682A4AzulNão se aplicaNão se aplicaAPENão se aplicaFora ponta",Mercado_Receita!$J$2:$J$587)</f>
        <v>0</v>
      </c>
      <c r="R3" s="13">
        <f>SUMIF(Mercado_Receita!$S$2:$S$587,"44713A4AzulNão se aplicaNão se aplicaNão se aplicaNão se aplicaFora ponta",Mercado_Receita!$J$2:$J$587)+SUMIF(Mercado_Receita!$S$2:$S$587,"44713A4AzulNão se aplicaNão se aplicaAPENão se aplicaFora ponta",Mercado_Receita!$J$2:$J$587)</f>
        <v>0</v>
      </c>
      <c r="S3" s="13">
        <f>SUMIF(Mercado_Receita!$S$2:$S$587,"44743A4AzulNão se aplicaNão se aplicaNão se aplicaNão se aplicaFora ponta",Mercado_Receita!$J$2:$J$587)+SUMIF(Mercado_Receita!$S$2:$S$587,"44743A4AzulNão se aplicaNão se aplicaAPENão se aplicaFora ponta",Mercado_Receita!$J$2:$J$587)</f>
        <v>0</v>
      </c>
      <c r="T3" s="13">
        <f>SUMIF(Mercado_Receita!$S$2:$S$587,"44774A4AzulNão se aplicaNão se aplicaNão se aplicaNão se aplicaFora ponta",Mercado_Receita!$J$2:$J$587)+SUMIF(Mercado_Receita!$S$2:$S$587,"44774A4AzulNão se aplicaNão se aplicaAPENão se aplicaFora ponta",Mercado_Receita!$J$2:$J$587)</f>
        <v>0</v>
      </c>
      <c r="U3" s="13">
        <f t="shared" si="0"/>
        <v>0</v>
      </c>
      <c r="V3" s="13"/>
      <c r="W3" s="13"/>
    </row>
    <row r="4" spans="1:30" ht="11.25" customHeight="1" x14ac:dyDescent="0.3">
      <c r="A4" s="76"/>
      <c r="B4" s="76"/>
      <c r="C4" s="76"/>
      <c r="D4" s="76"/>
      <c r="E4" s="76"/>
      <c r="F4" s="76"/>
      <c r="G4" s="13" t="s">
        <v>474</v>
      </c>
      <c r="H4" s="13" t="s">
        <v>467</v>
      </c>
      <c r="I4" s="13">
        <f>SUMIF(Mercado_Receita!$S$2:$S$587,"44440A4AzulNão se aplicaNão se aplicaNão se aplicaNão se aplicaPonta",Mercado_Receita!$L$2:$L$587)+SUMIF(Mercado_Receita!$S$2:$S$587,"44440A4AzulNão se aplicaNão se aplicaNão se aplicaNão se aplicaFora ponta",Mercado_Receita!$L$2:$L$587)+SUMIF(Mercado_Receita!$S$2:$S$587,"44440A4AzulNão se aplicaNão se aplicaNão se aplicaNão se aplicaIntermediário",Mercado_Receita!$L$2:$L$587)+SUMIF(Mercado_Receita!$S$2:$S$587,"44440A4AzulNão se aplicaNão se aplicaNão se aplicaNão se aplicaNão se aplica",Mercado_Receita!$L$2:$L$587)</f>
        <v>0</v>
      </c>
      <c r="J4" s="13">
        <f>SUMIF(Mercado_Receita!$S$2:$S$587,"44470A4AzulNão se aplicaNão se aplicaNão se aplicaNão se aplicaPonta",Mercado_Receita!$L$2:$L$587)+SUMIF(Mercado_Receita!$S$2:$S$587,"44470A4AzulNão se aplicaNão se aplicaNão se aplicaNão se aplicaFora ponta",Mercado_Receita!$L$2:$L$587)+SUMIF(Mercado_Receita!$S$2:$S$587,"44470A4AzulNão se aplicaNão se aplicaNão se aplicaNão se aplicaIntermediário",Mercado_Receita!$L$2:$L$587)+SUMIF(Mercado_Receita!$S$2:$S$587,"44470A4AzulNão se aplicaNão se aplicaNão se aplicaNão se aplicaNão se aplica",Mercado_Receita!$L$2:$L$587)</f>
        <v>0</v>
      </c>
      <c r="K4" s="13">
        <f>SUMIF(Mercado_Receita!$S$2:$S$587,"44501A4AzulNão se aplicaNão se aplicaNão se aplicaNão se aplicaPonta",Mercado_Receita!$L$2:$L$587)+SUMIF(Mercado_Receita!$S$2:$S$587,"44501A4AzulNão se aplicaNão se aplicaNão se aplicaNão se aplicaFora ponta",Mercado_Receita!$L$2:$L$587)+SUMIF(Mercado_Receita!$S$2:$S$587,"44501A4AzulNão se aplicaNão se aplicaNão se aplicaNão se aplicaIntermediário",Mercado_Receita!$L$2:$L$587)+SUMIF(Mercado_Receita!$S$2:$S$587,"44501A4AzulNão se aplicaNão se aplicaNão se aplicaNão se aplicaNão se aplica",Mercado_Receita!$L$2:$L$587)</f>
        <v>0</v>
      </c>
      <c r="L4" s="13">
        <f>SUMIF(Mercado_Receita!$S$2:$S$587,"44531A4AzulNão se aplicaNão se aplicaNão se aplicaNão se aplicaPonta",Mercado_Receita!$L$2:$L$587)+SUMIF(Mercado_Receita!$S$2:$S$587,"44531A4AzulNão se aplicaNão se aplicaNão se aplicaNão se aplicaFora ponta",Mercado_Receita!$L$2:$L$587)+SUMIF(Mercado_Receita!$S$2:$S$587,"44531A4AzulNão se aplicaNão se aplicaNão se aplicaNão se aplicaIntermediário",Mercado_Receita!$L$2:$L$587)+SUMIF(Mercado_Receita!$S$2:$S$587,"44531A4AzulNão se aplicaNão se aplicaNão se aplicaNão se aplicaNão se aplica",Mercado_Receita!$L$2:$L$587)</f>
        <v>0</v>
      </c>
      <c r="M4" s="13">
        <f>SUMIF(Mercado_Receita!$S$2:$S$587,"44562A4AzulNão se aplicaNão se aplicaNão se aplicaNão se aplicaPonta",Mercado_Receita!$L$2:$L$587)+SUMIF(Mercado_Receita!$S$2:$S$587,"44562A4AzulNão se aplicaNão se aplicaNão se aplicaNão se aplicaFora ponta",Mercado_Receita!$L$2:$L$587)+SUMIF(Mercado_Receita!$S$2:$S$587,"44562A4AzulNão se aplicaNão se aplicaNão se aplicaNão se aplicaIntermediário",Mercado_Receita!$L$2:$L$587)+SUMIF(Mercado_Receita!$S$2:$S$587,"44562A4AzulNão se aplicaNão se aplicaNão se aplicaNão se aplicaNão se aplica",Mercado_Receita!$L$2:$L$587)</f>
        <v>0</v>
      </c>
      <c r="N4" s="13">
        <f>SUMIF(Mercado_Receita!$S$2:$S$587,"44593A4AzulNão se aplicaNão se aplicaNão se aplicaNão se aplicaPonta",Mercado_Receita!$L$2:$L$587)+SUMIF(Mercado_Receita!$S$2:$S$587,"44593A4AzulNão se aplicaNão se aplicaNão se aplicaNão se aplicaFora ponta",Mercado_Receita!$L$2:$L$587)+SUMIF(Mercado_Receita!$S$2:$S$587,"44593A4AzulNão se aplicaNão se aplicaNão se aplicaNão se aplicaIntermediário",Mercado_Receita!$L$2:$L$587)+SUMIF(Mercado_Receita!$S$2:$S$587,"44593A4AzulNão se aplicaNão se aplicaNão se aplicaNão se aplicaNão se aplica",Mercado_Receita!$L$2:$L$587)</f>
        <v>0</v>
      </c>
      <c r="O4" s="13">
        <f>SUMIF(Mercado_Receita!$S$2:$S$587,"44621A4AzulNão se aplicaNão se aplicaNão se aplicaNão se aplicaPonta",Mercado_Receita!$L$2:$L$587)+SUMIF(Mercado_Receita!$S$2:$S$587,"44621A4AzulNão se aplicaNão se aplicaNão se aplicaNão se aplicaFora ponta",Mercado_Receita!$L$2:$L$587)+SUMIF(Mercado_Receita!$S$2:$S$587,"44621A4AzulNão se aplicaNão se aplicaNão se aplicaNão se aplicaIntermediário",Mercado_Receita!$L$2:$L$587)+SUMIF(Mercado_Receita!$S$2:$S$587,"44621A4AzulNão se aplicaNão se aplicaNão se aplicaNão se aplicaNão se aplica",Mercado_Receita!$L$2:$L$587)</f>
        <v>0</v>
      </c>
      <c r="P4" s="13">
        <f>SUMIF(Mercado_Receita!$S$2:$S$587,"44652A4AzulNão se aplicaNão se aplicaNão se aplicaNão se aplicaPonta",Mercado_Receita!$L$2:$L$587)+SUMIF(Mercado_Receita!$S$2:$S$587,"44652A4AzulNão se aplicaNão se aplicaNão se aplicaNão se aplicaFora ponta",Mercado_Receita!$L$2:$L$587)+SUMIF(Mercado_Receita!$S$2:$S$587,"44652A4AzulNão se aplicaNão se aplicaNão se aplicaNão se aplicaIntermediário",Mercado_Receita!$L$2:$L$587)+SUMIF(Mercado_Receita!$S$2:$S$587,"44652A4AzulNão se aplicaNão se aplicaNão se aplicaNão se aplicaNão se aplica",Mercado_Receita!$L$2:$L$587)</f>
        <v>0</v>
      </c>
      <c r="Q4" s="13">
        <f>SUMIF(Mercado_Receita!$S$2:$S$587,"44682A4AzulNão se aplicaNão se aplicaNão se aplicaNão se aplicaPonta",Mercado_Receita!$L$2:$L$587)+SUMIF(Mercado_Receita!$S$2:$S$587,"44682A4AzulNão se aplicaNão se aplicaNão se aplicaNão se aplicaFora ponta",Mercado_Receita!$L$2:$L$587)+SUMIF(Mercado_Receita!$S$2:$S$587,"44682A4AzulNão se aplicaNão se aplicaNão se aplicaNão se aplicaIntermediário",Mercado_Receita!$L$2:$L$587)+SUMIF(Mercado_Receita!$S$2:$S$587,"44682A4AzulNão se aplicaNão se aplicaNão se aplicaNão se aplicaNão se aplica",Mercado_Receita!$L$2:$L$587)</f>
        <v>0</v>
      </c>
      <c r="R4" s="13">
        <f>SUMIF(Mercado_Receita!$S$2:$S$587,"44713A4AzulNão se aplicaNão se aplicaNão se aplicaNão se aplicaPonta",Mercado_Receita!$L$2:$L$587)+SUMIF(Mercado_Receita!$S$2:$S$587,"44713A4AzulNão se aplicaNão se aplicaNão se aplicaNão se aplicaFora ponta",Mercado_Receita!$L$2:$L$587)+SUMIF(Mercado_Receita!$S$2:$S$587,"44713A4AzulNão se aplicaNão se aplicaNão se aplicaNão se aplicaIntermediário",Mercado_Receita!$L$2:$L$587)+SUMIF(Mercado_Receita!$S$2:$S$587,"44713A4AzulNão se aplicaNão se aplicaNão se aplicaNão se aplicaNão se aplica",Mercado_Receita!$L$2:$L$587)</f>
        <v>0</v>
      </c>
      <c r="S4" s="13">
        <f>SUMIF(Mercado_Receita!$S$2:$S$587,"44743A4AzulNão se aplicaNão se aplicaNão se aplicaNão se aplicaPonta",Mercado_Receita!$L$2:$L$587)+SUMIF(Mercado_Receita!$S$2:$S$587,"44743A4AzulNão se aplicaNão se aplicaNão se aplicaNão se aplicaFora ponta",Mercado_Receita!$L$2:$L$587)+SUMIF(Mercado_Receita!$S$2:$S$587,"44743A4AzulNão se aplicaNão se aplicaNão se aplicaNão se aplicaIntermediário",Mercado_Receita!$L$2:$L$587)+SUMIF(Mercado_Receita!$S$2:$S$587,"44743A4AzulNão se aplicaNão se aplicaNão se aplicaNão se aplicaNão se aplica",Mercado_Receita!$L$2:$L$587)</f>
        <v>0</v>
      </c>
      <c r="T4" s="13">
        <f>SUMIF(Mercado_Receita!$S$2:$S$587,"44774A4AzulNão se aplicaNão se aplicaNão se aplicaNão se aplicaPonta",Mercado_Receita!$L$2:$L$587)+SUMIF(Mercado_Receita!$S$2:$S$587,"44774A4AzulNão se aplicaNão se aplicaNão se aplicaNão se aplicaFora ponta",Mercado_Receita!$L$2:$L$587)+SUMIF(Mercado_Receita!$S$2:$S$587,"44774A4AzulNão se aplicaNão se aplicaNão se aplicaNão se aplicaIntermediário",Mercado_Receita!$L$2:$L$587)+SUMIF(Mercado_Receita!$S$2:$S$587,"44774A4AzulNão se aplicaNão se aplicaNão se aplicaNão se aplicaNão se aplica",Mercado_Receita!$L$2:$L$587)</f>
        <v>0</v>
      </c>
      <c r="U4" s="13">
        <f t="shared" si="0"/>
        <v>0</v>
      </c>
      <c r="V4" s="13"/>
      <c r="W4" s="13"/>
    </row>
    <row r="5" spans="1:30" ht="11.25" customHeight="1" x14ac:dyDescent="0.3">
      <c r="A5" s="76"/>
      <c r="B5" s="76"/>
      <c r="C5" s="76"/>
      <c r="D5" s="76"/>
      <c r="E5" s="12" t="s">
        <v>475</v>
      </c>
      <c r="F5" s="12" t="s">
        <v>25</v>
      </c>
      <c r="G5" s="13" t="s">
        <v>474</v>
      </c>
      <c r="H5" s="13" t="s">
        <v>467</v>
      </c>
      <c r="I5" s="13">
        <f>SUMIF(Mercado_Receita!$S$2:$S$587,"44440A4AzulNão se aplicaNão se aplicaAPENão se aplicaPonta",Mercado_Receita!$L$2:$L$587)+SUMIF(Mercado_Receita!$S$2:$S$587,"44440A4AzulNão se aplicaNão se aplicaAPENão se aplicaFora ponta",Mercado_Receita!$L$2:$L$587)+SUMIF(Mercado_Receita!$S$2:$S$587,"44440A4AzulNão se aplicaNão se aplicaAPENão se aplicaIntermediário",Mercado_Receita!$L$2:$L$587)+SUMIF(Mercado_Receita!$S$2:$S$587,"44440A4AzulNão se aplicaNão se aplicaAPENão se aplicaNão se aplica",Mercado_Receita!$L$2:$L$587)</f>
        <v>0</v>
      </c>
      <c r="J5" s="13">
        <f>SUMIF(Mercado_Receita!$S$2:$S$587,"44470A4AzulNão se aplicaNão se aplicaAPENão se aplicaPonta",Mercado_Receita!$L$2:$L$587)+SUMIF(Mercado_Receita!$S$2:$S$587,"44470A4AzulNão se aplicaNão se aplicaAPENão se aplicaFora ponta",Mercado_Receita!$L$2:$L$587)+SUMIF(Mercado_Receita!$S$2:$S$587,"44470A4AzulNão se aplicaNão se aplicaAPENão se aplicaIntermediário",Mercado_Receita!$L$2:$L$587)+SUMIF(Mercado_Receita!$S$2:$S$587,"44470A4AzulNão se aplicaNão se aplicaAPENão se aplicaNão se aplica",Mercado_Receita!$L$2:$L$587)</f>
        <v>0</v>
      </c>
      <c r="K5" s="13">
        <f>SUMIF(Mercado_Receita!$S$2:$S$587,"44501A4AzulNão se aplicaNão se aplicaAPENão se aplicaPonta",Mercado_Receita!$L$2:$L$587)+SUMIF(Mercado_Receita!$S$2:$S$587,"44501A4AzulNão se aplicaNão se aplicaAPENão se aplicaFora ponta",Mercado_Receita!$L$2:$L$587)+SUMIF(Mercado_Receita!$S$2:$S$587,"44501A4AzulNão se aplicaNão se aplicaAPENão se aplicaIntermediário",Mercado_Receita!$L$2:$L$587)+SUMIF(Mercado_Receita!$S$2:$S$587,"44501A4AzulNão se aplicaNão se aplicaAPENão se aplicaNão se aplica",Mercado_Receita!$L$2:$L$587)</f>
        <v>0</v>
      </c>
      <c r="L5" s="13">
        <f>SUMIF(Mercado_Receita!$S$2:$S$587,"44531A4AzulNão se aplicaNão se aplicaAPENão se aplicaPonta",Mercado_Receita!$L$2:$L$587)+SUMIF(Mercado_Receita!$S$2:$S$587,"44531A4AzulNão se aplicaNão se aplicaAPENão se aplicaFora ponta",Mercado_Receita!$L$2:$L$587)+SUMIF(Mercado_Receita!$S$2:$S$587,"44531A4AzulNão se aplicaNão se aplicaAPENão se aplicaIntermediário",Mercado_Receita!$L$2:$L$587)+SUMIF(Mercado_Receita!$S$2:$S$587,"44531A4AzulNão se aplicaNão se aplicaAPENão se aplicaNão se aplica",Mercado_Receita!$L$2:$L$587)</f>
        <v>0</v>
      </c>
      <c r="M5" s="13">
        <f>SUMIF(Mercado_Receita!$S$2:$S$587,"44562A4AzulNão se aplicaNão se aplicaAPENão se aplicaPonta",Mercado_Receita!$L$2:$L$587)+SUMIF(Mercado_Receita!$S$2:$S$587,"44562A4AzulNão se aplicaNão se aplicaAPENão se aplicaFora ponta",Mercado_Receita!$L$2:$L$587)+SUMIF(Mercado_Receita!$S$2:$S$587,"44562A4AzulNão se aplicaNão se aplicaAPENão se aplicaIntermediário",Mercado_Receita!$L$2:$L$587)+SUMIF(Mercado_Receita!$S$2:$S$587,"44562A4AzulNão se aplicaNão se aplicaAPENão se aplicaNão se aplica",Mercado_Receita!$L$2:$L$587)</f>
        <v>0</v>
      </c>
      <c r="N5" s="13">
        <f>SUMIF(Mercado_Receita!$S$2:$S$587,"44593A4AzulNão se aplicaNão se aplicaAPENão se aplicaPonta",Mercado_Receita!$L$2:$L$587)+SUMIF(Mercado_Receita!$S$2:$S$587,"44593A4AzulNão se aplicaNão se aplicaAPENão se aplicaFora ponta",Mercado_Receita!$L$2:$L$587)+SUMIF(Mercado_Receita!$S$2:$S$587,"44593A4AzulNão se aplicaNão se aplicaAPENão se aplicaIntermediário",Mercado_Receita!$L$2:$L$587)+SUMIF(Mercado_Receita!$S$2:$S$587,"44593A4AzulNão se aplicaNão se aplicaAPENão se aplicaNão se aplica",Mercado_Receita!$L$2:$L$587)</f>
        <v>0</v>
      </c>
      <c r="O5" s="13">
        <f>SUMIF(Mercado_Receita!$S$2:$S$587,"44621A4AzulNão se aplicaNão se aplicaAPENão se aplicaPonta",Mercado_Receita!$L$2:$L$587)+SUMIF(Mercado_Receita!$S$2:$S$587,"44621A4AzulNão se aplicaNão se aplicaAPENão se aplicaFora ponta",Mercado_Receita!$L$2:$L$587)+SUMIF(Mercado_Receita!$S$2:$S$587,"44621A4AzulNão se aplicaNão se aplicaAPENão se aplicaIntermediário",Mercado_Receita!$L$2:$L$587)+SUMIF(Mercado_Receita!$S$2:$S$587,"44621A4AzulNão se aplicaNão se aplicaAPENão se aplicaNão se aplica",Mercado_Receita!$L$2:$L$587)</f>
        <v>0</v>
      </c>
      <c r="P5" s="13">
        <f>SUMIF(Mercado_Receita!$S$2:$S$587,"44652A4AzulNão se aplicaNão se aplicaAPENão se aplicaPonta",Mercado_Receita!$L$2:$L$587)+SUMIF(Mercado_Receita!$S$2:$S$587,"44652A4AzulNão se aplicaNão se aplicaAPENão se aplicaFora ponta",Mercado_Receita!$L$2:$L$587)+SUMIF(Mercado_Receita!$S$2:$S$587,"44652A4AzulNão se aplicaNão se aplicaAPENão se aplicaIntermediário",Mercado_Receita!$L$2:$L$587)+SUMIF(Mercado_Receita!$S$2:$S$587,"44652A4AzulNão se aplicaNão se aplicaAPENão se aplicaNão se aplica",Mercado_Receita!$L$2:$L$587)</f>
        <v>0</v>
      </c>
      <c r="Q5" s="13">
        <f>SUMIF(Mercado_Receita!$S$2:$S$587,"44682A4AzulNão se aplicaNão se aplicaAPENão se aplicaPonta",Mercado_Receita!$L$2:$L$587)+SUMIF(Mercado_Receita!$S$2:$S$587,"44682A4AzulNão se aplicaNão se aplicaAPENão se aplicaFora ponta",Mercado_Receita!$L$2:$L$587)+SUMIF(Mercado_Receita!$S$2:$S$587,"44682A4AzulNão se aplicaNão se aplicaAPENão se aplicaIntermediário",Mercado_Receita!$L$2:$L$587)+SUMIF(Mercado_Receita!$S$2:$S$587,"44682A4AzulNão se aplicaNão se aplicaAPENão se aplicaNão se aplica",Mercado_Receita!$L$2:$L$587)</f>
        <v>0</v>
      </c>
      <c r="R5" s="13">
        <f>SUMIF(Mercado_Receita!$S$2:$S$587,"44713A4AzulNão se aplicaNão se aplicaAPENão se aplicaPonta",Mercado_Receita!$L$2:$L$587)+SUMIF(Mercado_Receita!$S$2:$S$587,"44713A4AzulNão se aplicaNão se aplicaAPENão se aplicaFora ponta",Mercado_Receita!$L$2:$L$587)+SUMIF(Mercado_Receita!$S$2:$S$587,"44713A4AzulNão se aplicaNão se aplicaAPENão se aplicaIntermediário",Mercado_Receita!$L$2:$L$587)+SUMIF(Mercado_Receita!$S$2:$S$587,"44713A4AzulNão se aplicaNão se aplicaAPENão se aplicaNão se aplica",Mercado_Receita!$L$2:$L$587)</f>
        <v>0</v>
      </c>
      <c r="S5" s="13">
        <f>SUMIF(Mercado_Receita!$S$2:$S$587,"44743A4AzulNão se aplicaNão se aplicaAPENão se aplicaPonta",Mercado_Receita!$L$2:$L$587)+SUMIF(Mercado_Receita!$S$2:$S$587,"44743A4AzulNão se aplicaNão se aplicaAPENão se aplicaFora ponta",Mercado_Receita!$L$2:$L$587)+SUMIF(Mercado_Receita!$S$2:$S$587,"44743A4AzulNão se aplicaNão se aplicaAPENão se aplicaIntermediário",Mercado_Receita!$L$2:$L$587)+SUMIF(Mercado_Receita!$S$2:$S$587,"44743A4AzulNão se aplicaNão se aplicaAPENão se aplicaNão se aplica",Mercado_Receita!$L$2:$L$587)</f>
        <v>0</v>
      </c>
      <c r="T5" s="13">
        <f>SUMIF(Mercado_Receita!$S$2:$S$587,"44774A4AzulNão se aplicaNão se aplicaAPENão se aplicaPonta",Mercado_Receita!$L$2:$L$587)+SUMIF(Mercado_Receita!$S$2:$S$587,"44774A4AzulNão se aplicaNão se aplicaAPENão se aplicaFora ponta",Mercado_Receita!$L$2:$L$587)+SUMIF(Mercado_Receita!$S$2:$S$587,"44774A4AzulNão se aplicaNão se aplicaAPENão se aplicaIntermediário",Mercado_Receita!$L$2:$L$587)+SUMIF(Mercado_Receita!$S$2:$S$587,"44774A4AzulNão se aplicaNão se aplicaAPENão se aplicaNão se aplica",Mercado_Receita!$L$2:$L$587)</f>
        <v>0</v>
      </c>
      <c r="U5" s="13">
        <f t="shared" si="0"/>
        <v>0</v>
      </c>
      <c r="V5" s="13"/>
      <c r="W5" s="13"/>
    </row>
    <row r="6" spans="1:30" ht="11.25" customHeight="1" x14ac:dyDescent="0.3">
      <c r="A6" s="76"/>
      <c r="B6" s="12" t="s">
        <v>476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471</v>
      </c>
      <c r="I6" s="13">
        <f>SUMIF(Mercado_Receita!$S$2:$S$587,"44440A4GeraçãoNão se aplicaNão se aplicaNão se aplicaNão se aplicaNão se aplica",Mercado_Receita!$J$2:$J$587)+SUMIF(Mercado_Receita!$S$2:$S$587,"44440A4GeraçãoNão se aplicaNão se aplicaAPENão se aplicaNão se aplica",Mercado_Receita!$J$2:$J$587)</f>
        <v>0</v>
      </c>
      <c r="J6" s="13">
        <f>SUMIF(Mercado_Receita!$S$2:$S$587,"44470A4GeraçãoNão se aplicaNão se aplicaNão se aplicaNão se aplicaNão se aplica",Mercado_Receita!$J$2:$J$587)+SUMIF(Mercado_Receita!$S$2:$S$587,"44470A4GeraçãoNão se aplicaNão se aplicaAPENão se aplicaNão se aplica",Mercado_Receita!$J$2:$J$587)</f>
        <v>0</v>
      </c>
      <c r="K6" s="13">
        <f>SUMIF(Mercado_Receita!$S$2:$S$587,"44501A4GeraçãoNão se aplicaNão se aplicaNão se aplicaNão se aplicaNão se aplica",Mercado_Receita!$J$2:$J$587)+SUMIF(Mercado_Receita!$S$2:$S$587,"44501A4GeraçãoNão se aplicaNão se aplicaAPENão se aplicaNão se aplica",Mercado_Receita!$J$2:$J$587)</f>
        <v>0</v>
      </c>
      <c r="L6" s="13">
        <f>SUMIF(Mercado_Receita!$S$2:$S$587,"44531A4GeraçãoNão se aplicaNão se aplicaNão se aplicaNão se aplicaNão se aplica",Mercado_Receita!$J$2:$J$587)+SUMIF(Mercado_Receita!$S$2:$S$587,"44531A4GeraçãoNão se aplicaNão se aplicaAPENão se aplicaNão se aplica",Mercado_Receita!$J$2:$J$587)</f>
        <v>0</v>
      </c>
      <c r="M6" s="13">
        <f>SUMIF(Mercado_Receita!$S$2:$S$587,"44562A4GeraçãoNão se aplicaNão se aplicaNão se aplicaNão se aplicaNão se aplica",Mercado_Receita!$J$2:$J$587)+SUMIF(Mercado_Receita!$S$2:$S$587,"44562A4GeraçãoNão se aplicaNão se aplicaAPENão se aplicaNão se aplica",Mercado_Receita!$J$2:$J$587)</f>
        <v>0</v>
      </c>
      <c r="N6" s="13">
        <f>SUMIF(Mercado_Receita!$S$2:$S$587,"44593A4GeraçãoNão se aplicaNão se aplicaNão se aplicaNão se aplicaNão se aplica",Mercado_Receita!$J$2:$J$587)+SUMIF(Mercado_Receita!$S$2:$S$587,"44593A4GeraçãoNão se aplicaNão se aplicaAPENão se aplicaNão se aplica",Mercado_Receita!$J$2:$J$587)</f>
        <v>0</v>
      </c>
      <c r="O6" s="13">
        <f>SUMIF(Mercado_Receita!$S$2:$S$587,"44621A4GeraçãoNão se aplicaNão se aplicaNão se aplicaNão se aplicaNão se aplica",Mercado_Receita!$J$2:$J$587)+SUMIF(Mercado_Receita!$S$2:$S$587,"44621A4GeraçãoNão se aplicaNão se aplicaAPENão se aplicaNão se aplica",Mercado_Receita!$J$2:$J$587)</f>
        <v>0</v>
      </c>
      <c r="P6" s="13">
        <f>SUMIF(Mercado_Receita!$S$2:$S$587,"44652A4GeraçãoNão se aplicaNão se aplicaNão se aplicaNão se aplicaNão se aplica",Mercado_Receita!$J$2:$J$587)+SUMIF(Mercado_Receita!$S$2:$S$587,"44652A4GeraçãoNão se aplicaNão se aplicaAPENão se aplicaNão se aplica",Mercado_Receita!$J$2:$J$587)</f>
        <v>0</v>
      </c>
      <c r="Q6" s="13">
        <f>SUMIF(Mercado_Receita!$S$2:$S$587,"44682A4GeraçãoNão se aplicaNão se aplicaNão se aplicaNão se aplicaNão se aplica",Mercado_Receita!$J$2:$J$587)+SUMIF(Mercado_Receita!$S$2:$S$587,"44682A4GeraçãoNão se aplicaNão se aplicaAPENão se aplicaNão se aplica",Mercado_Receita!$J$2:$J$587)</f>
        <v>0</v>
      </c>
      <c r="R6" s="13">
        <f>SUMIF(Mercado_Receita!$S$2:$S$587,"44713A4GeraçãoNão se aplicaNão se aplicaNão se aplicaNão se aplicaNão se aplica",Mercado_Receita!$J$2:$J$587)+SUMIF(Mercado_Receita!$S$2:$S$587,"44713A4GeraçãoNão se aplicaNão se aplicaAPENão se aplicaNão se aplica",Mercado_Receita!$J$2:$J$587)</f>
        <v>0</v>
      </c>
      <c r="S6" s="13">
        <f>SUMIF(Mercado_Receita!$S$2:$S$587,"44743A4GeraçãoNão se aplicaNão se aplicaNão se aplicaNão se aplicaNão se aplica",Mercado_Receita!$J$2:$J$587)+SUMIF(Mercado_Receita!$S$2:$S$587,"44743A4GeraçãoNão se aplicaNão se aplicaAPENão se aplicaNão se aplica",Mercado_Receita!$J$2:$J$587)</f>
        <v>0</v>
      </c>
      <c r="T6" s="13">
        <f>SUMIF(Mercado_Receita!$S$2:$S$587,"44774A4GeraçãoNão se aplicaNão se aplicaNão se aplicaNão se aplicaNão se aplica",Mercado_Receita!$J$2:$J$587)+SUMIF(Mercado_Receita!$S$2:$S$587,"44774A4GeraçãoNão se aplicaNão se aplicaAPENão se aplicaNão se aplica",Mercado_Receita!$J$2:$J$587)</f>
        <v>0</v>
      </c>
      <c r="U6" s="13">
        <f t="shared" si="0"/>
        <v>0</v>
      </c>
      <c r="V6" s="13"/>
      <c r="W6" s="13"/>
    </row>
    <row r="7" spans="1:30" ht="11.25" customHeight="1" x14ac:dyDescent="0.3">
      <c r="A7" s="76"/>
      <c r="B7" s="75" t="s">
        <v>40</v>
      </c>
      <c r="C7" s="75" t="s">
        <v>25</v>
      </c>
      <c r="D7" s="75" t="s">
        <v>25</v>
      </c>
      <c r="E7" s="75" t="s">
        <v>25</v>
      </c>
      <c r="F7" s="75" t="s">
        <v>25</v>
      </c>
      <c r="G7" s="13" t="s">
        <v>9</v>
      </c>
      <c r="H7" s="13" t="s">
        <v>471</v>
      </c>
      <c r="I7" s="13">
        <f>SUMIF(Mercado_Receita!$S$2:$S$587,"44440A4VerdeNão se aplicaNão se aplicaNão se aplicaNão se aplicaNão se aplica",Mercado_Receita!$J$2:$J$587)+SUMIF(Mercado_Receita!$S$2:$S$587,"44440A4VerdeNão se aplicaNão se aplicaAPENão se aplicaNão se aplica",Mercado_Receita!$J$2:$J$587)</f>
        <v>5451</v>
      </c>
      <c r="J7" s="13">
        <f>SUMIF(Mercado_Receita!$S$2:$S$587,"44470A4VerdeNão se aplicaNão se aplicaNão se aplicaNão se aplicaNão se aplica",Mercado_Receita!$J$2:$J$587)+SUMIF(Mercado_Receita!$S$2:$S$587,"44470A4VerdeNão se aplicaNão se aplicaAPENão se aplicaNão se aplica",Mercado_Receita!$J$2:$J$587)</f>
        <v>5502</v>
      </c>
      <c r="K7" s="13">
        <f>SUMIF(Mercado_Receita!$S$2:$S$587,"44501A4VerdeNão se aplicaNão se aplicaNão se aplicaNão se aplicaNão se aplica",Mercado_Receita!$J$2:$J$587)+SUMIF(Mercado_Receita!$S$2:$S$587,"44501A4VerdeNão se aplicaNão se aplicaAPENão se aplicaNão se aplica",Mercado_Receita!$J$2:$J$587)</f>
        <v>5014</v>
      </c>
      <c r="L7" s="13">
        <f>SUMIF(Mercado_Receita!$S$2:$S$587,"44531A4VerdeNão se aplicaNão se aplicaNão se aplicaNão se aplicaNão se aplica",Mercado_Receita!$J$2:$J$587)+SUMIF(Mercado_Receita!$S$2:$S$587,"44531A4VerdeNão se aplicaNão se aplicaAPENão se aplicaNão se aplica",Mercado_Receita!$J$2:$J$587)</f>
        <v>5020</v>
      </c>
      <c r="M7" s="13">
        <f>SUMIF(Mercado_Receita!$S$2:$S$587,"44562A4VerdeNão se aplicaNão se aplicaNão se aplicaNão se aplicaNão se aplica",Mercado_Receita!$J$2:$J$587)+SUMIF(Mercado_Receita!$S$2:$S$587,"44562A4VerdeNão se aplicaNão se aplicaAPENão se aplicaNão se aplica",Mercado_Receita!$J$2:$J$587)</f>
        <v>5092</v>
      </c>
      <c r="N7" s="13">
        <f>SUMIF(Mercado_Receita!$S$2:$S$587,"44593A4VerdeNão se aplicaNão se aplicaNão se aplicaNão se aplicaNão se aplica",Mercado_Receita!$J$2:$J$587)+SUMIF(Mercado_Receita!$S$2:$S$587,"44593A4VerdeNão se aplicaNão se aplicaAPENão se aplicaNão se aplica",Mercado_Receita!$J$2:$J$587)</f>
        <v>5307</v>
      </c>
      <c r="O7" s="13">
        <f>SUMIF(Mercado_Receita!$S$2:$S$587,"44621A4VerdeNão se aplicaNão se aplicaNão se aplicaNão se aplicaNão se aplica",Mercado_Receita!$J$2:$J$587)+SUMIF(Mercado_Receita!$S$2:$S$587,"44621A4VerdeNão se aplicaNão se aplicaAPENão se aplicaNão se aplica",Mercado_Receita!$J$2:$J$587)</f>
        <v>5418</v>
      </c>
      <c r="P7" s="13">
        <f>SUMIF(Mercado_Receita!$S$2:$S$587,"44652A4VerdeNão se aplicaNão se aplicaNão se aplicaNão se aplicaNão se aplica",Mercado_Receita!$J$2:$J$587)+SUMIF(Mercado_Receita!$S$2:$S$587,"44652A4VerdeNão se aplicaNão se aplicaAPENão se aplicaNão se aplica",Mercado_Receita!$J$2:$J$587)</f>
        <v>5287</v>
      </c>
      <c r="Q7" s="13">
        <f>SUMIF(Mercado_Receita!$S$2:$S$587,"44682A4VerdeNão se aplicaNão se aplicaNão se aplicaNão se aplicaNão se aplica",Mercado_Receita!$J$2:$J$587)+SUMIF(Mercado_Receita!$S$2:$S$587,"44682A4VerdeNão se aplicaNão se aplicaAPENão se aplicaNão se aplica",Mercado_Receita!$J$2:$J$587)</f>
        <v>5367</v>
      </c>
      <c r="R7" s="13">
        <f>SUMIF(Mercado_Receita!$S$2:$S$587,"44713A4VerdeNão se aplicaNão se aplicaNão se aplicaNão se aplicaNão se aplica",Mercado_Receita!$J$2:$J$587)+SUMIF(Mercado_Receita!$S$2:$S$587,"44713A4VerdeNão se aplicaNão se aplicaAPENão se aplicaNão se aplica",Mercado_Receita!$J$2:$J$587)</f>
        <v>5327</v>
      </c>
      <c r="S7" s="13">
        <f>SUMIF(Mercado_Receita!$S$2:$S$587,"44743A4VerdeNão se aplicaNão se aplicaNão se aplicaNão se aplicaNão se aplica",Mercado_Receita!$J$2:$J$587)+SUMIF(Mercado_Receita!$S$2:$S$587,"44743A4VerdeNão se aplicaNão se aplicaAPENão se aplicaNão se aplica",Mercado_Receita!$J$2:$J$587)</f>
        <v>5250</v>
      </c>
      <c r="T7" s="13">
        <f>SUMIF(Mercado_Receita!$S$2:$S$587,"44774A4VerdeNão se aplicaNão se aplicaNão se aplicaNão se aplicaNão se aplica",Mercado_Receita!$J$2:$J$587)+SUMIF(Mercado_Receita!$S$2:$S$587,"44774A4VerdeNão se aplicaNão se aplicaAPENão se aplicaNão se aplica",Mercado_Receita!$J$2:$J$587)</f>
        <v>5440</v>
      </c>
      <c r="U7" s="13">
        <f t="shared" si="0"/>
        <v>63475</v>
      </c>
      <c r="V7" s="13"/>
      <c r="W7" s="13"/>
    </row>
    <row r="8" spans="1:30" ht="11.25" customHeight="1" x14ac:dyDescent="0.3">
      <c r="A8" s="76"/>
      <c r="B8" s="76"/>
      <c r="C8" s="76"/>
      <c r="D8" s="76"/>
      <c r="E8" s="76"/>
      <c r="F8" s="76"/>
      <c r="G8" s="13" t="s">
        <v>468</v>
      </c>
      <c r="H8" s="13" t="s">
        <v>467</v>
      </c>
      <c r="I8" s="13">
        <f>SUMIF(Mercado_Receita!$S$2:$S$587,"44440A4VerdeNão se aplicaNão se aplicaNão se aplicaNão se aplicaPonta",Mercado_Receita!$L$2:$L$587)</f>
        <v>27.414999999999999</v>
      </c>
      <c r="J8" s="13">
        <f>SUMIF(Mercado_Receita!$S$2:$S$587,"44470A4VerdeNão se aplicaNão se aplicaNão se aplicaNão se aplicaPonta",Mercado_Receita!$L$2:$L$587)</f>
        <v>27.497999999999998</v>
      </c>
      <c r="K8" s="13">
        <f>SUMIF(Mercado_Receita!$S$2:$S$587,"44501A4VerdeNão se aplicaNão se aplicaNão se aplicaNão se aplicaPonta",Mercado_Receita!$L$2:$L$587)</f>
        <v>28.28</v>
      </c>
      <c r="L8" s="13">
        <f>SUMIF(Mercado_Receita!$S$2:$S$587,"44531A4VerdeNão se aplicaNão se aplicaNão se aplicaNão se aplicaPonta",Mercado_Receita!$L$2:$L$587)</f>
        <v>36.825000000000003</v>
      </c>
      <c r="M8" s="13">
        <f>SUMIF(Mercado_Receita!$S$2:$S$587,"44562A4VerdeNão se aplicaNão se aplicaNão se aplicaNão se aplicaPonta",Mercado_Receita!$L$2:$L$587)</f>
        <v>36.427</v>
      </c>
      <c r="N8" s="13">
        <f>SUMIF(Mercado_Receita!$S$2:$S$587,"44593A4VerdeNão se aplicaNão se aplicaNão se aplicaNão se aplicaPonta",Mercado_Receita!$L$2:$L$587)</f>
        <v>35.039000000000001</v>
      </c>
      <c r="O8" s="13">
        <f>SUMIF(Mercado_Receita!$S$2:$S$587,"44621A4VerdeNão se aplicaNão se aplicaNão se aplicaNão se aplicaPonta",Mercado_Receita!$L$2:$L$587)</f>
        <v>34.468000000000004</v>
      </c>
      <c r="P8" s="13">
        <f>SUMIF(Mercado_Receita!$S$2:$S$587,"44652A4VerdeNão se aplicaNão se aplicaNão se aplicaNão se aplicaPonta",Mercado_Receita!$L$2:$L$587)</f>
        <v>35.709000000000003</v>
      </c>
      <c r="Q8" s="13">
        <f>SUMIF(Mercado_Receita!$S$2:$S$587,"44682A4VerdeNão se aplicaNão se aplicaNão se aplicaNão se aplicaPonta",Mercado_Receita!$L$2:$L$587)</f>
        <v>38.478999999999999</v>
      </c>
      <c r="R8" s="13">
        <f>SUMIF(Mercado_Receita!$S$2:$S$587,"44713A4VerdeNão se aplicaNão se aplicaNão se aplicaNão se aplicaPonta",Mercado_Receita!$L$2:$L$587)</f>
        <v>35.442999999999998</v>
      </c>
      <c r="S8" s="13">
        <f>SUMIF(Mercado_Receita!$S$2:$S$587,"44743A4VerdeNão se aplicaNão se aplicaNão se aplicaNão se aplicaPonta",Mercado_Receita!$L$2:$L$587)</f>
        <v>37.344999999999999</v>
      </c>
      <c r="T8" s="13">
        <f>SUMIF(Mercado_Receita!$S$2:$S$587,"44774A4VerdeNão se aplicaNão se aplicaNão se aplicaNão se aplicaPonta",Mercado_Receita!$L$2:$L$587)</f>
        <v>36.707999999999998</v>
      </c>
      <c r="U8" s="13">
        <f t="shared" si="0"/>
        <v>409.63599999999997</v>
      </c>
      <c r="V8" s="13"/>
      <c r="W8" s="13"/>
    </row>
    <row r="9" spans="1:30" ht="11.25" customHeight="1" x14ac:dyDescent="0.3">
      <c r="A9" s="76"/>
      <c r="B9" s="76"/>
      <c r="C9" s="76"/>
      <c r="D9" s="76"/>
      <c r="E9" s="76"/>
      <c r="F9" s="76"/>
      <c r="G9" s="13" t="s">
        <v>469</v>
      </c>
      <c r="H9" s="13" t="s">
        <v>467</v>
      </c>
      <c r="I9" s="13">
        <f>SUMIF(Mercado_Receita!$S$2:$S$587,"44440A4VerdeNão se aplicaNão se aplicaNão se aplicaNão se aplicaFora ponta",Mercado_Receita!$L$2:$L$587)</f>
        <v>844.52599999999995</v>
      </c>
      <c r="J9" s="13">
        <f>SUMIF(Mercado_Receita!$S$2:$S$587,"44470A4VerdeNão se aplicaNão se aplicaNão se aplicaNão se aplicaFora ponta",Mercado_Receita!$L$2:$L$587)</f>
        <v>832.82400000000007</v>
      </c>
      <c r="K9" s="13">
        <f>SUMIF(Mercado_Receita!$S$2:$S$587,"44501A4VerdeNão se aplicaNão se aplicaNão se aplicaNão se aplicaFora ponta",Mercado_Receita!$L$2:$L$587)</f>
        <v>842.822</v>
      </c>
      <c r="L9" s="13">
        <f>SUMIF(Mercado_Receita!$S$2:$S$587,"44531A4VerdeNão se aplicaNão se aplicaNão se aplicaNão se aplicaFora ponta",Mercado_Receita!$L$2:$L$587)</f>
        <v>919.95899999999995</v>
      </c>
      <c r="M9" s="13">
        <f>SUMIF(Mercado_Receita!$S$2:$S$587,"44562A4VerdeNão se aplicaNão se aplicaNão se aplicaNão se aplicaFora ponta",Mercado_Receita!$L$2:$L$587)</f>
        <v>1021.2800000000001</v>
      </c>
      <c r="N9" s="13">
        <f>SUMIF(Mercado_Receita!$S$2:$S$587,"44593A4VerdeNão se aplicaNão se aplicaNão se aplicaNão se aplicaFora ponta",Mercado_Receita!$L$2:$L$587)</f>
        <v>920.44399999999996</v>
      </c>
      <c r="O9" s="13">
        <f>SUMIF(Mercado_Receita!$S$2:$S$587,"44621A4VerdeNão se aplicaNão se aplicaNão se aplicaNão se aplicaFora ponta",Mercado_Receita!$L$2:$L$587)</f>
        <v>1046.7079999999999</v>
      </c>
      <c r="P9" s="13">
        <f>SUMIF(Mercado_Receita!$S$2:$S$587,"44652A4VerdeNão se aplicaNão se aplicaNão se aplicaNão se aplicaFora ponta",Mercado_Receita!$L$2:$L$587)</f>
        <v>936.048</v>
      </c>
      <c r="Q9" s="13">
        <f>SUMIF(Mercado_Receita!$S$2:$S$587,"44682A4VerdeNão se aplicaNão se aplicaNão se aplicaNão se aplicaFora ponta",Mercado_Receita!$L$2:$L$587)</f>
        <v>984.35500000000013</v>
      </c>
      <c r="R9" s="13">
        <f>SUMIF(Mercado_Receita!$S$2:$S$587,"44713A4VerdeNão se aplicaNão se aplicaNão se aplicaNão se aplicaFora ponta",Mercado_Receita!$L$2:$L$587)</f>
        <v>931.03499999999997</v>
      </c>
      <c r="S9" s="13">
        <f>SUMIF(Mercado_Receita!$S$2:$S$587,"44743A4VerdeNão se aplicaNão se aplicaNão se aplicaNão se aplicaFora ponta",Mercado_Receita!$L$2:$L$587)</f>
        <v>1015.778</v>
      </c>
      <c r="T9" s="13">
        <f>SUMIF(Mercado_Receita!$S$2:$S$587,"44774A4VerdeNão se aplicaNão se aplicaNão se aplicaNão se aplicaFora ponta",Mercado_Receita!$L$2:$L$587)</f>
        <v>996.85699999999997</v>
      </c>
      <c r="U9" s="13">
        <f t="shared" si="0"/>
        <v>11292.635999999999</v>
      </c>
      <c r="V9" s="13"/>
      <c r="W9" s="13"/>
    </row>
    <row r="10" spans="1:30" ht="11.25" customHeight="1" x14ac:dyDescent="0.3">
      <c r="A10" s="76"/>
      <c r="B10" s="76"/>
      <c r="C10" s="76"/>
      <c r="D10" s="76"/>
      <c r="E10" s="75" t="s">
        <v>475</v>
      </c>
      <c r="F10" s="75" t="s">
        <v>25</v>
      </c>
      <c r="G10" s="13" t="s">
        <v>468</v>
      </c>
      <c r="H10" s="13" t="s">
        <v>467</v>
      </c>
      <c r="I10" s="13">
        <f>SUMIF(Mercado_Receita!$S$2:$S$587,"44440A4VerdeNão se aplicaNão se aplicaAPENão se aplicaPonta",Mercado_Receita!$L$2:$L$587)</f>
        <v>0</v>
      </c>
      <c r="J10" s="13">
        <f>SUMIF(Mercado_Receita!$S$2:$S$587,"44470A4VerdeNão se aplicaNão se aplicaAPENão se aplicaPonta",Mercado_Receita!$L$2:$L$587)</f>
        <v>0</v>
      </c>
      <c r="K10" s="13">
        <f>SUMIF(Mercado_Receita!$S$2:$S$587,"44501A4VerdeNão se aplicaNão se aplicaAPENão se aplicaPonta",Mercado_Receita!$L$2:$L$587)</f>
        <v>0</v>
      </c>
      <c r="L10" s="13">
        <f>SUMIF(Mercado_Receita!$S$2:$S$587,"44531A4VerdeNão se aplicaNão se aplicaAPENão se aplicaPonta",Mercado_Receita!$L$2:$L$587)</f>
        <v>0</v>
      </c>
      <c r="M10" s="13">
        <f>SUMIF(Mercado_Receita!$S$2:$S$587,"44562A4VerdeNão se aplicaNão se aplicaAPENão se aplicaPonta",Mercado_Receita!$L$2:$L$587)</f>
        <v>0</v>
      </c>
      <c r="N10" s="13">
        <f>SUMIF(Mercado_Receita!$S$2:$S$587,"44593A4VerdeNão se aplicaNão se aplicaAPENão se aplicaPonta",Mercado_Receita!$L$2:$L$587)</f>
        <v>0</v>
      </c>
      <c r="O10" s="13">
        <f>SUMIF(Mercado_Receita!$S$2:$S$587,"44621A4VerdeNão se aplicaNão se aplicaAPENão se aplicaPonta",Mercado_Receita!$L$2:$L$587)</f>
        <v>0</v>
      </c>
      <c r="P10" s="13">
        <f>SUMIF(Mercado_Receita!$S$2:$S$587,"44652A4VerdeNão se aplicaNão se aplicaAPENão se aplicaPonta",Mercado_Receita!$L$2:$L$587)</f>
        <v>0</v>
      </c>
      <c r="Q10" s="13">
        <f>SUMIF(Mercado_Receita!$S$2:$S$587,"44682A4VerdeNão se aplicaNão se aplicaAPENão se aplicaPonta",Mercado_Receita!$L$2:$L$587)</f>
        <v>0</v>
      </c>
      <c r="R10" s="13">
        <f>SUMIF(Mercado_Receita!$S$2:$S$587,"44713A4VerdeNão se aplicaNão se aplicaAPENão se aplicaPonta",Mercado_Receita!$L$2:$L$587)</f>
        <v>0</v>
      </c>
      <c r="S10" s="13">
        <f>SUMIF(Mercado_Receita!$S$2:$S$587,"44743A4VerdeNão se aplicaNão se aplicaAPENão se aplicaPonta",Mercado_Receita!$L$2:$L$587)</f>
        <v>0</v>
      </c>
      <c r="T10" s="13">
        <f>SUMIF(Mercado_Receita!$S$2:$S$587,"44774A4VerdeNão se aplicaNão se aplicaAPENão se aplicaPonta",Mercado_Receita!$L$2:$L$587)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76"/>
      <c r="B11" s="76"/>
      <c r="C11" s="76"/>
      <c r="D11" s="76"/>
      <c r="E11" s="76"/>
      <c r="F11" s="76"/>
      <c r="G11" s="13" t="s">
        <v>469</v>
      </c>
      <c r="H11" s="13" t="s">
        <v>467</v>
      </c>
      <c r="I11" s="13">
        <f>SUMIF(Mercado_Receita!$S$2:$S$587,"44440A4VerdeNão se aplicaNão se aplicaAPENão se aplicaFora ponta",Mercado_Receita!$L$2:$L$587)</f>
        <v>0</v>
      </c>
      <c r="J11" s="13">
        <f>SUMIF(Mercado_Receita!$S$2:$S$587,"44470A4VerdeNão se aplicaNão se aplicaAPENão se aplicaFora ponta",Mercado_Receita!$L$2:$L$587)</f>
        <v>0</v>
      </c>
      <c r="K11" s="13">
        <f>SUMIF(Mercado_Receita!$S$2:$S$587,"44501A4VerdeNão se aplicaNão se aplicaAPENão se aplicaFora ponta",Mercado_Receita!$L$2:$L$587)</f>
        <v>0</v>
      </c>
      <c r="L11" s="13">
        <f>SUMIF(Mercado_Receita!$S$2:$S$587,"44531A4VerdeNão se aplicaNão se aplicaAPENão se aplicaFora ponta",Mercado_Receita!$L$2:$L$587)</f>
        <v>0</v>
      </c>
      <c r="M11" s="13">
        <f>SUMIF(Mercado_Receita!$S$2:$S$587,"44562A4VerdeNão se aplicaNão se aplicaAPENão se aplicaFora ponta",Mercado_Receita!$L$2:$L$587)</f>
        <v>0</v>
      </c>
      <c r="N11" s="13">
        <f>SUMIF(Mercado_Receita!$S$2:$S$587,"44593A4VerdeNão se aplicaNão se aplicaAPENão se aplicaFora ponta",Mercado_Receita!$L$2:$L$587)</f>
        <v>0</v>
      </c>
      <c r="O11" s="13">
        <f>SUMIF(Mercado_Receita!$S$2:$S$587,"44621A4VerdeNão se aplicaNão se aplicaAPENão se aplicaFora ponta",Mercado_Receita!$L$2:$L$587)</f>
        <v>0</v>
      </c>
      <c r="P11" s="13">
        <f>SUMIF(Mercado_Receita!$S$2:$S$587,"44652A4VerdeNão se aplicaNão se aplicaAPENão se aplicaFora ponta",Mercado_Receita!$L$2:$L$587)</f>
        <v>0</v>
      </c>
      <c r="Q11" s="13">
        <f>SUMIF(Mercado_Receita!$S$2:$S$587,"44682A4VerdeNão se aplicaNão se aplicaAPENão se aplicaFora ponta",Mercado_Receita!$L$2:$L$587)</f>
        <v>0</v>
      </c>
      <c r="R11" s="13">
        <f>SUMIF(Mercado_Receita!$S$2:$S$587,"44713A4VerdeNão se aplicaNão se aplicaAPENão se aplicaFora ponta",Mercado_Receita!$L$2:$L$587)</f>
        <v>0</v>
      </c>
      <c r="S11" s="13">
        <f>SUMIF(Mercado_Receita!$S$2:$S$587,"44743A4VerdeNão se aplicaNão se aplicaAPENão se aplicaFora ponta",Mercado_Receita!$L$2:$L$587)</f>
        <v>0</v>
      </c>
      <c r="T11" s="13">
        <f>SUMIF(Mercado_Receita!$S$2:$S$587,"44774A4VerdeNão se aplicaNão se aplicaAPENão se aplicaFora ponta",Mercado_Receita!$L$2:$L$587)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75" t="s">
        <v>477</v>
      </c>
      <c r="B12" s="75" t="s">
        <v>476</v>
      </c>
      <c r="C12" s="75" t="s">
        <v>25</v>
      </c>
      <c r="D12" s="75" t="s">
        <v>25</v>
      </c>
      <c r="E12" s="12" t="s">
        <v>478</v>
      </c>
      <c r="F12" s="12" t="s">
        <v>25</v>
      </c>
      <c r="G12" s="13" t="s">
        <v>9</v>
      </c>
      <c r="H12" s="13" t="s">
        <v>471</v>
      </c>
      <c r="I12" s="13">
        <f>SUMIF(Mercado_Receita!$S$2:$S$587,"44440BGeraçãoNão se aplicaNão se aplicaTIPO 01Não se aplicaNão se aplica",Mercado_Receita!$J$2:$J$587)+SUMIF(Mercado_Receita!$S$2:$S$587,"44440BGeraçãoNão se aplicaNão se aplicaAPENão se aplicaNão se aplica",Mercado_Receita!$J$2:$J$587)</f>
        <v>0</v>
      </c>
      <c r="J12" s="13">
        <f>SUMIF(Mercado_Receita!$S$2:$S$587,"44470BGeraçãoNão se aplicaNão se aplicaTIPO 01Não se aplicaNão se aplica",Mercado_Receita!$J$2:$J$587)+SUMIF(Mercado_Receita!$S$2:$S$587,"44470BGeraçãoNão se aplicaNão se aplicaAPENão se aplicaNão se aplica",Mercado_Receita!$J$2:$J$587)</f>
        <v>0</v>
      </c>
      <c r="K12" s="13">
        <f>SUMIF(Mercado_Receita!$S$2:$S$587,"44501BGeraçãoNão se aplicaNão se aplicaTIPO 01Não se aplicaNão se aplica",Mercado_Receita!$J$2:$J$587)+SUMIF(Mercado_Receita!$S$2:$S$587,"44501BGeraçãoNão se aplicaNão se aplicaAPENão se aplicaNão se aplica",Mercado_Receita!$J$2:$J$587)</f>
        <v>0</v>
      </c>
      <c r="L12" s="13">
        <f>SUMIF(Mercado_Receita!$S$2:$S$587,"44531BGeraçãoNão se aplicaNão se aplicaTIPO 01Não se aplicaNão se aplica",Mercado_Receita!$J$2:$J$587)+SUMIF(Mercado_Receita!$S$2:$S$587,"44531BGeraçãoNão se aplicaNão se aplicaAPENão se aplicaNão se aplica",Mercado_Receita!$J$2:$J$587)</f>
        <v>0</v>
      </c>
      <c r="M12" s="13">
        <f>SUMIF(Mercado_Receita!$S$2:$S$587,"44562BGeraçãoNão se aplicaNão se aplicaTIPO 01Não se aplicaNão se aplica",Mercado_Receita!$J$2:$J$587)+SUMIF(Mercado_Receita!$S$2:$S$587,"44562BGeraçãoNão se aplicaNão se aplicaAPENão se aplicaNão se aplica",Mercado_Receita!$J$2:$J$587)</f>
        <v>0</v>
      </c>
      <c r="N12" s="13">
        <f>SUMIF(Mercado_Receita!$S$2:$S$587,"44593BGeraçãoNão se aplicaNão se aplicaTIPO 01Não se aplicaNão se aplica",Mercado_Receita!$J$2:$J$587)+SUMIF(Mercado_Receita!$S$2:$S$587,"44593BGeraçãoNão se aplicaNão se aplicaAPENão se aplicaNão se aplica",Mercado_Receita!$J$2:$J$587)</f>
        <v>0</v>
      </c>
      <c r="O12" s="13">
        <f>SUMIF(Mercado_Receita!$S$2:$S$587,"44621BGeraçãoNão se aplicaNão se aplicaTIPO 01Não se aplicaNão se aplica",Mercado_Receita!$J$2:$J$587)+SUMIF(Mercado_Receita!$S$2:$S$587,"44621BGeraçãoNão se aplicaNão se aplicaAPENão se aplicaNão se aplica",Mercado_Receita!$J$2:$J$587)</f>
        <v>0</v>
      </c>
      <c r="P12" s="13">
        <f>SUMIF(Mercado_Receita!$S$2:$S$587,"44652BGeraçãoNão se aplicaNão se aplicaTIPO 01Não se aplicaNão se aplica",Mercado_Receita!$J$2:$J$587)+SUMIF(Mercado_Receita!$S$2:$S$587,"44652BGeraçãoNão se aplicaNão se aplicaAPENão se aplicaNão se aplica",Mercado_Receita!$J$2:$J$587)</f>
        <v>0</v>
      </c>
      <c r="Q12" s="13">
        <f>SUMIF(Mercado_Receita!$S$2:$S$587,"44682BGeraçãoNão se aplicaNão se aplicaTIPO 01Não se aplicaNão se aplica",Mercado_Receita!$J$2:$J$587)+SUMIF(Mercado_Receita!$S$2:$S$587,"44682BGeraçãoNão se aplicaNão se aplicaAPENão se aplicaNão se aplica",Mercado_Receita!$J$2:$J$587)</f>
        <v>0</v>
      </c>
      <c r="R12" s="13">
        <f>SUMIF(Mercado_Receita!$S$2:$S$587,"44713BGeraçãoNão se aplicaNão se aplicaTIPO 01Não se aplicaNão se aplica",Mercado_Receita!$J$2:$J$587)+SUMIF(Mercado_Receita!$S$2:$S$587,"44713BGeraçãoNão se aplicaNão se aplicaAPENão se aplicaNão se aplica",Mercado_Receita!$J$2:$J$587)</f>
        <v>0</v>
      </c>
      <c r="S12" s="13">
        <f>SUMIF(Mercado_Receita!$S$2:$S$587,"44743BGeraçãoNão se aplicaNão se aplicaTIPO 01Não se aplicaNão se aplica",Mercado_Receita!$J$2:$J$587)+SUMIF(Mercado_Receita!$S$2:$S$587,"44743BGeraçãoNão se aplicaNão se aplicaAPENão se aplicaNão se aplica",Mercado_Receita!$J$2:$J$587)</f>
        <v>0</v>
      </c>
      <c r="T12" s="13">
        <f>SUMIF(Mercado_Receita!$S$2:$S$587,"44774BGeraçãoNão se aplicaNão se aplicaTIPO 01Não se aplicaNão se aplica",Mercado_Receita!$J$2:$J$587)+SUMIF(Mercado_Receita!$S$2:$S$587,"44774BGeraçãoNão se aplicaNão se aplicaAPENão se aplicaNão se aplica",Mercado_Receita!$J$2:$J$587)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6"/>
      <c r="B13" s="76"/>
      <c r="C13" s="76"/>
      <c r="D13" s="76"/>
      <c r="E13" s="12" t="s">
        <v>479</v>
      </c>
      <c r="F13" s="12" t="s">
        <v>25</v>
      </c>
      <c r="G13" s="13" t="s">
        <v>9</v>
      </c>
      <c r="H13" s="13" t="s">
        <v>471</v>
      </c>
      <c r="I13" s="13">
        <f>SUMIF(Mercado_Receita!$S$2:$S$587,"44440BGeraçãoNão se aplicaNão se aplicaTIPO 02Não se aplicaNão se aplica",Mercado_Receita!$J$2:$J$587)+SUMIF(Mercado_Receita!$S$2:$S$587,"44440BGeraçãoNão se aplicaNão se aplicaAPENão se aplicaNão se aplica",Mercado_Receita!$J$2:$J$587)</f>
        <v>0</v>
      </c>
      <c r="J13" s="13">
        <f>SUMIF(Mercado_Receita!$S$2:$S$587,"44470BGeraçãoNão se aplicaNão se aplicaTIPO 02Não se aplicaNão se aplica",Mercado_Receita!$J$2:$J$587)+SUMIF(Mercado_Receita!$S$2:$S$587,"44470BGeraçãoNão se aplicaNão se aplicaAPENão se aplicaNão se aplica",Mercado_Receita!$J$2:$J$587)</f>
        <v>0</v>
      </c>
      <c r="K13" s="13">
        <f>SUMIF(Mercado_Receita!$S$2:$S$587,"44501BGeraçãoNão se aplicaNão se aplicaTIPO 02Não se aplicaNão se aplica",Mercado_Receita!$J$2:$J$587)+SUMIF(Mercado_Receita!$S$2:$S$587,"44501BGeraçãoNão se aplicaNão se aplicaAPENão se aplicaNão se aplica",Mercado_Receita!$J$2:$J$587)</f>
        <v>0</v>
      </c>
      <c r="L13" s="13">
        <f>SUMIF(Mercado_Receita!$S$2:$S$587,"44531BGeraçãoNão se aplicaNão se aplicaTIPO 02Não se aplicaNão se aplica",Mercado_Receita!$J$2:$J$587)+SUMIF(Mercado_Receita!$S$2:$S$587,"44531BGeraçãoNão se aplicaNão se aplicaAPENão se aplicaNão se aplica",Mercado_Receita!$J$2:$J$587)</f>
        <v>0</v>
      </c>
      <c r="M13" s="13">
        <f>SUMIF(Mercado_Receita!$S$2:$S$587,"44562BGeraçãoNão se aplicaNão se aplicaTIPO 02Não se aplicaNão se aplica",Mercado_Receita!$J$2:$J$587)+SUMIF(Mercado_Receita!$S$2:$S$587,"44562BGeraçãoNão se aplicaNão se aplicaAPENão se aplicaNão se aplica",Mercado_Receita!$J$2:$J$587)</f>
        <v>0</v>
      </c>
      <c r="N13" s="13">
        <f>SUMIF(Mercado_Receita!$S$2:$S$587,"44593BGeraçãoNão se aplicaNão se aplicaTIPO 02Não se aplicaNão se aplica",Mercado_Receita!$J$2:$J$587)+SUMIF(Mercado_Receita!$S$2:$S$587,"44593BGeraçãoNão se aplicaNão se aplicaAPENão se aplicaNão se aplica",Mercado_Receita!$J$2:$J$587)</f>
        <v>0</v>
      </c>
      <c r="O13" s="13">
        <f>SUMIF(Mercado_Receita!$S$2:$S$587,"44621BGeraçãoNão se aplicaNão se aplicaTIPO 02Não se aplicaNão se aplica",Mercado_Receita!$J$2:$J$587)+SUMIF(Mercado_Receita!$S$2:$S$587,"44621BGeraçãoNão se aplicaNão se aplicaAPENão se aplicaNão se aplica",Mercado_Receita!$J$2:$J$587)</f>
        <v>0</v>
      </c>
      <c r="P13" s="13">
        <f>SUMIF(Mercado_Receita!$S$2:$S$587,"44652BGeraçãoNão se aplicaNão se aplicaTIPO 02Não se aplicaNão se aplica",Mercado_Receita!$J$2:$J$587)+SUMIF(Mercado_Receita!$S$2:$S$587,"44652BGeraçãoNão se aplicaNão se aplicaAPENão se aplicaNão se aplica",Mercado_Receita!$J$2:$J$587)</f>
        <v>0</v>
      </c>
      <c r="Q13" s="13">
        <f>SUMIF(Mercado_Receita!$S$2:$S$587,"44682BGeraçãoNão se aplicaNão se aplicaTIPO 02Não se aplicaNão se aplica",Mercado_Receita!$J$2:$J$587)+SUMIF(Mercado_Receita!$S$2:$S$587,"44682BGeraçãoNão se aplicaNão se aplicaAPENão se aplicaNão se aplica",Mercado_Receita!$J$2:$J$587)</f>
        <v>0</v>
      </c>
      <c r="R13" s="13">
        <f>SUMIF(Mercado_Receita!$S$2:$S$587,"44713BGeraçãoNão se aplicaNão se aplicaTIPO 02Não se aplicaNão se aplica",Mercado_Receita!$J$2:$J$587)+SUMIF(Mercado_Receita!$S$2:$S$587,"44713BGeraçãoNão se aplicaNão se aplicaAPENão se aplicaNão se aplica",Mercado_Receita!$J$2:$J$587)</f>
        <v>0</v>
      </c>
      <c r="S13" s="13">
        <f>SUMIF(Mercado_Receita!$S$2:$S$587,"44743BGeraçãoNão se aplicaNão se aplicaTIPO 02Não se aplicaNão se aplica",Mercado_Receita!$J$2:$J$587)+SUMIF(Mercado_Receita!$S$2:$S$587,"44743BGeraçãoNão se aplicaNão se aplicaAPENão se aplicaNão se aplica",Mercado_Receita!$J$2:$J$587)</f>
        <v>0</v>
      </c>
      <c r="T13" s="13">
        <f>SUMIF(Mercado_Receita!$S$2:$S$587,"44774BGeraçãoNão se aplicaNão se aplicaTIPO 02Não se aplicaNão se aplica",Mercado_Receita!$J$2:$J$587)+SUMIF(Mercado_Receita!$S$2:$S$587,"44774BGeraçãoNão se aplicaNão se aplicaAPENão se aplicaNão se aplica",Mercado_Receita!$J$2:$J$587)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5" t="s">
        <v>22</v>
      </c>
      <c r="B14" s="75" t="s">
        <v>33</v>
      </c>
      <c r="C14" s="75" t="s">
        <v>24</v>
      </c>
      <c r="D14" s="75" t="s">
        <v>24</v>
      </c>
      <c r="E14" s="75" t="s">
        <v>25</v>
      </c>
      <c r="F14" s="75" t="s">
        <v>25</v>
      </c>
      <c r="G14" s="13" t="s">
        <v>468</v>
      </c>
      <c r="H14" s="13" t="s">
        <v>467</v>
      </c>
      <c r="I14" s="13">
        <f>SUMIF(Mercado_Receita!$S$2:$S$587,"44440B1BrancaResidencialResidencialNão se aplicaNão se aplicaPonta",Mercado_Receita!$L$2:$L$587)</f>
        <v>0.03</v>
      </c>
      <c r="J14" s="13">
        <f>SUMIF(Mercado_Receita!$S$2:$S$587,"44470B1BrancaResidencialResidencialNão se aplicaNão se aplicaPonta",Mercado_Receita!$L$2:$L$587)</f>
        <v>2.1000000000000001E-2</v>
      </c>
      <c r="K14" s="13">
        <f>SUMIF(Mercado_Receita!$S$2:$S$587,"44501B1BrancaResidencialResidencialNão se aplicaNão se aplicaPonta",Mercado_Receita!$L$2:$L$587)</f>
        <v>0.11600000000000001</v>
      </c>
      <c r="L14" s="13">
        <f>SUMIF(Mercado_Receita!$S$2:$S$587,"44531B1BrancaResidencialResidencialNão se aplicaNão se aplicaPonta",Mercado_Receita!$L$2:$L$587)</f>
        <v>0.03</v>
      </c>
      <c r="M14" s="13">
        <f>SUMIF(Mercado_Receita!$S$2:$S$587,"44562B1BrancaResidencialResidencialNão se aplicaNão se aplicaPonta",Mercado_Receita!$L$2:$L$587)</f>
        <v>4.7E-2</v>
      </c>
      <c r="N14" s="13">
        <f>SUMIF(Mercado_Receita!$S$2:$S$587,"44593B1BrancaResidencialResidencialNão se aplicaNão se aplicaPonta",Mercado_Receita!$L$2:$L$587)</f>
        <v>4.2000000000000003E-2</v>
      </c>
      <c r="O14" s="13">
        <f>SUMIF(Mercado_Receita!$S$2:$S$587,"44621B1BrancaResidencialResidencialNão se aplicaNão se aplicaPonta",Mercado_Receita!$L$2:$L$587)</f>
        <v>5.7000000000000002E-2</v>
      </c>
      <c r="P14" s="13">
        <f>SUMIF(Mercado_Receita!$S$2:$S$587,"44652B1BrancaResidencialResidencialNão se aplicaNão se aplicaPonta",Mercado_Receita!$L$2:$L$587)</f>
        <v>3.9E-2</v>
      </c>
      <c r="Q14" s="13">
        <f>SUMIF(Mercado_Receita!$S$2:$S$587,"44682B1BrancaResidencialResidencialNão se aplicaNão se aplicaPonta",Mercado_Receita!$L$2:$L$587)</f>
        <v>2.3E-2</v>
      </c>
      <c r="R14" s="13">
        <f>SUMIF(Mercado_Receita!$S$2:$S$587,"44713B1BrancaResidencialResidencialNão se aplicaNão se aplicaPonta",Mercado_Receita!$L$2:$L$587)</f>
        <v>2.5999999999999999E-2</v>
      </c>
      <c r="S14" s="13">
        <f>SUMIF(Mercado_Receita!$S$2:$S$587,"44743B1BrancaResidencialResidencialNão se aplicaNão se aplicaPonta",Mercado_Receita!$L$2:$L$587)</f>
        <v>2.5000000000000001E-2</v>
      </c>
      <c r="T14" s="13">
        <f>SUMIF(Mercado_Receita!$S$2:$S$587,"44774B1BrancaResidencialResidencialNão se aplicaNão se aplicaPonta",Mercado_Receita!$L$2:$L$587)</f>
        <v>3.9E-2</v>
      </c>
      <c r="U14" s="13">
        <f t="shared" si="0"/>
        <v>0.495</v>
      </c>
      <c r="V14" s="13"/>
      <c r="W14" s="13"/>
    </row>
    <row r="15" spans="1:30" ht="11.25" customHeight="1" x14ac:dyDescent="0.3">
      <c r="A15" s="76"/>
      <c r="B15" s="76"/>
      <c r="C15" s="76"/>
      <c r="D15" s="76"/>
      <c r="E15" s="76"/>
      <c r="F15" s="76"/>
      <c r="G15" s="13" t="s">
        <v>480</v>
      </c>
      <c r="H15" s="13" t="s">
        <v>467</v>
      </c>
      <c r="I15" s="13">
        <f>SUMIF(Mercado_Receita!$S$2:$S$587,"44440B1BrancaResidencialResidencialNão se aplicaNão se aplicaIntermediário",Mercado_Receita!$L$2:$L$587)</f>
        <v>1.9E-2</v>
      </c>
      <c r="J15" s="13">
        <f>SUMIF(Mercado_Receita!$S$2:$S$587,"44470B1BrancaResidencialResidencialNão se aplicaNão se aplicaIntermediário",Mercado_Receita!$L$2:$L$587)</f>
        <v>1.6E-2</v>
      </c>
      <c r="K15" s="13">
        <f>SUMIF(Mercado_Receita!$S$2:$S$587,"44501B1BrancaResidencialResidencialNão se aplicaNão se aplicaIntermediário",Mercado_Receita!$L$2:$L$587)</f>
        <v>2.4E-2</v>
      </c>
      <c r="L15" s="13">
        <f>SUMIF(Mercado_Receita!$S$2:$S$587,"44531B1BrancaResidencialResidencialNão se aplicaNão se aplicaIntermediário",Mercado_Receita!$L$2:$L$587)</f>
        <v>1.4999999999999999E-2</v>
      </c>
      <c r="M15" s="13">
        <f>SUMIF(Mercado_Receita!$S$2:$S$587,"44562B1BrancaResidencialResidencialNão se aplicaNão se aplicaIntermediário",Mercado_Receita!$L$2:$L$587)</f>
        <v>3.4000000000000002E-2</v>
      </c>
      <c r="N15" s="13">
        <f>SUMIF(Mercado_Receita!$S$2:$S$587,"44593B1BrancaResidencialResidencialNão se aplicaNão se aplicaIntermediário",Mercado_Receita!$L$2:$L$587)</f>
        <v>2.1999999999999999E-2</v>
      </c>
      <c r="O15" s="13">
        <f>SUMIF(Mercado_Receita!$S$2:$S$587,"44621B1BrancaResidencialResidencialNão se aplicaNão se aplicaIntermediário",Mercado_Receita!$L$2:$L$587)</f>
        <v>3.6999999999999998E-2</v>
      </c>
      <c r="P15" s="13">
        <f>SUMIF(Mercado_Receita!$S$2:$S$587,"44652B1BrancaResidencialResidencialNão se aplicaNão se aplicaIntermediário",Mercado_Receita!$L$2:$L$587)</f>
        <v>2.1999999999999999E-2</v>
      </c>
      <c r="Q15" s="13">
        <f>SUMIF(Mercado_Receita!$S$2:$S$587,"44682B1BrancaResidencialResidencialNão se aplicaNão se aplicaIntermediário",Mercado_Receita!$L$2:$L$587)</f>
        <v>1.2E-2</v>
      </c>
      <c r="R15" s="13">
        <f>SUMIF(Mercado_Receita!$S$2:$S$587,"44713B1BrancaResidencialResidencialNão se aplicaNão se aplicaIntermediário",Mercado_Receita!$L$2:$L$587)</f>
        <v>1.4999999999999999E-2</v>
      </c>
      <c r="S15" s="13">
        <f>SUMIF(Mercado_Receita!$S$2:$S$587,"44743B1BrancaResidencialResidencialNão se aplicaNão se aplicaIntermediário",Mercado_Receita!$L$2:$L$587)</f>
        <v>1.2999999999999999E-2</v>
      </c>
      <c r="T15" s="13">
        <f>SUMIF(Mercado_Receita!$S$2:$S$587,"44774B1BrancaResidencialResidencialNão se aplicaNão se aplicaIntermediário",Mercado_Receita!$L$2:$L$587)</f>
        <v>1.9E-2</v>
      </c>
      <c r="U15" s="13">
        <f t="shared" si="0"/>
        <v>0.24800000000000003</v>
      </c>
      <c r="V15" s="13"/>
      <c r="W15" s="13"/>
    </row>
    <row r="16" spans="1:30" ht="11.25" customHeight="1" x14ac:dyDescent="0.3">
      <c r="A16" s="76"/>
      <c r="B16" s="76"/>
      <c r="C16" s="76"/>
      <c r="D16" s="76"/>
      <c r="E16" s="76"/>
      <c r="F16" s="76"/>
      <c r="G16" s="13" t="s">
        <v>469</v>
      </c>
      <c r="H16" s="13" t="s">
        <v>467</v>
      </c>
      <c r="I16" s="13">
        <f>SUMIF(Mercado_Receita!$S$2:$S$587,"44440B1BrancaResidencialResidencialNão se aplicaNão se aplicaFora ponta",Mercado_Receita!$L$2:$L$587)</f>
        <v>0.65800000000000003</v>
      </c>
      <c r="J16" s="13">
        <f>SUMIF(Mercado_Receita!$S$2:$S$587,"44470B1BrancaResidencialResidencialNão se aplicaNão se aplicaFora ponta",Mercado_Receita!$L$2:$L$587)</f>
        <v>0.63500000000000001</v>
      </c>
      <c r="K16" s="13">
        <f>SUMIF(Mercado_Receita!$S$2:$S$587,"44501B1BrancaResidencialResidencialNão se aplicaNão se aplicaFora ponta",Mercado_Receita!$L$2:$L$587)</f>
        <v>0.67700000000000005</v>
      </c>
      <c r="L16" s="13">
        <f>SUMIF(Mercado_Receita!$S$2:$S$587,"44531B1BrancaResidencialResidencialNão se aplicaNão se aplicaFora ponta",Mercado_Receita!$L$2:$L$587)</f>
        <v>0.71799999999999997</v>
      </c>
      <c r="M16" s="13">
        <f>SUMIF(Mercado_Receita!$S$2:$S$587,"44562B1BrancaResidencialResidencialNão se aplicaNão se aplicaFora ponta",Mercado_Receita!$L$2:$L$587)</f>
        <v>0.748</v>
      </c>
      <c r="N16" s="13">
        <f>SUMIF(Mercado_Receita!$S$2:$S$587,"44593B1BrancaResidencialResidencialNão se aplicaNão se aplicaFora ponta",Mercado_Receita!$L$2:$L$587)</f>
        <v>0.68100000000000005</v>
      </c>
      <c r="O16" s="13">
        <f>SUMIF(Mercado_Receita!$S$2:$S$587,"44621B1BrancaResidencialResidencialNão se aplicaNão se aplicaFora ponta",Mercado_Receita!$L$2:$L$587)</f>
        <v>0.78400000000000003</v>
      </c>
      <c r="P16" s="13">
        <f>SUMIF(Mercado_Receita!$S$2:$S$587,"44652B1BrancaResidencialResidencialNão se aplicaNão se aplicaFora ponta",Mercado_Receita!$L$2:$L$587)</f>
        <v>0.44600000000000001</v>
      </c>
      <c r="Q16" s="13">
        <f>SUMIF(Mercado_Receita!$S$2:$S$587,"44682B1BrancaResidencialResidencialNão se aplicaNão se aplicaFora ponta",Mercado_Receita!$L$2:$L$587)</f>
        <v>0.29599999999999999</v>
      </c>
      <c r="R16" s="13">
        <f>SUMIF(Mercado_Receita!$S$2:$S$587,"44713B1BrancaResidencialResidencialNão se aplicaNão se aplicaFora ponta",Mercado_Receita!$L$2:$L$587)</f>
        <v>0.28299999999999997</v>
      </c>
      <c r="S16" s="13">
        <f>SUMIF(Mercado_Receita!$S$2:$S$587,"44743B1BrancaResidencialResidencialNão se aplicaNão se aplicaFora ponta",Mercado_Receita!$L$2:$L$587)</f>
        <v>0.26400000000000001</v>
      </c>
      <c r="T16" s="13">
        <f>SUMIF(Mercado_Receita!$S$2:$S$587,"44774B1BrancaResidencialResidencialNão se aplicaNão se aplicaFora ponta",Mercado_Receita!$L$2:$L$587)</f>
        <v>0.35499999999999998</v>
      </c>
      <c r="U16" s="13">
        <f t="shared" si="0"/>
        <v>6.5449999999999999</v>
      </c>
      <c r="V16" s="13"/>
      <c r="W16" s="13"/>
    </row>
    <row r="17" spans="1:23" ht="11.25" customHeight="1" x14ac:dyDescent="0.3">
      <c r="A17" s="76"/>
      <c r="B17" s="75" t="s">
        <v>23</v>
      </c>
      <c r="C17" s="75" t="s">
        <v>24</v>
      </c>
      <c r="D17" s="12" t="s">
        <v>24</v>
      </c>
      <c r="E17" s="12" t="s">
        <v>25</v>
      </c>
      <c r="F17" s="12" t="s">
        <v>25</v>
      </c>
      <c r="G17" s="13" t="s">
        <v>474</v>
      </c>
      <c r="H17" s="13" t="s">
        <v>467</v>
      </c>
      <c r="I17" s="13">
        <f>SUMIF(Mercado_Receita!$S$2:$S$587,"44440B1ConvencionalResidencialResidencialNão se aplicaNão se aplicaPonta",Mercado_Receita!$L$2:$L$587)+SUMIF(Mercado_Receita!$S$2:$S$587,"44440B1ConvencionalResidencialResidencialNão se aplicaNão se aplicaFora ponta",Mercado_Receita!$L$2:$L$587)+SUMIF(Mercado_Receita!$S$2:$S$587,"44440B1ConvencionalResidencialResidencialNão se aplicaNão se aplicaIntermediário",Mercado_Receita!$L$2:$L$587)+SUMIF(Mercado_Receita!$S$2:$S$587,"44440B1ConvencionalResidencialResidencialNão se aplicaNão se aplicaNão se aplica",Mercado_Receita!$L$2:$L$587)</f>
        <v>2247.0259999999998</v>
      </c>
      <c r="J17" s="13">
        <f>SUMIF(Mercado_Receita!$S$2:$S$587,"44470B1ConvencionalResidencialResidencialNão se aplicaNão se aplicaPonta",Mercado_Receita!$L$2:$L$587)+SUMIF(Mercado_Receita!$S$2:$S$587,"44470B1ConvencionalResidencialResidencialNão se aplicaNão se aplicaFora ponta",Mercado_Receita!$L$2:$L$587)+SUMIF(Mercado_Receita!$S$2:$S$587,"44470B1ConvencionalResidencialResidencialNão se aplicaNão se aplicaIntermediário",Mercado_Receita!$L$2:$L$587)+SUMIF(Mercado_Receita!$S$2:$S$587,"44470B1ConvencionalResidencialResidencialNão se aplicaNão se aplicaNão se aplica",Mercado_Receita!$L$2:$L$587)</f>
        <v>2189.7110000000002</v>
      </c>
      <c r="K17" s="13">
        <f>SUMIF(Mercado_Receita!$S$2:$S$587,"44501B1ConvencionalResidencialResidencialNão se aplicaNão se aplicaPonta",Mercado_Receita!$L$2:$L$587)+SUMIF(Mercado_Receita!$S$2:$S$587,"44501B1ConvencionalResidencialResidencialNão se aplicaNão se aplicaFora ponta",Mercado_Receita!$L$2:$L$587)+SUMIF(Mercado_Receita!$S$2:$S$587,"44501B1ConvencionalResidencialResidencialNão se aplicaNão se aplicaIntermediário",Mercado_Receita!$L$2:$L$587)+SUMIF(Mercado_Receita!$S$2:$S$587,"44501B1ConvencionalResidencialResidencialNão se aplicaNão se aplicaNão se aplica",Mercado_Receita!$L$2:$L$587)</f>
        <v>2286.5899999999997</v>
      </c>
      <c r="L17" s="13">
        <f>SUMIF(Mercado_Receita!$S$2:$S$587,"44531B1ConvencionalResidencialResidencialNão se aplicaNão se aplicaPonta",Mercado_Receita!$L$2:$L$587)+SUMIF(Mercado_Receita!$S$2:$S$587,"44531B1ConvencionalResidencialResidencialNão se aplicaNão se aplicaFora ponta",Mercado_Receita!$L$2:$L$587)+SUMIF(Mercado_Receita!$S$2:$S$587,"44531B1ConvencionalResidencialResidencialNão se aplicaNão se aplicaIntermediário",Mercado_Receita!$L$2:$L$587)+SUMIF(Mercado_Receita!$S$2:$S$587,"44531B1ConvencionalResidencialResidencialNão se aplicaNão se aplicaNão se aplica",Mercado_Receita!$L$2:$L$587)</f>
        <v>2152.848</v>
      </c>
      <c r="M17" s="13">
        <f>SUMIF(Mercado_Receita!$S$2:$S$587,"44562B1ConvencionalResidencialResidencialNão se aplicaNão se aplicaPonta",Mercado_Receita!$L$2:$L$587)+SUMIF(Mercado_Receita!$S$2:$S$587,"44562B1ConvencionalResidencialResidencialNão se aplicaNão se aplicaFora ponta",Mercado_Receita!$L$2:$L$587)+SUMIF(Mercado_Receita!$S$2:$S$587,"44562B1ConvencionalResidencialResidencialNão se aplicaNão se aplicaIntermediário",Mercado_Receita!$L$2:$L$587)+SUMIF(Mercado_Receita!$S$2:$S$587,"44562B1ConvencionalResidencialResidencialNão se aplicaNão se aplicaNão se aplica",Mercado_Receita!$L$2:$L$587)</f>
        <v>3158.25</v>
      </c>
      <c r="N17" s="13">
        <f>SUMIF(Mercado_Receita!$S$2:$S$587,"44593B1ConvencionalResidencialResidencialNão se aplicaNão se aplicaPonta",Mercado_Receita!$L$2:$L$587)+SUMIF(Mercado_Receita!$S$2:$S$587,"44593B1ConvencionalResidencialResidencialNão se aplicaNão se aplicaFora ponta",Mercado_Receita!$L$2:$L$587)+SUMIF(Mercado_Receita!$S$2:$S$587,"44593B1ConvencionalResidencialResidencialNão se aplicaNão se aplicaIntermediário",Mercado_Receita!$L$2:$L$587)+SUMIF(Mercado_Receita!$S$2:$S$587,"44593B1ConvencionalResidencialResidencialNão se aplicaNão se aplicaNão se aplica",Mercado_Receita!$L$2:$L$587)</f>
        <v>3249.6979999999999</v>
      </c>
      <c r="O17" s="13">
        <f>SUMIF(Mercado_Receita!$S$2:$S$587,"44621B1ConvencionalResidencialResidencialNão se aplicaNão se aplicaPonta",Mercado_Receita!$L$2:$L$587)+SUMIF(Mercado_Receita!$S$2:$S$587,"44621B1ConvencionalResidencialResidencialNão se aplicaNão se aplicaFora ponta",Mercado_Receita!$L$2:$L$587)+SUMIF(Mercado_Receita!$S$2:$S$587,"44621B1ConvencionalResidencialResidencialNão se aplicaNão se aplicaIntermediário",Mercado_Receita!$L$2:$L$587)+SUMIF(Mercado_Receita!$S$2:$S$587,"44621B1ConvencionalResidencialResidencialNão se aplicaNão se aplicaNão se aplica",Mercado_Receita!$L$2:$L$587)</f>
        <v>3140.4129999999996</v>
      </c>
      <c r="P17" s="13">
        <f>SUMIF(Mercado_Receita!$S$2:$S$587,"44652B1ConvencionalResidencialResidencialNão se aplicaNão se aplicaPonta",Mercado_Receita!$L$2:$L$587)+SUMIF(Mercado_Receita!$S$2:$S$587,"44652B1ConvencionalResidencialResidencialNão se aplicaNão se aplicaFora ponta",Mercado_Receita!$L$2:$L$587)+SUMIF(Mercado_Receita!$S$2:$S$587,"44652B1ConvencionalResidencialResidencialNão se aplicaNão se aplicaIntermediário",Mercado_Receita!$L$2:$L$587)+SUMIF(Mercado_Receita!$S$2:$S$587,"44652B1ConvencionalResidencialResidencialNão se aplicaNão se aplicaNão se aplica",Mercado_Receita!$L$2:$L$587)</f>
        <v>2434.1349999999998</v>
      </c>
      <c r="Q17" s="13">
        <f>SUMIF(Mercado_Receita!$S$2:$S$587,"44682B1ConvencionalResidencialResidencialNão se aplicaNão se aplicaPonta",Mercado_Receita!$L$2:$L$587)+SUMIF(Mercado_Receita!$S$2:$S$587,"44682B1ConvencionalResidencialResidencialNão se aplicaNão se aplicaFora ponta",Mercado_Receita!$L$2:$L$587)+SUMIF(Mercado_Receita!$S$2:$S$587,"44682B1ConvencionalResidencialResidencialNão se aplicaNão se aplicaIntermediário",Mercado_Receita!$L$2:$L$587)+SUMIF(Mercado_Receita!$S$2:$S$587,"44682B1ConvencionalResidencialResidencialNão se aplicaNão se aplicaNão se aplica",Mercado_Receita!$L$2:$L$587)</f>
        <v>2241.8179999999998</v>
      </c>
      <c r="R17" s="13">
        <f>SUMIF(Mercado_Receita!$S$2:$S$587,"44713B1ConvencionalResidencialResidencialNão se aplicaNão se aplicaPonta",Mercado_Receita!$L$2:$L$587)+SUMIF(Mercado_Receita!$S$2:$S$587,"44713B1ConvencionalResidencialResidencialNão se aplicaNão se aplicaFora ponta",Mercado_Receita!$L$2:$L$587)+SUMIF(Mercado_Receita!$S$2:$S$587,"44713B1ConvencionalResidencialResidencialNão se aplicaNão se aplicaIntermediário",Mercado_Receita!$L$2:$L$587)+SUMIF(Mercado_Receita!$S$2:$S$587,"44713B1ConvencionalResidencialResidencialNão se aplicaNão se aplicaNão se aplica",Mercado_Receita!$L$2:$L$587)</f>
        <v>2309.0410000000002</v>
      </c>
      <c r="S17" s="13">
        <f>SUMIF(Mercado_Receita!$S$2:$S$587,"44743B1ConvencionalResidencialResidencialNão se aplicaNão se aplicaPonta",Mercado_Receita!$L$2:$L$587)+SUMIF(Mercado_Receita!$S$2:$S$587,"44743B1ConvencionalResidencialResidencialNão se aplicaNão se aplicaFora ponta",Mercado_Receita!$L$2:$L$587)+SUMIF(Mercado_Receita!$S$2:$S$587,"44743B1ConvencionalResidencialResidencialNão se aplicaNão se aplicaIntermediário",Mercado_Receita!$L$2:$L$587)+SUMIF(Mercado_Receita!$S$2:$S$587,"44743B1ConvencionalResidencialResidencialNão se aplicaNão se aplicaNão se aplica",Mercado_Receita!$L$2:$L$587)</f>
        <v>2024.49</v>
      </c>
      <c r="T17" s="13">
        <f>SUMIF(Mercado_Receita!$S$2:$S$587,"44774B1ConvencionalResidencialResidencialNão se aplicaNão se aplicaPonta",Mercado_Receita!$L$2:$L$587)+SUMIF(Mercado_Receita!$S$2:$S$587,"44774B1ConvencionalResidencialResidencialNão se aplicaNão se aplicaFora ponta",Mercado_Receita!$L$2:$L$587)+SUMIF(Mercado_Receita!$S$2:$S$587,"44774B1ConvencionalResidencialResidencialNão se aplicaNão se aplicaIntermediário",Mercado_Receita!$L$2:$L$587)+SUMIF(Mercado_Receita!$S$2:$S$587,"44774B1ConvencionalResidencialResidencialNão se aplicaNão se aplicaNão se aplica",Mercado_Receita!$L$2:$L$587)</f>
        <v>2303.9659999999999</v>
      </c>
      <c r="U17" s="13">
        <f t="shared" si="0"/>
        <v>29737.986000000001</v>
      </c>
      <c r="V17" s="13"/>
      <c r="W17" s="13"/>
    </row>
    <row r="18" spans="1:23" ht="11.25" customHeight="1" x14ac:dyDescent="0.3">
      <c r="A18" s="76"/>
      <c r="B18" s="76"/>
      <c r="C18" s="76"/>
      <c r="D18" s="12" t="s">
        <v>29</v>
      </c>
      <c r="E18" s="12" t="s">
        <v>25</v>
      </c>
      <c r="F18" s="12" t="s">
        <v>25</v>
      </c>
      <c r="G18" s="13" t="s">
        <v>474</v>
      </c>
      <c r="H18" s="13" t="s">
        <v>467</v>
      </c>
      <c r="I18" s="13">
        <f>SUMIF(Mercado_Receita!$S$2:$S$587,"44440B1ConvencionalResidencialResidencial baixa renda – faixa 01Não se aplicaNão se aplicaPonta",Mercado_Receita!$L$2:$L$587)+SUMIF(Mercado_Receita!$S$2:$S$587,"44440B1ConvencionalResidencialResidencial baixa renda – faixa 01Não se aplicaNão se aplicaFora ponta",Mercado_Receita!$L$2:$L$587)+SUMIF(Mercado_Receita!$S$2:$S$587,"44440B1ConvencionalResidencialResidencial baixa renda – faixa 01Não se aplicaNão se aplicaIntermediário",Mercado_Receita!$L$2:$L$587)+SUMIF(Mercado_Receita!$S$2:$S$587,"44440B1ConvencionalResidencialResidencial baixa renda – faixa 01Não se aplicaNão se aplicaNão se aplica",Mercado_Receita!$L$2:$L$587)</f>
        <v>5.7</v>
      </c>
      <c r="J18" s="13">
        <f>SUMIF(Mercado_Receita!$S$2:$S$587,"44470B1ConvencionalResidencialResidencial baixa renda – faixa 01Não se aplicaNão se aplicaPonta",Mercado_Receita!$L$2:$L$587)+SUMIF(Mercado_Receita!$S$2:$S$587,"44470B1ConvencionalResidencialResidencial baixa renda – faixa 01Não se aplicaNão se aplicaFora ponta",Mercado_Receita!$L$2:$L$587)+SUMIF(Mercado_Receita!$S$2:$S$587,"44470B1ConvencionalResidencialResidencial baixa renda – faixa 01Não se aplicaNão se aplicaIntermediário",Mercado_Receita!$L$2:$L$587)+SUMIF(Mercado_Receita!$S$2:$S$587,"44470B1ConvencionalResidencialResidencial baixa renda – faixa 01Não se aplicaNão se aplicaNão se aplica",Mercado_Receita!$L$2:$L$587)</f>
        <v>5.7</v>
      </c>
      <c r="K18" s="13">
        <f>SUMIF(Mercado_Receita!$S$2:$S$587,"44501B1ConvencionalResidencialResidencial baixa renda – faixa 01Não se aplicaNão se aplicaPonta",Mercado_Receita!$L$2:$L$587)+SUMIF(Mercado_Receita!$S$2:$S$587,"44501B1ConvencionalResidencialResidencial baixa renda – faixa 01Não se aplicaNão se aplicaFora ponta",Mercado_Receita!$L$2:$L$587)+SUMIF(Mercado_Receita!$S$2:$S$587,"44501B1ConvencionalResidencialResidencial baixa renda – faixa 01Não se aplicaNão se aplicaIntermediário",Mercado_Receita!$L$2:$L$587)+SUMIF(Mercado_Receita!$S$2:$S$587,"44501B1ConvencionalResidencialResidencial baixa renda – faixa 01Não se aplicaNão se aplicaNão se aplica",Mercado_Receita!$L$2:$L$587)</f>
        <v>5.82</v>
      </c>
      <c r="L18" s="13">
        <f>SUMIF(Mercado_Receita!$S$2:$S$587,"44531B1ConvencionalResidencialResidencial baixa renda – faixa 01Não se aplicaNão se aplicaPonta",Mercado_Receita!$L$2:$L$587)+SUMIF(Mercado_Receita!$S$2:$S$587,"44531B1ConvencionalResidencialResidencial baixa renda – faixa 01Não se aplicaNão se aplicaFora ponta",Mercado_Receita!$L$2:$L$587)+SUMIF(Mercado_Receita!$S$2:$S$587,"44531B1ConvencionalResidencialResidencial baixa renda – faixa 01Não se aplicaNão se aplicaIntermediário",Mercado_Receita!$L$2:$L$587)+SUMIF(Mercado_Receita!$S$2:$S$587,"44531B1ConvencionalResidencialResidencial baixa renda – faixa 01Não se aplicaNão se aplicaNão se aplica",Mercado_Receita!$L$2:$L$587)</f>
        <v>5.79</v>
      </c>
      <c r="M18" s="13">
        <f>SUMIF(Mercado_Receita!$S$2:$S$587,"44562B1ConvencionalResidencialResidencial baixa renda – faixa 01Não se aplicaNão se aplicaPonta",Mercado_Receita!$L$2:$L$587)+SUMIF(Mercado_Receita!$S$2:$S$587,"44562B1ConvencionalResidencialResidencial baixa renda – faixa 01Não se aplicaNão se aplicaFora ponta",Mercado_Receita!$L$2:$L$587)+SUMIF(Mercado_Receita!$S$2:$S$587,"44562B1ConvencionalResidencialResidencial baixa renda – faixa 01Não se aplicaNão se aplicaIntermediário",Mercado_Receita!$L$2:$L$587)+SUMIF(Mercado_Receita!$S$2:$S$587,"44562B1ConvencionalResidencialResidencial baixa renda – faixa 01Não se aplicaNão se aplicaNão se aplica",Mercado_Receita!$L$2:$L$587)</f>
        <v>5.73</v>
      </c>
      <c r="N18" s="13">
        <f>SUMIF(Mercado_Receita!$S$2:$S$587,"44593B1ConvencionalResidencialResidencial baixa renda – faixa 01Não se aplicaNão se aplicaPonta",Mercado_Receita!$L$2:$L$587)+SUMIF(Mercado_Receita!$S$2:$S$587,"44593B1ConvencionalResidencialResidencial baixa renda – faixa 01Não se aplicaNão se aplicaFora ponta",Mercado_Receita!$L$2:$L$587)+SUMIF(Mercado_Receita!$S$2:$S$587,"44593B1ConvencionalResidencialResidencial baixa renda – faixa 01Não se aplicaNão se aplicaIntermediário",Mercado_Receita!$L$2:$L$587)+SUMIF(Mercado_Receita!$S$2:$S$587,"44593B1ConvencionalResidencialResidencial baixa renda – faixa 01Não se aplicaNão se aplicaNão se aplica",Mercado_Receita!$L$2:$L$587)</f>
        <v>5.85</v>
      </c>
      <c r="O18" s="13">
        <f>SUMIF(Mercado_Receita!$S$2:$S$587,"44621B1ConvencionalResidencialResidencial baixa renda – faixa 01Não se aplicaNão se aplicaPonta",Mercado_Receita!$L$2:$L$587)+SUMIF(Mercado_Receita!$S$2:$S$587,"44621B1ConvencionalResidencialResidencial baixa renda – faixa 01Não se aplicaNão se aplicaFora ponta",Mercado_Receita!$L$2:$L$587)+SUMIF(Mercado_Receita!$S$2:$S$587,"44621B1ConvencionalResidencialResidencial baixa renda – faixa 01Não se aplicaNão se aplicaIntermediário",Mercado_Receita!$L$2:$L$587)+SUMIF(Mercado_Receita!$S$2:$S$587,"44621B1ConvencionalResidencialResidencial baixa renda – faixa 01Não se aplicaNão se aplicaNão se aplica",Mercado_Receita!$L$2:$L$587)</f>
        <v>6</v>
      </c>
      <c r="P18" s="13">
        <f>SUMIF(Mercado_Receita!$S$2:$S$587,"44652B1ConvencionalResidencialResidencial baixa renda – faixa 01Não se aplicaNão se aplicaPonta",Mercado_Receita!$L$2:$L$587)+SUMIF(Mercado_Receita!$S$2:$S$587,"44652B1ConvencionalResidencialResidencial baixa renda – faixa 01Não se aplicaNão se aplicaFora ponta",Mercado_Receita!$L$2:$L$587)+SUMIF(Mercado_Receita!$S$2:$S$587,"44652B1ConvencionalResidencialResidencial baixa renda – faixa 01Não se aplicaNão se aplicaIntermediário",Mercado_Receita!$L$2:$L$587)+SUMIF(Mercado_Receita!$S$2:$S$587,"44652B1ConvencionalResidencialResidencial baixa renda – faixa 01Não se aplicaNão se aplicaNão se aplica",Mercado_Receita!$L$2:$L$587)</f>
        <v>8.82</v>
      </c>
      <c r="Q18" s="13">
        <f>SUMIF(Mercado_Receita!$S$2:$S$587,"44682B1ConvencionalResidencialResidencial baixa renda – faixa 01Não se aplicaNão se aplicaPonta",Mercado_Receita!$L$2:$L$587)+SUMIF(Mercado_Receita!$S$2:$S$587,"44682B1ConvencionalResidencialResidencial baixa renda – faixa 01Não se aplicaNão se aplicaFora ponta",Mercado_Receita!$L$2:$L$587)+SUMIF(Mercado_Receita!$S$2:$S$587,"44682B1ConvencionalResidencialResidencial baixa renda – faixa 01Não se aplicaNão se aplicaIntermediário",Mercado_Receita!$L$2:$L$587)+SUMIF(Mercado_Receita!$S$2:$S$587,"44682B1ConvencionalResidencialResidencial baixa renda – faixa 01Não se aplicaNão se aplicaNão se aplica",Mercado_Receita!$L$2:$L$587)</f>
        <v>8.82</v>
      </c>
      <c r="R18" s="13">
        <f>SUMIF(Mercado_Receita!$S$2:$S$587,"44713B1ConvencionalResidencialResidencial baixa renda – faixa 01Não se aplicaNão se aplicaPonta",Mercado_Receita!$L$2:$L$587)+SUMIF(Mercado_Receita!$S$2:$S$587,"44713B1ConvencionalResidencialResidencial baixa renda – faixa 01Não se aplicaNão se aplicaFora ponta",Mercado_Receita!$L$2:$L$587)+SUMIF(Mercado_Receita!$S$2:$S$587,"44713B1ConvencionalResidencialResidencial baixa renda – faixa 01Não se aplicaNão se aplicaIntermediário",Mercado_Receita!$L$2:$L$587)+SUMIF(Mercado_Receita!$S$2:$S$587,"44713B1ConvencionalResidencialResidencial baixa renda – faixa 01Não se aplicaNão se aplicaNão se aplica",Mercado_Receita!$L$2:$L$587)</f>
        <v>8.58</v>
      </c>
      <c r="S18" s="13">
        <f>SUMIF(Mercado_Receita!$S$2:$S$587,"44743B1ConvencionalResidencialResidencial baixa renda – faixa 01Não se aplicaNão se aplicaPonta",Mercado_Receita!$L$2:$L$587)+SUMIF(Mercado_Receita!$S$2:$S$587,"44743B1ConvencionalResidencialResidencial baixa renda – faixa 01Não se aplicaNão se aplicaFora ponta",Mercado_Receita!$L$2:$L$587)+SUMIF(Mercado_Receita!$S$2:$S$587,"44743B1ConvencionalResidencialResidencial baixa renda – faixa 01Não se aplicaNão se aplicaIntermediário",Mercado_Receita!$L$2:$L$587)+SUMIF(Mercado_Receita!$S$2:$S$587,"44743B1ConvencionalResidencialResidencial baixa renda – faixa 01Não se aplicaNão se aplicaNão se aplica",Mercado_Receita!$L$2:$L$587)</f>
        <v>8.3230000000000004</v>
      </c>
      <c r="T18" s="13">
        <f>SUMIF(Mercado_Receita!$S$2:$S$587,"44774B1ConvencionalResidencialResidencial baixa renda – faixa 01Não se aplicaNão se aplicaPonta",Mercado_Receita!$L$2:$L$587)+SUMIF(Mercado_Receita!$S$2:$S$587,"44774B1ConvencionalResidencialResidencial baixa renda – faixa 01Não se aplicaNão se aplicaFora ponta",Mercado_Receita!$L$2:$L$587)+SUMIF(Mercado_Receita!$S$2:$S$587,"44774B1ConvencionalResidencialResidencial baixa renda – faixa 01Não se aplicaNão se aplicaIntermediário",Mercado_Receita!$L$2:$L$587)+SUMIF(Mercado_Receita!$S$2:$S$587,"44774B1ConvencionalResidencialResidencial baixa renda – faixa 01Não se aplicaNão se aplicaNão se aplica",Mercado_Receita!$L$2:$L$587)</f>
        <v>8.19</v>
      </c>
      <c r="U18" s="13">
        <f t="shared" si="0"/>
        <v>83.323000000000008</v>
      </c>
      <c r="V18" s="13"/>
      <c r="W18" s="13"/>
    </row>
    <row r="19" spans="1:23" ht="11.25" customHeight="1" x14ac:dyDescent="0.3">
      <c r="A19" s="76"/>
      <c r="B19" s="76"/>
      <c r="C19" s="76"/>
      <c r="D19" s="12" t="s">
        <v>30</v>
      </c>
      <c r="E19" s="12" t="s">
        <v>25</v>
      </c>
      <c r="F19" s="12" t="s">
        <v>25</v>
      </c>
      <c r="G19" s="13" t="s">
        <v>474</v>
      </c>
      <c r="H19" s="13" t="s">
        <v>467</v>
      </c>
      <c r="I19" s="13">
        <f>SUMIF(Mercado_Receita!$S$2:$S$587,"44440B1ConvencionalResidencialResidencial baixa renda – faixa 02Não se aplicaNão se aplicaPonta",Mercado_Receita!$L$2:$L$587)+SUMIF(Mercado_Receita!$S$2:$S$587,"44440B1ConvencionalResidencialResidencial baixa renda – faixa 02Não se aplicaNão se aplicaFora ponta",Mercado_Receita!$L$2:$L$587)+SUMIF(Mercado_Receita!$S$2:$S$587,"44440B1ConvencionalResidencialResidencial baixa renda – faixa 02Não se aplicaNão se aplicaIntermediário",Mercado_Receita!$L$2:$L$587)+SUMIF(Mercado_Receita!$S$2:$S$587,"44440B1ConvencionalResidencialResidencial baixa renda – faixa 02Não se aplicaNão se aplicaNão se aplica",Mercado_Receita!$L$2:$L$587)</f>
        <v>11.907999999999999</v>
      </c>
      <c r="J19" s="13">
        <f>SUMIF(Mercado_Receita!$S$2:$S$587,"44470B1ConvencionalResidencialResidencial baixa renda – faixa 02Não se aplicaNão se aplicaPonta",Mercado_Receita!$L$2:$L$587)+SUMIF(Mercado_Receita!$S$2:$S$587,"44470B1ConvencionalResidencialResidencial baixa renda – faixa 02Não se aplicaNão se aplicaFora ponta",Mercado_Receita!$L$2:$L$587)+SUMIF(Mercado_Receita!$S$2:$S$587,"44470B1ConvencionalResidencialResidencial baixa renda – faixa 02Não se aplicaNão se aplicaIntermediário",Mercado_Receita!$L$2:$L$587)+SUMIF(Mercado_Receita!$S$2:$S$587,"44470B1ConvencionalResidencialResidencial baixa renda – faixa 02Não se aplicaNão se aplicaNão se aplica",Mercado_Receita!$L$2:$L$587)</f>
        <v>11.816000000000001</v>
      </c>
      <c r="K19" s="13">
        <f>SUMIF(Mercado_Receita!$S$2:$S$587,"44501B1ConvencionalResidencialResidencial baixa renda – faixa 02Não se aplicaNão se aplicaPonta",Mercado_Receita!$L$2:$L$587)+SUMIF(Mercado_Receita!$S$2:$S$587,"44501B1ConvencionalResidencialResidencial baixa renda – faixa 02Não se aplicaNão se aplicaFora ponta",Mercado_Receita!$L$2:$L$587)+SUMIF(Mercado_Receita!$S$2:$S$587,"44501B1ConvencionalResidencialResidencial baixa renda – faixa 02Não se aplicaNão se aplicaIntermediário",Mercado_Receita!$L$2:$L$587)+SUMIF(Mercado_Receita!$S$2:$S$587,"44501B1ConvencionalResidencialResidencial baixa renda – faixa 02Não se aplicaNão se aplicaNão se aplica",Mercado_Receita!$L$2:$L$587)</f>
        <v>12.362</v>
      </c>
      <c r="L19" s="13">
        <f>SUMIF(Mercado_Receita!$S$2:$S$587,"44531B1ConvencionalResidencialResidencial baixa renda – faixa 02Não se aplicaNão se aplicaPonta",Mercado_Receita!$L$2:$L$587)+SUMIF(Mercado_Receita!$S$2:$S$587,"44531B1ConvencionalResidencialResidencial baixa renda – faixa 02Não se aplicaNão se aplicaFora ponta",Mercado_Receita!$L$2:$L$587)+SUMIF(Mercado_Receita!$S$2:$S$587,"44531B1ConvencionalResidencialResidencial baixa renda – faixa 02Não se aplicaNão se aplicaIntermediário",Mercado_Receita!$L$2:$L$587)+SUMIF(Mercado_Receita!$S$2:$S$587,"44531B1ConvencionalResidencialResidencial baixa renda – faixa 02Não se aplicaNão se aplicaNão se aplica",Mercado_Receita!$L$2:$L$587)</f>
        <v>12.407</v>
      </c>
      <c r="M19" s="13">
        <f>SUMIF(Mercado_Receita!$S$2:$S$587,"44562B1ConvencionalResidencialResidencial baixa renda – faixa 02Não se aplicaNão se aplicaPonta",Mercado_Receita!$L$2:$L$587)+SUMIF(Mercado_Receita!$S$2:$S$587,"44562B1ConvencionalResidencialResidencial baixa renda – faixa 02Não se aplicaNão se aplicaFora ponta",Mercado_Receita!$L$2:$L$587)+SUMIF(Mercado_Receita!$S$2:$S$587,"44562B1ConvencionalResidencialResidencial baixa renda – faixa 02Não se aplicaNão se aplicaIntermediário",Mercado_Receita!$L$2:$L$587)+SUMIF(Mercado_Receita!$S$2:$S$587,"44562B1ConvencionalResidencialResidencial baixa renda – faixa 02Não se aplicaNão se aplicaNão se aplica",Mercado_Receita!$L$2:$L$587)</f>
        <v>12.515000000000001</v>
      </c>
      <c r="N19" s="13">
        <f>SUMIF(Mercado_Receita!$S$2:$S$587,"44593B1ConvencionalResidencialResidencial baixa renda – faixa 02Não se aplicaNão se aplicaPonta",Mercado_Receita!$L$2:$L$587)+SUMIF(Mercado_Receita!$S$2:$S$587,"44593B1ConvencionalResidencialResidencial baixa renda – faixa 02Não se aplicaNão se aplicaFora ponta",Mercado_Receita!$L$2:$L$587)+SUMIF(Mercado_Receita!$S$2:$S$587,"44593B1ConvencionalResidencialResidencial baixa renda – faixa 02Não se aplicaNão se aplicaIntermediário",Mercado_Receita!$L$2:$L$587)+SUMIF(Mercado_Receita!$S$2:$S$587,"44593B1ConvencionalResidencialResidencial baixa renda – faixa 02Não se aplicaNão se aplicaNão se aplica",Mercado_Receita!$L$2:$L$587)</f>
        <v>12.965</v>
      </c>
      <c r="O19" s="13">
        <f>SUMIF(Mercado_Receita!$S$2:$S$587,"44621B1ConvencionalResidencialResidencial baixa renda – faixa 02Não se aplicaNão se aplicaPonta",Mercado_Receita!$L$2:$L$587)+SUMIF(Mercado_Receita!$S$2:$S$587,"44621B1ConvencionalResidencialResidencial baixa renda – faixa 02Não se aplicaNão se aplicaFora ponta",Mercado_Receita!$L$2:$L$587)+SUMIF(Mercado_Receita!$S$2:$S$587,"44621B1ConvencionalResidencialResidencial baixa renda – faixa 02Não se aplicaNão se aplicaIntermediário",Mercado_Receita!$L$2:$L$587)+SUMIF(Mercado_Receita!$S$2:$S$587,"44621B1ConvencionalResidencialResidencial baixa renda – faixa 02Não se aplicaNão se aplicaNão se aplica",Mercado_Receita!$L$2:$L$587)</f>
        <v>13.321999999999999</v>
      </c>
      <c r="P19" s="13">
        <f>SUMIF(Mercado_Receita!$S$2:$S$587,"44652B1ConvencionalResidencialResidencial baixa renda – faixa 02Não se aplicaNão se aplicaPonta",Mercado_Receita!$L$2:$L$587)+SUMIF(Mercado_Receita!$S$2:$S$587,"44652B1ConvencionalResidencialResidencial baixa renda – faixa 02Não se aplicaNão se aplicaFora ponta",Mercado_Receita!$L$2:$L$587)+SUMIF(Mercado_Receita!$S$2:$S$587,"44652B1ConvencionalResidencialResidencial baixa renda – faixa 02Não se aplicaNão se aplicaIntermediário",Mercado_Receita!$L$2:$L$587)+SUMIF(Mercado_Receita!$S$2:$S$587,"44652B1ConvencionalResidencialResidencial baixa renda – faixa 02Não se aplicaNão se aplicaNão se aplica",Mercado_Receita!$L$2:$L$587)</f>
        <v>18.669</v>
      </c>
      <c r="Q19" s="13">
        <f>SUMIF(Mercado_Receita!$S$2:$S$587,"44682B1ConvencionalResidencialResidencial baixa renda – faixa 02Não se aplicaNão se aplicaPonta",Mercado_Receita!$L$2:$L$587)+SUMIF(Mercado_Receita!$S$2:$S$587,"44682B1ConvencionalResidencialResidencial baixa renda – faixa 02Não se aplicaNão se aplicaFora ponta",Mercado_Receita!$L$2:$L$587)+SUMIF(Mercado_Receita!$S$2:$S$587,"44682B1ConvencionalResidencialResidencial baixa renda – faixa 02Não se aplicaNão se aplicaIntermediário",Mercado_Receita!$L$2:$L$587)+SUMIF(Mercado_Receita!$S$2:$S$587,"44682B1ConvencionalResidencialResidencial baixa renda – faixa 02Não se aplicaNão se aplicaNão se aplica",Mercado_Receita!$L$2:$L$587)</f>
        <v>18.667000000000002</v>
      </c>
      <c r="R19" s="13">
        <f>SUMIF(Mercado_Receita!$S$2:$S$587,"44713B1ConvencionalResidencialResidencial baixa renda – faixa 02Não se aplicaNão se aplicaPonta",Mercado_Receita!$L$2:$L$587)+SUMIF(Mercado_Receita!$S$2:$S$587,"44713B1ConvencionalResidencialResidencial baixa renda – faixa 02Não se aplicaNão se aplicaFora ponta",Mercado_Receita!$L$2:$L$587)+SUMIF(Mercado_Receita!$S$2:$S$587,"44713B1ConvencionalResidencialResidencial baixa renda – faixa 02Não se aplicaNão se aplicaIntermediário",Mercado_Receita!$L$2:$L$587)+SUMIF(Mercado_Receita!$S$2:$S$587,"44713B1ConvencionalResidencialResidencial baixa renda – faixa 02Não se aplicaNão se aplicaNão se aplica",Mercado_Receita!$L$2:$L$587)</f>
        <v>17.456</v>
      </c>
      <c r="S19" s="13">
        <f>SUMIF(Mercado_Receita!$S$2:$S$587,"44743B1ConvencionalResidencialResidencial baixa renda – faixa 02Não se aplicaNão se aplicaPonta",Mercado_Receita!$L$2:$L$587)+SUMIF(Mercado_Receita!$S$2:$S$587,"44743B1ConvencionalResidencialResidencial baixa renda – faixa 02Não se aplicaNão se aplicaFora ponta",Mercado_Receita!$L$2:$L$587)+SUMIF(Mercado_Receita!$S$2:$S$587,"44743B1ConvencionalResidencialResidencial baixa renda – faixa 02Não se aplicaNão se aplicaIntermediário",Mercado_Receita!$L$2:$L$587)+SUMIF(Mercado_Receita!$S$2:$S$587,"44743B1ConvencionalResidencialResidencial baixa renda – faixa 02Não se aplicaNão se aplicaNão se aplica",Mercado_Receita!$L$2:$L$587)</f>
        <v>16.745999999999999</v>
      </c>
      <c r="T19" s="13">
        <f>SUMIF(Mercado_Receita!$S$2:$S$587,"44774B1ConvencionalResidencialResidencial baixa renda – faixa 02Não se aplicaNão se aplicaPonta",Mercado_Receita!$L$2:$L$587)+SUMIF(Mercado_Receita!$S$2:$S$587,"44774B1ConvencionalResidencialResidencial baixa renda – faixa 02Não se aplicaNão se aplicaFora ponta",Mercado_Receita!$L$2:$L$587)+SUMIF(Mercado_Receita!$S$2:$S$587,"44774B1ConvencionalResidencialResidencial baixa renda – faixa 02Não se aplicaNão se aplicaIntermediário",Mercado_Receita!$L$2:$L$587)+SUMIF(Mercado_Receita!$S$2:$S$587,"44774B1ConvencionalResidencialResidencial baixa renda – faixa 02Não se aplicaNão se aplicaNão se aplica",Mercado_Receita!$L$2:$L$587)</f>
        <v>17.123000000000001</v>
      </c>
      <c r="U19" s="13">
        <f t="shared" si="0"/>
        <v>175.95599999999999</v>
      </c>
      <c r="V19" s="13"/>
      <c r="W19" s="13"/>
    </row>
    <row r="20" spans="1:23" ht="11.25" customHeight="1" x14ac:dyDescent="0.3">
      <c r="A20" s="76"/>
      <c r="B20" s="76"/>
      <c r="C20" s="76"/>
      <c r="D20" s="12" t="s">
        <v>31</v>
      </c>
      <c r="E20" s="12" t="s">
        <v>25</v>
      </c>
      <c r="F20" s="12" t="s">
        <v>25</v>
      </c>
      <c r="G20" s="13" t="s">
        <v>474</v>
      </c>
      <c r="H20" s="13" t="s">
        <v>467</v>
      </c>
      <c r="I20" s="13">
        <f>SUMIF(Mercado_Receita!$S$2:$S$587,"44440B1ConvencionalResidencialResidencial baixa renda – faixa 03Não se aplicaNão se aplicaPonta",Mercado_Receita!$L$2:$L$587)+SUMIF(Mercado_Receita!$S$2:$S$587,"44440B1ConvencionalResidencialResidencial baixa renda – faixa 03Não se aplicaNão se aplicaFora ponta",Mercado_Receita!$L$2:$L$587)+SUMIF(Mercado_Receita!$S$2:$S$587,"44440B1ConvencionalResidencialResidencial baixa renda – faixa 03Não se aplicaNão se aplicaIntermediário",Mercado_Receita!$L$2:$L$587)+SUMIF(Mercado_Receita!$S$2:$S$587,"44440B1ConvencionalResidencialResidencial baixa renda – faixa 03Não se aplicaNão se aplicaNão se aplica",Mercado_Receita!$L$2:$L$587)</f>
        <v>13.037000000000001</v>
      </c>
      <c r="J20" s="13">
        <f>SUMIF(Mercado_Receita!$S$2:$S$587,"44470B1ConvencionalResidencialResidencial baixa renda – faixa 03Não se aplicaNão se aplicaPonta",Mercado_Receita!$L$2:$L$587)+SUMIF(Mercado_Receita!$S$2:$S$587,"44470B1ConvencionalResidencialResidencial baixa renda – faixa 03Não se aplicaNão se aplicaFora ponta",Mercado_Receita!$L$2:$L$587)+SUMIF(Mercado_Receita!$S$2:$S$587,"44470B1ConvencionalResidencialResidencial baixa renda – faixa 03Não se aplicaNão se aplicaIntermediário",Mercado_Receita!$L$2:$L$587)+SUMIF(Mercado_Receita!$S$2:$S$587,"44470B1ConvencionalResidencialResidencial baixa renda – faixa 03Não se aplicaNão se aplicaNão se aplica",Mercado_Receita!$L$2:$L$587)</f>
        <v>11.964</v>
      </c>
      <c r="K20" s="13">
        <f>SUMIF(Mercado_Receita!$S$2:$S$587,"44501B1ConvencionalResidencialResidencial baixa renda – faixa 03Não se aplicaNão se aplicaPonta",Mercado_Receita!$L$2:$L$587)+SUMIF(Mercado_Receita!$S$2:$S$587,"44501B1ConvencionalResidencialResidencial baixa renda – faixa 03Não se aplicaNão se aplicaFora ponta",Mercado_Receita!$L$2:$L$587)+SUMIF(Mercado_Receita!$S$2:$S$587,"44501B1ConvencionalResidencialResidencial baixa renda – faixa 03Não se aplicaNão se aplicaIntermediário",Mercado_Receita!$L$2:$L$587)+SUMIF(Mercado_Receita!$S$2:$S$587,"44501B1ConvencionalResidencialResidencial baixa renda – faixa 03Não se aplicaNão se aplicaNão se aplica",Mercado_Receita!$L$2:$L$587)</f>
        <v>12.827999999999999</v>
      </c>
      <c r="L20" s="13">
        <f>SUMIF(Mercado_Receita!$S$2:$S$587,"44531B1ConvencionalResidencialResidencial baixa renda – faixa 03Não se aplicaNão se aplicaPonta",Mercado_Receita!$L$2:$L$587)+SUMIF(Mercado_Receita!$S$2:$S$587,"44531B1ConvencionalResidencialResidencial baixa renda – faixa 03Não se aplicaNão se aplicaFora ponta",Mercado_Receita!$L$2:$L$587)+SUMIF(Mercado_Receita!$S$2:$S$587,"44531B1ConvencionalResidencialResidencial baixa renda – faixa 03Não se aplicaNão se aplicaIntermediário",Mercado_Receita!$L$2:$L$587)+SUMIF(Mercado_Receita!$S$2:$S$587,"44531B1ConvencionalResidencialResidencial baixa renda – faixa 03Não se aplicaNão se aplicaNão se aplica",Mercado_Receita!$L$2:$L$587)</f>
        <v>11.624000000000001</v>
      </c>
      <c r="M20" s="13">
        <f>SUMIF(Mercado_Receita!$S$2:$S$587,"44562B1ConvencionalResidencialResidencial baixa renda – faixa 03Não se aplicaNão se aplicaPonta",Mercado_Receita!$L$2:$L$587)+SUMIF(Mercado_Receita!$S$2:$S$587,"44562B1ConvencionalResidencialResidencial baixa renda – faixa 03Não se aplicaNão se aplicaFora ponta",Mercado_Receita!$L$2:$L$587)+SUMIF(Mercado_Receita!$S$2:$S$587,"44562B1ConvencionalResidencialResidencial baixa renda – faixa 03Não se aplicaNão se aplicaIntermediário",Mercado_Receita!$L$2:$L$587)+SUMIF(Mercado_Receita!$S$2:$S$587,"44562B1ConvencionalResidencialResidencial baixa renda – faixa 03Não se aplicaNão se aplicaNão se aplica",Mercado_Receita!$L$2:$L$587)</f>
        <v>13.792999999999999</v>
      </c>
      <c r="N20" s="13">
        <f>SUMIF(Mercado_Receita!$S$2:$S$587,"44593B1ConvencionalResidencialResidencial baixa renda – faixa 03Não se aplicaNão se aplicaPonta",Mercado_Receita!$L$2:$L$587)+SUMIF(Mercado_Receita!$S$2:$S$587,"44593B1ConvencionalResidencialResidencial baixa renda – faixa 03Não se aplicaNão se aplicaFora ponta",Mercado_Receita!$L$2:$L$587)+SUMIF(Mercado_Receita!$S$2:$S$587,"44593B1ConvencionalResidencialResidencial baixa renda – faixa 03Não se aplicaNão se aplicaIntermediário",Mercado_Receita!$L$2:$L$587)+SUMIF(Mercado_Receita!$S$2:$S$587,"44593B1ConvencionalResidencialResidencial baixa renda – faixa 03Não se aplicaNão se aplicaNão se aplica",Mercado_Receita!$L$2:$L$587)</f>
        <v>16.074000000000002</v>
      </c>
      <c r="O20" s="13">
        <f>SUMIF(Mercado_Receita!$S$2:$S$587,"44621B1ConvencionalResidencialResidencial baixa renda – faixa 03Não se aplicaNão se aplicaPonta",Mercado_Receita!$L$2:$L$587)+SUMIF(Mercado_Receita!$S$2:$S$587,"44621B1ConvencionalResidencialResidencial baixa renda – faixa 03Não se aplicaNão se aplicaFora ponta",Mercado_Receita!$L$2:$L$587)+SUMIF(Mercado_Receita!$S$2:$S$587,"44621B1ConvencionalResidencialResidencial baixa renda – faixa 03Não se aplicaNão se aplicaIntermediário",Mercado_Receita!$L$2:$L$587)+SUMIF(Mercado_Receita!$S$2:$S$587,"44621B1ConvencionalResidencialResidencial baixa renda – faixa 03Não se aplicaNão se aplicaNão se aplica",Mercado_Receita!$L$2:$L$587)</f>
        <v>16.405999999999999</v>
      </c>
      <c r="P20" s="13">
        <f>SUMIF(Mercado_Receita!$S$2:$S$587,"44652B1ConvencionalResidencialResidencial baixa renda – faixa 03Não se aplicaNão se aplicaPonta",Mercado_Receita!$L$2:$L$587)+SUMIF(Mercado_Receita!$S$2:$S$587,"44652B1ConvencionalResidencialResidencial baixa renda – faixa 03Não se aplicaNão se aplicaFora ponta",Mercado_Receita!$L$2:$L$587)+SUMIF(Mercado_Receita!$S$2:$S$587,"44652B1ConvencionalResidencialResidencial baixa renda – faixa 03Não se aplicaNão se aplicaIntermediário",Mercado_Receita!$L$2:$L$587)+SUMIF(Mercado_Receita!$S$2:$S$587,"44652B1ConvencionalResidencialResidencial baixa renda – faixa 03Não se aplicaNão se aplicaNão se aplica",Mercado_Receita!$L$2:$L$587)</f>
        <v>20.940999999999999</v>
      </c>
      <c r="Q20" s="13">
        <f>SUMIF(Mercado_Receita!$S$2:$S$587,"44682B1ConvencionalResidencialResidencial baixa renda – faixa 03Não se aplicaNão se aplicaPonta",Mercado_Receita!$L$2:$L$587)+SUMIF(Mercado_Receita!$S$2:$S$587,"44682B1ConvencionalResidencialResidencial baixa renda – faixa 03Não se aplicaNão se aplicaFora ponta",Mercado_Receita!$L$2:$L$587)+SUMIF(Mercado_Receita!$S$2:$S$587,"44682B1ConvencionalResidencialResidencial baixa renda – faixa 03Não se aplicaNão se aplicaIntermediário",Mercado_Receita!$L$2:$L$587)+SUMIF(Mercado_Receita!$S$2:$S$587,"44682B1ConvencionalResidencialResidencial baixa renda – faixa 03Não se aplicaNão se aplicaNão se aplica",Mercado_Receita!$L$2:$L$587)</f>
        <v>20.719000000000001</v>
      </c>
      <c r="R20" s="13">
        <f>SUMIF(Mercado_Receita!$S$2:$S$587,"44713B1ConvencionalResidencialResidencial baixa renda – faixa 03Não se aplicaNão se aplicaPonta",Mercado_Receita!$L$2:$L$587)+SUMIF(Mercado_Receita!$S$2:$S$587,"44713B1ConvencionalResidencialResidencial baixa renda – faixa 03Não se aplicaNão se aplicaFora ponta",Mercado_Receita!$L$2:$L$587)+SUMIF(Mercado_Receita!$S$2:$S$587,"44713B1ConvencionalResidencialResidencial baixa renda – faixa 03Não se aplicaNão se aplicaIntermediário",Mercado_Receita!$L$2:$L$587)+SUMIF(Mercado_Receita!$S$2:$S$587,"44713B1ConvencionalResidencialResidencial baixa renda – faixa 03Não se aplicaNão se aplicaNão se aplica",Mercado_Receita!$L$2:$L$587)</f>
        <v>20.085000000000001</v>
      </c>
      <c r="S20" s="13">
        <f>SUMIF(Mercado_Receita!$S$2:$S$587,"44743B1ConvencionalResidencialResidencial baixa renda – faixa 03Não se aplicaNão se aplicaPonta",Mercado_Receita!$L$2:$L$587)+SUMIF(Mercado_Receita!$S$2:$S$587,"44743B1ConvencionalResidencialResidencial baixa renda – faixa 03Não se aplicaNão se aplicaFora ponta",Mercado_Receita!$L$2:$L$587)+SUMIF(Mercado_Receita!$S$2:$S$587,"44743B1ConvencionalResidencialResidencial baixa renda – faixa 03Não se aplicaNão se aplicaIntermediário",Mercado_Receita!$L$2:$L$587)+SUMIF(Mercado_Receita!$S$2:$S$587,"44743B1ConvencionalResidencialResidencial baixa renda – faixa 03Não se aplicaNão se aplicaNão se aplica",Mercado_Receita!$L$2:$L$587)</f>
        <v>16.491</v>
      </c>
      <c r="T20" s="13">
        <f>SUMIF(Mercado_Receita!$S$2:$S$587,"44774B1ConvencionalResidencialResidencial baixa renda – faixa 03Não se aplicaNão se aplicaPonta",Mercado_Receita!$L$2:$L$587)+SUMIF(Mercado_Receita!$S$2:$S$587,"44774B1ConvencionalResidencialResidencial baixa renda – faixa 03Não se aplicaNão se aplicaFora ponta",Mercado_Receita!$L$2:$L$587)+SUMIF(Mercado_Receita!$S$2:$S$587,"44774B1ConvencionalResidencialResidencial baixa renda – faixa 03Não se aplicaNão se aplicaIntermediário",Mercado_Receita!$L$2:$L$587)+SUMIF(Mercado_Receita!$S$2:$S$587,"44774B1ConvencionalResidencialResidencial baixa renda – faixa 03Não se aplicaNão se aplicaNão se aplica",Mercado_Receita!$L$2:$L$587)</f>
        <v>19.074999999999999</v>
      </c>
      <c r="U20" s="13">
        <f t="shared" si="0"/>
        <v>193.03699999999998</v>
      </c>
      <c r="V20" s="13"/>
      <c r="W20" s="13"/>
    </row>
    <row r="21" spans="1:23" ht="11.25" customHeight="1" x14ac:dyDescent="0.3">
      <c r="A21" s="76"/>
      <c r="B21" s="76"/>
      <c r="C21" s="76"/>
      <c r="D21" s="12" t="s">
        <v>32</v>
      </c>
      <c r="E21" s="12" t="s">
        <v>25</v>
      </c>
      <c r="F21" s="12" t="s">
        <v>25</v>
      </c>
      <c r="G21" s="13" t="s">
        <v>474</v>
      </c>
      <c r="H21" s="13" t="s">
        <v>467</v>
      </c>
      <c r="I21" s="13">
        <f>SUMIF(Mercado_Receita!$S$2:$S$587,"44440B1ConvencionalResidencialResidencial baixa renda – faixa 04Não se aplicaNão se aplicaPonta",Mercado_Receita!$L$2:$L$587)+SUMIF(Mercado_Receita!$S$2:$S$587,"44440B1ConvencionalResidencialResidencial baixa renda – faixa 04Não se aplicaNão se aplicaFora ponta",Mercado_Receita!$L$2:$L$587)+SUMIF(Mercado_Receita!$S$2:$S$587,"44440B1ConvencionalResidencialResidencial baixa renda – faixa 04Não se aplicaNão se aplicaIntermediário",Mercado_Receita!$L$2:$L$587)+SUMIF(Mercado_Receita!$S$2:$S$587,"44440B1ConvencionalResidencialResidencial baixa renda – faixa 04Não se aplicaNão se aplicaNão se aplica",Mercado_Receita!$L$2:$L$587)</f>
        <v>6.2409999999999997</v>
      </c>
      <c r="J21" s="13">
        <f>SUMIF(Mercado_Receita!$S$2:$S$587,"44470B1ConvencionalResidencialResidencial baixa renda – faixa 04Não se aplicaNão se aplicaPonta",Mercado_Receita!$L$2:$L$587)+SUMIF(Mercado_Receita!$S$2:$S$587,"44470B1ConvencionalResidencialResidencial baixa renda – faixa 04Não se aplicaNão se aplicaFora ponta",Mercado_Receita!$L$2:$L$587)+SUMIF(Mercado_Receita!$S$2:$S$587,"44470B1ConvencionalResidencialResidencial baixa renda – faixa 04Não se aplicaNão se aplicaIntermediário",Mercado_Receita!$L$2:$L$587)+SUMIF(Mercado_Receita!$S$2:$S$587,"44470B1ConvencionalResidencialResidencial baixa renda – faixa 04Não se aplicaNão se aplicaNão se aplica",Mercado_Receita!$L$2:$L$587)</f>
        <v>4.742</v>
      </c>
      <c r="K21" s="13">
        <f>SUMIF(Mercado_Receita!$S$2:$S$587,"44501B1ConvencionalResidencialResidencial baixa renda – faixa 04Não se aplicaNão se aplicaPonta",Mercado_Receita!$L$2:$L$587)+SUMIF(Mercado_Receita!$S$2:$S$587,"44501B1ConvencionalResidencialResidencial baixa renda – faixa 04Não se aplicaNão se aplicaFora ponta",Mercado_Receita!$L$2:$L$587)+SUMIF(Mercado_Receita!$S$2:$S$587,"44501B1ConvencionalResidencialResidencial baixa renda – faixa 04Não se aplicaNão se aplicaIntermediário",Mercado_Receita!$L$2:$L$587)+SUMIF(Mercado_Receita!$S$2:$S$587,"44501B1ConvencionalResidencialResidencial baixa renda – faixa 04Não se aplicaNão se aplicaNão se aplica",Mercado_Receita!$L$2:$L$587)</f>
        <v>5.9029999999999996</v>
      </c>
      <c r="L21" s="13">
        <f>SUMIF(Mercado_Receita!$S$2:$S$587,"44531B1ConvencionalResidencialResidencial baixa renda – faixa 04Não se aplicaNão se aplicaPonta",Mercado_Receita!$L$2:$L$587)+SUMIF(Mercado_Receita!$S$2:$S$587,"44531B1ConvencionalResidencialResidencial baixa renda – faixa 04Não se aplicaNão se aplicaFora ponta",Mercado_Receita!$L$2:$L$587)+SUMIF(Mercado_Receita!$S$2:$S$587,"44531B1ConvencionalResidencialResidencial baixa renda – faixa 04Não se aplicaNão se aplicaIntermediário",Mercado_Receita!$L$2:$L$587)+SUMIF(Mercado_Receita!$S$2:$S$587,"44531B1ConvencionalResidencialResidencial baixa renda – faixa 04Não se aplicaNão se aplicaNão se aplica",Mercado_Receita!$L$2:$L$587)</f>
        <v>3.8780000000000001</v>
      </c>
      <c r="M21" s="13">
        <f>SUMIF(Mercado_Receita!$S$2:$S$587,"44562B1ConvencionalResidencialResidencial baixa renda – faixa 04Não se aplicaNão se aplicaPonta",Mercado_Receita!$L$2:$L$587)+SUMIF(Mercado_Receita!$S$2:$S$587,"44562B1ConvencionalResidencialResidencial baixa renda – faixa 04Não se aplicaNão se aplicaFora ponta",Mercado_Receita!$L$2:$L$587)+SUMIF(Mercado_Receita!$S$2:$S$587,"44562B1ConvencionalResidencialResidencial baixa renda – faixa 04Não se aplicaNão se aplicaIntermediário",Mercado_Receita!$L$2:$L$587)+SUMIF(Mercado_Receita!$S$2:$S$587,"44562B1ConvencionalResidencialResidencial baixa renda – faixa 04Não se aplicaNão se aplicaNão se aplica",Mercado_Receita!$L$2:$L$587)</f>
        <v>7.048</v>
      </c>
      <c r="N21" s="13">
        <f>SUMIF(Mercado_Receita!$S$2:$S$587,"44593B1ConvencionalResidencialResidencial baixa renda – faixa 04Não se aplicaNão se aplicaPonta",Mercado_Receita!$L$2:$L$587)+SUMIF(Mercado_Receita!$S$2:$S$587,"44593B1ConvencionalResidencialResidencial baixa renda – faixa 04Não se aplicaNão se aplicaFora ponta",Mercado_Receita!$L$2:$L$587)+SUMIF(Mercado_Receita!$S$2:$S$587,"44593B1ConvencionalResidencialResidencial baixa renda – faixa 04Não se aplicaNão se aplicaIntermediário",Mercado_Receita!$L$2:$L$587)+SUMIF(Mercado_Receita!$S$2:$S$587,"44593B1ConvencionalResidencialResidencial baixa renda – faixa 04Não se aplicaNão se aplicaNão se aplica",Mercado_Receita!$L$2:$L$587)</f>
        <v>10.411</v>
      </c>
      <c r="O21" s="13">
        <f>SUMIF(Mercado_Receita!$S$2:$S$587,"44621B1ConvencionalResidencialResidencial baixa renda – faixa 04Não se aplicaNão se aplicaPonta",Mercado_Receita!$L$2:$L$587)+SUMIF(Mercado_Receita!$S$2:$S$587,"44621B1ConvencionalResidencialResidencial baixa renda – faixa 04Não se aplicaNão se aplicaFora ponta",Mercado_Receita!$L$2:$L$587)+SUMIF(Mercado_Receita!$S$2:$S$587,"44621B1ConvencionalResidencialResidencial baixa renda – faixa 04Não se aplicaNão se aplicaIntermediário",Mercado_Receita!$L$2:$L$587)+SUMIF(Mercado_Receita!$S$2:$S$587,"44621B1ConvencionalResidencialResidencial baixa renda – faixa 04Não se aplicaNão se aplicaNão se aplica",Mercado_Receita!$L$2:$L$587)</f>
        <v>10.984</v>
      </c>
      <c r="P21" s="13">
        <f>SUMIF(Mercado_Receita!$S$2:$S$587,"44652B1ConvencionalResidencialResidencial baixa renda – faixa 04Não se aplicaNão se aplicaPonta",Mercado_Receita!$L$2:$L$587)+SUMIF(Mercado_Receita!$S$2:$S$587,"44652B1ConvencionalResidencialResidencial baixa renda – faixa 04Não se aplicaNão se aplicaFora ponta",Mercado_Receita!$L$2:$L$587)+SUMIF(Mercado_Receita!$S$2:$S$587,"44652B1ConvencionalResidencialResidencial baixa renda – faixa 04Não se aplicaNão se aplicaIntermediário",Mercado_Receita!$L$2:$L$587)+SUMIF(Mercado_Receita!$S$2:$S$587,"44652B1ConvencionalResidencialResidencial baixa renda – faixa 04Não se aplicaNão se aplicaNão se aplica",Mercado_Receita!$L$2:$L$587)</f>
        <v>11.212</v>
      </c>
      <c r="Q21" s="13">
        <f>SUMIF(Mercado_Receita!$S$2:$S$587,"44682B1ConvencionalResidencialResidencial baixa renda – faixa 04Não se aplicaNão se aplicaPonta",Mercado_Receita!$L$2:$L$587)+SUMIF(Mercado_Receita!$S$2:$S$587,"44682B1ConvencionalResidencialResidencial baixa renda – faixa 04Não se aplicaNão se aplicaFora ponta",Mercado_Receita!$L$2:$L$587)+SUMIF(Mercado_Receita!$S$2:$S$587,"44682B1ConvencionalResidencialResidencial baixa renda – faixa 04Não se aplicaNão se aplicaIntermediário",Mercado_Receita!$L$2:$L$587)+SUMIF(Mercado_Receita!$S$2:$S$587,"44682B1ConvencionalResidencialResidencial baixa renda – faixa 04Não se aplicaNão se aplicaNão se aplica",Mercado_Receita!$L$2:$L$587)</f>
        <v>10.695</v>
      </c>
      <c r="R21" s="13">
        <f>SUMIF(Mercado_Receita!$S$2:$S$587,"44713B1ConvencionalResidencialResidencial baixa renda – faixa 04Não se aplicaNão se aplicaPonta",Mercado_Receita!$L$2:$L$587)+SUMIF(Mercado_Receita!$S$2:$S$587,"44713B1ConvencionalResidencialResidencial baixa renda – faixa 04Não se aplicaNão se aplicaFora ponta",Mercado_Receita!$L$2:$L$587)+SUMIF(Mercado_Receita!$S$2:$S$587,"44713B1ConvencionalResidencialResidencial baixa renda – faixa 04Não se aplicaNão se aplicaIntermediário",Mercado_Receita!$L$2:$L$587)+SUMIF(Mercado_Receita!$S$2:$S$587,"44713B1ConvencionalResidencialResidencial baixa renda – faixa 04Não se aplicaNão se aplicaNão se aplica",Mercado_Receita!$L$2:$L$587)</f>
        <v>10.532</v>
      </c>
      <c r="S21" s="13">
        <f>SUMIF(Mercado_Receita!$S$2:$S$587,"44743B1ConvencionalResidencialResidencial baixa renda – faixa 04Não se aplicaNão se aplicaPonta",Mercado_Receita!$L$2:$L$587)+SUMIF(Mercado_Receita!$S$2:$S$587,"44743B1ConvencionalResidencialResidencial baixa renda – faixa 04Não se aplicaNão se aplicaFora ponta",Mercado_Receita!$L$2:$L$587)+SUMIF(Mercado_Receita!$S$2:$S$587,"44743B1ConvencionalResidencialResidencial baixa renda – faixa 04Não se aplicaNão se aplicaIntermediário",Mercado_Receita!$L$2:$L$587)+SUMIF(Mercado_Receita!$S$2:$S$587,"44743B1ConvencionalResidencialResidencial baixa renda – faixa 04Não se aplicaNão se aplicaNão se aplica",Mercado_Receita!$L$2:$L$587)</f>
        <v>6.1269999999999998</v>
      </c>
      <c r="T21" s="13">
        <f>SUMIF(Mercado_Receita!$S$2:$S$587,"44774B1ConvencionalResidencialResidencial baixa renda – faixa 04Não se aplicaNão se aplicaPonta",Mercado_Receita!$L$2:$L$587)+SUMIF(Mercado_Receita!$S$2:$S$587,"44774B1ConvencionalResidencialResidencial baixa renda – faixa 04Não se aplicaNão se aplicaFora ponta",Mercado_Receita!$L$2:$L$587)+SUMIF(Mercado_Receita!$S$2:$S$587,"44774B1ConvencionalResidencialResidencial baixa renda – faixa 04Não se aplicaNão se aplicaIntermediário",Mercado_Receita!$L$2:$L$587)+SUMIF(Mercado_Receita!$S$2:$S$587,"44774B1ConvencionalResidencialResidencial baixa renda – faixa 04Não se aplicaNão se aplicaNão se aplica",Mercado_Receita!$L$2:$L$587)</f>
        <v>10.805999999999999</v>
      </c>
      <c r="U21" s="13">
        <f t="shared" si="0"/>
        <v>98.578999999999994</v>
      </c>
      <c r="V21" s="13"/>
      <c r="W21" s="13"/>
    </row>
    <row r="22" spans="1:23" ht="11.25" customHeight="1" x14ac:dyDescent="0.3">
      <c r="A22" s="76"/>
      <c r="B22" s="75" t="s">
        <v>483</v>
      </c>
      <c r="C22" s="75" t="s">
        <v>24</v>
      </c>
      <c r="D22" s="12" t="s">
        <v>24</v>
      </c>
      <c r="E22" s="12" t="s">
        <v>25</v>
      </c>
      <c r="F22" s="12" t="s">
        <v>25</v>
      </c>
      <c r="G22" s="13" t="s">
        <v>474</v>
      </c>
      <c r="H22" s="13" t="s">
        <v>467</v>
      </c>
      <c r="I22" s="13">
        <f>SUMIF(Mercado_Receita!$S$2:$S$587,"44440B1Convencional pré-pagamentoResidencialResidencialNão se aplicaNão se aplicaPonta",Mercado_Receita!$L$2:$L$587)+SUMIF(Mercado_Receita!$S$2:$S$587,"44440B1Convencional pré-pagamentoResidencialResidencialNão se aplicaNão se aplicaFora ponta",Mercado_Receita!$L$2:$L$587)+SUMIF(Mercado_Receita!$S$2:$S$587,"44440B1Convencional pré-pagamentoResidencialResidencialNão se aplicaNão se aplicaIntermediário",Mercado_Receita!$L$2:$L$587)+SUMIF(Mercado_Receita!$S$2:$S$587,"44440B1Convencional pré-pagamentoResidencialResidencialNão se aplicaNão se aplicaNão se aplica",Mercado_Receita!$L$2:$L$587)</f>
        <v>0</v>
      </c>
      <c r="J22" s="13">
        <f>SUMIF(Mercado_Receita!$S$2:$S$587,"44470B1Convencional pré-pagamentoResidencialResidencialNão se aplicaNão se aplicaPonta",Mercado_Receita!$L$2:$L$587)+SUMIF(Mercado_Receita!$S$2:$S$587,"44470B1Convencional pré-pagamentoResidencialResidencialNão se aplicaNão se aplicaFora ponta",Mercado_Receita!$L$2:$L$587)+SUMIF(Mercado_Receita!$S$2:$S$587,"44470B1Convencional pré-pagamentoResidencialResidencialNão se aplicaNão se aplicaIntermediário",Mercado_Receita!$L$2:$L$587)+SUMIF(Mercado_Receita!$S$2:$S$587,"44470B1Convencional pré-pagamentoResidencialResidencialNão se aplicaNão se aplicaNão se aplica",Mercado_Receita!$L$2:$L$587)</f>
        <v>0</v>
      </c>
      <c r="K22" s="13">
        <f>SUMIF(Mercado_Receita!$S$2:$S$587,"44501B1Convencional pré-pagamentoResidencialResidencialNão se aplicaNão se aplicaPonta",Mercado_Receita!$L$2:$L$587)+SUMIF(Mercado_Receita!$S$2:$S$587,"44501B1Convencional pré-pagamentoResidencialResidencialNão se aplicaNão se aplicaFora ponta",Mercado_Receita!$L$2:$L$587)+SUMIF(Mercado_Receita!$S$2:$S$587,"44501B1Convencional pré-pagamentoResidencialResidencialNão se aplicaNão se aplicaIntermediário",Mercado_Receita!$L$2:$L$587)+SUMIF(Mercado_Receita!$S$2:$S$587,"44501B1Convencional pré-pagamentoResidencialResidencialNão se aplicaNão se aplicaNão se aplica",Mercado_Receita!$L$2:$L$587)</f>
        <v>0</v>
      </c>
      <c r="L22" s="13">
        <f>SUMIF(Mercado_Receita!$S$2:$S$587,"44531B1Convencional pré-pagamentoResidencialResidencialNão se aplicaNão se aplicaPonta",Mercado_Receita!$L$2:$L$587)+SUMIF(Mercado_Receita!$S$2:$S$587,"44531B1Convencional pré-pagamentoResidencialResidencialNão se aplicaNão se aplicaFora ponta",Mercado_Receita!$L$2:$L$587)+SUMIF(Mercado_Receita!$S$2:$S$587,"44531B1Convencional pré-pagamentoResidencialResidencialNão se aplicaNão se aplicaIntermediário",Mercado_Receita!$L$2:$L$587)+SUMIF(Mercado_Receita!$S$2:$S$587,"44531B1Convencional pré-pagamentoResidencialResidencialNão se aplicaNão se aplicaNão se aplica",Mercado_Receita!$L$2:$L$587)</f>
        <v>0</v>
      </c>
      <c r="M22" s="13">
        <f>SUMIF(Mercado_Receita!$S$2:$S$587,"44562B1Convencional pré-pagamentoResidencialResidencialNão se aplicaNão se aplicaPonta",Mercado_Receita!$L$2:$L$587)+SUMIF(Mercado_Receita!$S$2:$S$587,"44562B1Convencional pré-pagamentoResidencialResidencialNão se aplicaNão se aplicaFora ponta",Mercado_Receita!$L$2:$L$587)+SUMIF(Mercado_Receita!$S$2:$S$587,"44562B1Convencional pré-pagamentoResidencialResidencialNão se aplicaNão se aplicaIntermediário",Mercado_Receita!$L$2:$L$587)+SUMIF(Mercado_Receita!$S$2:$S$587,"44562B1Convencional pré-pagamentoResidencialResidencialNão se aplicaNão se aplicaNão se aplica",Mercado_Receita!$L$2:$L$587)</f>
        <v>0</v>
      </c>
      <c r="N22" s="13">
        <f>SUMIF(Mercado_Receita!$S$2:$S$587,"44593B1Convencional pré-pagamentoResidencialResidencialNão se aplicaNão se aplicaPonta",Mercado_Receita!$L$2:$L$587)+SUMIF(Mercado_Receita!$S$2:$S$587,"44593B1Convencional pré-pagamentoResidencialResidencialNão se aplicaNão se aplicaFora ponta",Mercado_Receita!$L$2:$L$587)+SUMIF(Mercado_Receita!$S$2:$S$587,"44593B1Convencional pré-pagamentoResidencialResidencialNão se aplicaNão se aplicaIntermediário",Mercado_Receita!$L$2:$L$587)+SUMIF(Mercado_Receita!$S$2:$S$587,"44593B1Convencional pré-pagamentoResidencialResidencialNão se aplicaNão se aplicaNão se aplica",Mercado_Receita!$L$2:$L$587)</f>
        <v>0</v>
      </c>
      <c r="O22" s="13">
        <f>SUMIF(Mercado_Receita!$S$2:$S$587,"44621B1Convencional pré-pagamentoResidencialResidencialNão se aplicaNão se aplicaPonta",Mercado_Receita!$L$2:$L$587)+SUMIF(Mercado_Receita!$S$2:$S$587,"44621B1Convencional pré-pagamentoResidencialResidencialNão se aplicaNão se aplicaFora ponta",Mercado_Receita!$L$2:$L$587)+SUMIF(Mercado_Receita!$S$2:$S$587,"44621B1Convencional pré-pagamentoResidencialResidencialNão se aplicaNão se aplicaIntermediário",Mercado_Receita!$L$2:$L$587)+SUMIF(Mercado_Receita!$S$2:$S$587,"44621B1Convencional pré-pagamentoResidencialResidencialNão se aplicaNão se aplicaNão se aplica",Mercado_Receita!$L$2:$L$587)</f>
        <v>0</v>
      </c>
      <c r="P22" s="13">
        <f>SUMIF(Mercado_Receita!$S$2:$S$587,"44652B1Convencional pré-pagamentoResidencialResidencialNão se aplicaNão se aplicaPonta",Mercado_Receita!$L$2:$L$587)+SUMIF(Mercado_Receita!$S$2:$S$587,"44652B1Convencional pré-pagamentoResidencialResidencialNão se aplicaNão se aplicaFora ponta",Mercado_Receita!$L$2:$L$587)+SUMIF(Mercado_Receita!$S$2:$S$587,"44652B1Convencional pré-pagamentoResidencialResidencialNão se aplicaNão se aplicaIntermediário",Mercado_Receita!$L$2:$L$587)+SUMIF(Mercado_Receita!$S$2:$S$587,"44652B1Convencional pré-pagamentoResidencialResidencialNão se aplicaNão se aplicaNão se aplica",Mercado_Receita!$L$2:$L$587)</f>
        <v>0</v>
      </c>
      <c r="Q22" s="13">
        <f>SUMIF(Mercado_Receita!$S$2:$S$587,"44682B1Convencional pré-pagamentoResidencialResidencialNão se aplicaNão se aplicaPonta",Mercado_Receita!$L$2:$L$587)+SUMIF(Mercado_Receita!$S$2:$S$587,"44682B1Convencional pré-pagamentoResidencialResidencialNão se aplicaNão se aplicaFora ponta",Mercado_Receita!$L$2:$L$587)+SUMIF(Mercado_Receita!$S$2:$S$587,"44682B1Convencional pré-pagamentoResidencialResidencialNão se aplicaNão se aplicaIntermediário",Mercado_Receita!$L$2:$L$587)+SUMIF(Mercado_Receita!$S$2:$S$587,"44682B1Convencional pré-pagamentoResidencialResidencialNão se aplicaNão se aplicaNão se aplica",Mercado_Receita!$L$2:$L$587)</f>
        <v>0</v>
      </c>
      <c r="R22" s="13">
        <f>SUMIF(Mercado_Receita!$S$2:$S$587,"44713B1Convencional pré-pagamentoResidencialResidencialNão se aplicaNão se aplicaPonta",Mercado_Receita!$L$2:$L$587)+SUMIF(Mercado_Receita!$S$2:$S$587,"44713B1Convencional pré-pagamentoResidencialResidencialNão se aplicaNão se aplicaFora ponta",Mercado_Receita!$L$2:$L$587)+SUMIF(Mercado_Receita!$S$2:$S$587,"44713B1Convencional pré-pagamentoResidencialResidencialNão se aplicaNão se aplicaIntermediário",Mercado_Receita!$L$2:$L$587)+SUMIF(Mercado_Receita!$S$2:$S$587,"44713B1Convencional pré-pagamentoResidencialResidencialNão se aplicaNão se aplicaNão se aplica",Mercado_Receita!$L$2:$L$587)</f>
        <v>0</v>
      </c>
      <c r="S22" s="13">
        <f>SUMIF(Mercado_Receita!$S$2:$S$587,"44743B1Convencional pré-pagamentoResidencialResidencialNão se aplicaNão se aplicaPonta",Mercado_Receita!$L$2:$L$587)+SUMIF(Mercado_Receita!$S$2:$S$587,"44743B1Convencional pré-pagamentoResidencialResidencialNão se aplicaNão se aplicaFora ponta",Mercado_Receita!$L$2:$L$587)+SUMIF(Mercado_Receita!$S$2:$S$587,"44743B1Convencional pré-pagamentoResidencialResidencialNão se aplicaNão se aplicaIntermediário",Mercado_Receita!$L$2:$L$587)+SUMIF(Mercado_Receita!$S$2:$S$587,"44743B1Convencional pré-pagamentoResidencialResidencialNão se aplicaNão se aplicaNão se aplica",Mercado_Receita!$L$2:$L$587)</f>
        <v>0</v>
      </c>
      <c r="T22" s="13">
        <f>SUMIF(Mercado_Receita!$S$2:$S$587,"44774B1Convencional pré-pagamentoResidencialResidencialNão se aplicaNão se aplicaPonta",Mercado_Receita!$L$2:$L$587)+SUMIF(Mercado_Receita!$S$2:$S$587,"44774B1Convencional pré-pagamentoResidencialResidencialNão se aplicaNão se aplicaFora ponta",Mercado_Receita!$L$2:$L$587)+SUMIF(Mercado_Receita!$S$2:$S$587,"44774B1Convencional pré-pagamentoResidencialResidencialNão se aplicaNão se aplicaIntermediário",Mercado_Receita!$L$2:$L$587)+SUMIF(Mercado_Receita!$S$2:$S$587,"44774B1Convencional pré-pagamentoResidencialResidencialNão se aplicaNão se aplicaNão se aplica",Mercado_Receita!$L$2:$L$587)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6"/>
      <c r="B23" s="76"/>
      <c r="C23" s="76"/>
      <c r="D23" s="12" t="s">
        <v>29</v>
      </c>
      <c r="E23" s="12" t="s">
        <v>25</v>
      </c>
      <c r="F23" s="12" t="s">
        <v>25</v>
      </c>
      <c r="G23" s="13" t="s">
        <v>474</v>
      </c>
      <c r="H23" s="13" t="s">
        <v>467</v>
      </c>
      <c r="I23" s="13">
        <f>SUMIF(Mercado_Receita!$S$2:$S$587,"44440B1Convencional pré-pagamentoResidencialResidencial baixa renda – faixa 01Não se aplicaNão se aplicaPonta",Mercado_Receita!$L$2:$L$587)+SUMIF(Mercado_Receita!$S$2:$S$587,"44440B1Convencional pré-pagamentoResidencialResidencial baixa renda – faixa 01Não se aplicaNão se aplicaFora ponta",Mercado_Receita!$L$2:$L$587)+SUMIF(Mercado_Receita!$S$2:$S$587,"44440B1Convencional pré-pagamentoResidencialResidencial baixa renda – faixa 01Não se aplicaNão se aplicaIntermediário",Mercado_Receita!$L$2:$L$587)+SUMIF(Mercado_Receita!$S$2:$S$587,"44440B1Convencional pré-pagamentoResidencialResidencial baixa renda – faixa 01Não se aplicaNão se aplicaNão se aplica",Mercado_Receita!$L$2:$L$587)</f>
        <v>0</v>
      </c>
      <c r="J23" s="13">
        <f>SUMIF(Mercado_Receita!$S$2:$S$587,"44470B1Convencional pré-pagamentoResidencialResidencial baixa renda – faixa 01Não se aplicaNão se aplicaPonta",Mercado_Receita!$L$2:$L$587)+SUMIF(Mercado_Receita!$S$2:$S$587,"44470B1Convencional pré-pagamentoResidencialResidencial baixa renda – faixa 01Não se aplicaNão se aplicaFora ponta",Mercado_Receita!$L$2:$L$587)+SUMIF(Mercado_Receita!$S$2:$S$587,"44470B1Convencional pré-pagamentoResidencialResidencial baixa renda – faixa 01Não se aplicaNão se aplicaIntermediário",Mercado_Receita!$L$2:$L$587)+SUMIF(Mercado_Receita!$S$2:$S$587,"44470B1Convencional pré-pagamentoResidencialResidencial baixa renda – faixa 01Não se aplicaNão se aplicaNão se aplica",Mercado_Receita!$L$2:$L$587)</f>
        <v>0</v>
      </c>
      <c r="K23" s="13">
        <f>SUMIF(Mercado_Receita!$S$2:$S$587,"44501B1Convencional pré-pagamentoResidencialResidencial baixa renda – faixa 01Não se aplicaNão se aplicaPonta",Mercado_Receita!$L$2:$L$587)+SUMIF(Mercado_Receita!$S$2:$S$587,"44501B1Convencional pré-pagamentoResidencialResidencial baixa renda – faixa 01Não se aplicaNão se aplicaFora ponta",Mercado_Receita!$L$2:$L$587)+SUMIF(Mercado_Receita!$S$2:$S$587,"44501B1Convencional pré-pagamentoResidencialResidencial baixa renda – faixa 01Não se aplicaNão se aplicaIntermediário",Mercado_Receita!$L$2:$L$587)+SUMIF(Mercado_Receita!$S$2:$S$587,"44501B1Convencional pré-pagamentoResidencialResidencial baixa renda – faixa 01Não se aplicaNão se aplicaNão se aplica",Mercado_Receita!$L$2:$L$587)</f>
        <v>0</v>
      </c>
      <c r="L23" s="13">
        <f>SUMIF(Mercado_Receita!$S$2:$S$587,"44531B1Convencional pré-pagamentoResidencialResidencial baixa renda – faixa 01Não se aplicaNão se aplicaPonta",Mercado_Receita!$L$2:$L$587)+SUMIF(Mercado_Receita!$S$2:$S$587,"44531B1Convencional pré-pagamentoResidencialResidencial baixa renda – faixa 01Não se aplicaNão se aplicaFora ponta",Mercado_Receita!$L$2:$L$587)+SUMIF(Mercado_Receita!$S$2:$S$587,"44531B1Convencional pré-pagamentoResidencialResidencial baixa renda – faixa 01Não se aplicaNão se aplicaIntermediário",Mercado_Receita!$L$2:$L$587)+SUMIF(Mercado_Receita!$S$2:$S$587,"44531B1Convencional pré-pagamentoResidencialResidencial baixa renda – faixa 01Não se aplicaNão se aplicaNão se aplica",Mercado_Receita!$L$2:$L$587)</f>
        <v>0</v>
      </c>
      <c r="M23" s="13">
        <f>SUMIF(Mercado_Receita!$S$2:$S$587,"44562B1Convencional pré-pagamentoResidencialResidencial baixa renda – faixa 01Não se aplicaNão se aplicaPonta",Mercado_Receita!$L$2:$L$587)+SUMIF(Mercado_Receita!$S$2:$S$587,"44562B1Convencional pré-pagamentoResidencialResidencial baixa renda – faixa 01Não se aplicaNão se aplicaFora ponta",Mercado_Receita!$L$2:$L$587)+SUMIF(Mercado_Receita!$S$2:$S$587,"44562B1Convencional pré-pagamentoResidencialResidencial baixa renda – faixa 01Não se aplicaNão se aplicaIntermediário",Mercado_Receita!$L$2:$L$587)+SUMIF(Mercado_Receita!$S$2:$S$587,"44562B1Convencional pré-pagamentoResidencialResidencial baixa renda – faixa 01Não se aplicaNão se aplicaNão se aplica",Mercado_Receita!$L$2:$L$587)</f>
        <v>0</v>
      </c>
      <c r="N23" s="13">
        <f>SUMIF(Mercado_Receita!$S$2:$S$587,"44593B1Convencional pré-pagamentoResidencialResidencial baixa renda – faixa 01Não se aplicaNão se aplicaPonta",Mercado_Receita!$L$2:$L$587)+SUMIF(Mercado_Receita!$S$2:$S$587,"44593B1Convencional pré-pagamentoResidencialResidencial baixa renda – faixa 01Não se aplicaNão se aplicaFora ponta",Mercado_Receita!$L$2:$L$587)+SUMIF(Mercado_Receita!$S$2:$S$587,"44593B1Convencional pré-pagamentoResidencialResidencial baixa renda – faixa 01Não se aplicaNão se aplicaIntermediário",Mercado_Receita!$L$2:$L$587)+SUMIF(Mercado_Receita!$S$2:$S$587,"44593B1Convencional pré-pagamentoResidencialResidencial baixa renda – faixa 01Não se aplicaNão se aplicaNão se aplica",Mercado_Receita!$L$2:$L$587)</f>
        <v>0</v>
      </c>
      <c r="O23" s="13">
        <f>SUMIF(Mercado_Receita!$S$2:$S$587,"44621B1Convencional pré-pagamentoResidencialResidencial baixa renda – faixa 01Não se aplicaNão se aplicaPonta",Mercado_Receita!$L$2:$L$587)+SUMIF(Mercado_Receita!$S$2:$S$587,"44621B1Convencional pré-pagamentoResidencialResidencial baixa renda – faixa 01Não se aplicaNão se aplicaFora ponta",Mercado_Receita!$L$2:$L$587)+SUMIF(Mercado_Receita!$S$2:$S$587,"44621B1Convencional pré-pagamentoResidencialResidencial baixa renda – faixa 01Não se aplicaNão se aplicaIntermediário",Mercado_Receita!$L$2:$L$587)+SUMIF(Mercado_Receita!$S$2:$S$587,"44621B1Convencional pré-pagamentoResidencialResidencial baixa renda – faixa 01Não se aplicaNão se aplicaNão se aplica",Mercado_Receita!$L$2:$L$587)</f>
        <v>0</v>
      </c>
      <c r="P23" s="13">
        <f>SUMIF(Mercado_Receita!$S$2:$S$587,"44652B1Convencional pré-pagamentoResidencialResidencial baixa renda – faixa 01Não se aplicaNão se aplicaPonta",Mercado_Receita!$L$2:$L$587)+SUMIF(Mercado_Receita!$S$2:$S$587,"44652B1Convencional pré-pagamentoResidencialResidencial baixa renda – faixa 01Não se aplicaNão se aplicaFora ponta",Mercado_Receita!$L$2:$L$587)+SUMIF(Mercado_Receita!$S$2:$S$587,"44652B1Convencional pré-pagamentoResidencialResidencial baixa renda – faixa 01Não se aplicaNão se aplicaIntermediário",Mercado_Receita!$L$2:$L$587)+SUMIF(Mercado_Receita!$S$2:$S$587,"44652B1Convencional pré-pagamentoResidencialResidencial baixa renda – faixa 01Não se aplicaNão se aplicaNão se aplica",Mercado_Receita!$L$2:$L$587)</f>
        <v>0</v>
      </c>
      <c r="Q23" s="13">
        <f>SUMIF(Mercado_Receita!$S$2:$S$587,"44682B1Convencional pré-pagamentoResidencialResidencial baixa renda – faixa 01Não se aplicaNão se aplicaPonta",Mercado_Receita!$L$2:$L$587)+SUMIF(Mercado_Receita!$S$2:$S$587,"44682B1Convencional pré-pagamentoResidencialResidencial baixa renda – faixa 01Não se aplicaNão se aplicaFora ponta",Mercado_Receita!$L$2:$L$587)+SUMIF(Mercado_Receita!$S$2:$S$587,"44682B1Convencional pré-pagamentoResidencialResidencial baixa renda – faixa 01Não se aplicaNão se aplicaIntermediário",Mercado_Receita!$L$2:$L$587)+SUMIF(Mercado_Receita!$S$2:$S$587,"44682B1Convencional pré-pagamentoResidencialResidencial baixa renda – faixa 01Não se aplicaNão se aplicaNão se aplica",Mercado_Receita!$L$2:$L$587)</f>
        <v>0</v>
      </c>
      <c r="R23" s="13">
        <f>SUMIF(Mercado_Receita!$S$2:$S$587,"44713B1Convencional pré-pagamentoResidencialResidencial baixa renda – faixa 01Não se aplicaNão se aplicaPonta",Mercado_Receita!$L$2:$L$587)+SUMIF(Mercado_Receita!$S$2:$S$587,"44713B1Convencional pré-pagamentoResidencialResidencial baixa renda – faixa 01Não se aplicaNão se aplicaFora ponta",Mercado_Receita!$L$2:$L$587)+SUMIF(Mercado_Receita!$S$2:$S$587,"44713B1Convencional pré-pagamentoResidencialResidencial baixa renda – faixa 01Não se aplicaNão se aplicaIntermediário",Mercado_Receita!$L$2:$L$587)+SUMIF(Mercado_Receita!$S$2:$S$587,"44713B1Convencional pré-pagamentoResidencialResidencial baixa renda – faixa 01Não se aplicaNão se aplicaNão se aplica",Mercado_Receita!$L$2:$L$587)</f>
        <v>0</v>
      </c>
      <c r="S23" s="13">
        <f>SUMIF(Mercado_Receita!$S$2:$S$587,"44743B1Convencional pré-pagamentoResidencialResidencial baixa renda – faixa 01Não se aplicaNão se aplicaPonta",Mercado_Receita!$L$2:$L$587)+SUMIF(Mercado_Receita!$S$2:$S$587,"44743B1Convencional pré-pagamentoResidencialResidencial baixa renda – faixa 01Não se aplicaNão se aplicaFora ponta",Mercado_Receita!$L$2:$L$587)+SUMIF(Mercado_Receita!$S$2:$S$587,"44743B1Convencional pré-pagamentoResidencialResidencial baixa renda – faixa 01Não se aplicaNão se aplicaIntermediário",Mercado_Receita!$L$2:$L$587)+SUMIF(Mercado_Receita!$S$2:$S$587,"44743B1Convencional pré-pagamentoResidencialResidencial baixa renda – faixa 01Não se aplicaNão se aplicaNão se aplica",Mercado_Receita!$L$2:$L$587)</f>
        <v>0</v>
      </c>
      <c r="T23" s="13">
        <f>SUMIF(Mercado_Receita!$S$2:$S$587,"44774B1Convencional pré-pagamentoResidencialResidencial baixa renda – faixa 01Não se aplicaNão se aplicaPonta",Mercado_Receita!$L$2:$L$587)+SUMIF(Mercado_Receita!$S$2:$S$587,"44774B1Convencional pré-pagamentoResidencialResidencial baixa renda – faixa 01Não se aplicaNão se aplicaFora ponta",Mercado_Receita!$L$2:$L$587)+SUMIF(Mercado_Receita!$S$2:$S$587,"44774B1Convencional pré-pagamentoResidencialResidencial baixa renda – faixa 01Não se aplicaNão se aplicaIntermediário",Mercado_Receita!$L$2:$L$587)+SUMIF(Mercado_Receita!$S$2:$S$587,"44774B1Convencional pré-pagamentoResidencialResidencial baixa renda – faixa 01Não se aplicaNão se aplicaNão se aplica",Mercado_Receita!$L$2:$L$587)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6"/>
      <c r="B24" s="76"/>
      <c r="C24" s="76"/>
      <c r="D24" s="12" t="s">
        <v>30</v>
      </c>
      <c r="E24" s="12" t="s">
        <v>25</v>
      </c>
      <c r="F24" s="12" t="s">
        <v>25</v>
      </c>
      <c r="G24" s="13" t="s">
        <v>474</v>
      </c>
      <c r="H24" s="13" t="s">
        <v>467</v>
      </c>
      <c r="I24" s="13">
        <f>SUMIF(Mercado_Receita!$S$2:$S$587,"44440B1Convencional pré-pagamentoResidencialResidencial baixa renda – faixa 02Não se aplicaNão se aplicaPonta",Mercado_Receita!$L$2:$L$587)+SUMIF(Mercado_Receita!$S$2:$S$587,"44440B1Convencional pré-pagamentoResidencialResidencial baixa renda – faixa 02Não se aplicaNão se aplicaFora ponta",Mercado_Receita!$L$2:$L$587)+SUMIF(Mercado_Receita!$S$2:$S$587,"44440B1Convencional pré-pagamentoResidencialResidencial baixa renda – faixa 02Não se aplicaNão se aplicaIntermediário",Mercado_Receita!$L$2:$L$587)+SUMIF(Mercado_Receita!$S$2:$S$587,"44440B1Convencional pré-pagamentoResidencialResidencial baixa renda – faixa 02Não se aplicaNão se aplicaNão se aplica",Mercado_Receita!$L$2:$L$587)</f>
        <v>0</v>
      </c>
      <c r="J24" s="13">
        <f>SUMIF(Mercado_Receita!$S$2:$S$587,"44470B1Convencional pré-pagamentoResidencialResidencial baixa renda – faixa 02Não se aplicaNão se aplicaPonta",Mercado_Receita!$L$2:$L$587)+SUMIF(Mercado_Receita!$S$2:$S$587,"44470B1Convencional pré-pagamentoResidencialResidencial baixa renda – faixa 02Não se aplicaNão se aplicaFora ponta",Mercado_Receita!$L$2:$L$587)+SUMIF(Mercado_Receita!$S$2:$S$587,"44470B1Convencional pré-pagamentoResidencialResidencial baixa renda – faixa 02Não se aplicaNão se aplicaIntermediário",Mercado_Receita!$L$2:$L$587)+SUMIF(Mercado_Receita!$S$2:$S$587,"44470B1Convencional pré-pagamentoResidencialResidencial baixa renda – faixa 02Não se aplicaNão se aplicaNão se aplica",Mercado_Receita!$L$2:$L$587)</f>
        <v>0</v>
      </c>
      <c r="K24" s="13">
        <f>SUMIF(Mercado_Receita!$S$2:$S$587,"44501B1Convencional pré-pagamentoResidencialResidencial baixa renda – faixa 02Não se aplicaNão se aplicaPonta",Mercado_Receita!$L$2:$L$587)+SUMIF(Mercado_Receita!$S$2:$S$587,"44501B1Convencional pré-pagamentoResidencialResidencial baixa renda – faixa 02Não se aplicaNão se aplicaFora ponta",Mercado_Receita!$L$2:$L$587)+SUMIF(Mercado_Receita!$S$2:$S$587,"44501B1Convencional pré-pagamentoResidencialResidencial baixa renda – faixa 02Não se aplicaNão se aplicaIntermediário",Mercado_Receita!$L$2:$L$587)+SUMIF(Mercado_Receita!$S$2:$S$587,"44501B1Convencional pré-pagamentoResidencialResidencial baixa renda – faixa 02Não se aplicaNão se aplicaNão se aplica",Mercado_Receita!$L$2:$L$587)</f>
        <v>0</v>
      </c>
      <c r="L24" s="13">
        <f>SUMIF(Mercado_Receita!$S$2:$S$587,"44531B1Convencional pré-pagamentoResidencialResidencial baixa renda – faixa 02Não se aplicaNão se aplicaPonta",Mercado_Receita!$L$2:$L$587)+SUMIF(Mercado_Receita!$S$2:$S$587,"44531B1Convencional pré-pagamentoResidencialResidencial baixa renda – faixa 02Não se aplicaNão se aplicaFora ponta",Mercado_Receita!$L$2:$L$587)+SUMIF(Mercado_Receita!$S$2:$S$587,"44531B1Convencional pré-pagamentoResidencialResidencial baixa renda – faixa 02Não se aplicaNão se aplicaIntermediário",Mercado_Receita!$L$2:$L$587)+SUMIF(Mercado_Receita!$S$2:$S$587,"44531B1Convencional pré-pagamentoResidencialResidencial baixa renda – faixa 02Não se aplicaNão se aplicaNão se aplica",Mercado_Receita!$L$2:$L$587)</f>
        <v>0</v>
      </c>
      <c r="M24" s="13">
        <f>SUMIF(Mercado_Receita!$S$2:$S$587,"44562B1Convencional pré-pagamentoResidencialResidencial baixa renda – faixa 02Não se aplicaNão se aplicaPonta",Mercado_Receita!$L$2:$L$587)+SUMIF(Mercado_Receita!$S$2:$S$587,"44562B1Convencional pré-pagamentoResidencialResidencial baixa renda – faixa 02Não se aplicaNão se aplicaFora ponta",Mercado_Receita!$L$2:$L$587)+SUMIF(Mercado_Receita!$S$2:$S$587,"44562B1Convencional pré-pagamentoResidencialResidencial baixa renda – faixa 02Não se aplicaNão se aplicaIntermediário",Mercado_Receita!$L$2:$L$587)+SUMIF(Mercado_Receita!$S$2:$S$587,"44562B1Convencional pré-pagamentoResidencialResidencial baixa renda – faixa 02Não se aplicaNão se aplicaNão se aplica",Mercado_Receita!$L$2:$L$587)</f>
        <v>0</v>
      </c>
      <c r="N24" s="13">
        <f>SUMIF(Mercado_Receita!$S$2:$S$587,"44593B1Convencional pré-pagamentoResidencialResidencial baixa renda – faixa 02Não se aplicaNão se aplicaPonta",Mercado_Receita!$L$2:$L$587)+SUMIF(Mercado_Receita!$S$2:$S$587,"44593B1Convencional pré-pagamentoResidencialResidencial baixa renda – faixa 02Não se aplicaNão se aplicaFora ponta",Mercado_Receita!$L$2:$L$587)+SUMIF(Mercado_Receita!$S$2:$S$587,"44593B1Convencional pré-pagamentoResidencialResidencial baixa renda – faixa 02Não se aplicaNão se aplicaIntermediário",Mercado_Receita!$L$2:$L$587)+SUMIF(Mercado_Receita!$S$2:$S$587,"44593B1Convencional pré-pagamentoResidencialResidencial baixa renda – faixa 02Não se aplicaNão se aplicaNão se aplica",Mercado_Receita!$L$2:$L$587)</f>
        <v>0</v>
      </c>
      <c r="O24" s="13">
        <f>SUMIF(Mercado_Receita!$S$2:$S$587,"44621B1Convencional pré-pagamentoResidencialResidencial baixa renda – faixa 02Não se aplicaNão se aplicaPonta",Mercado_Receita!$L$2:$L$587)+SUMIF(Mercado_Receita!$S$2:$S$587,"44621B1Convencional pré-pagamentoResidencialResidencial baixa renda – faixa 02Não se aplicaNão se aplicaFora ponta",Mercado_Receita!$L$2:$L$587)+SUMIF(Mercado_Receita!$S$2:$S$587,"44621B1Convencional pré-pagamentoResidencialResidencial baixa renda – faixa 02Não se aplicaNão se aplicaIntermediário",Mercado_Receita!$L$2:$L$587)+SUMIF(Mercado_Receita!$S$2:$S$587,"44621B1Convencional pré-pagamentoResidencialResidencial baixa renda – faixa 02Não se aplicaNão se aplicaNão se aplica",Mercado_Receita!$L$2:$L$587)</f>
        <v>0</v>
      </c>
      <c r="P24" s="13">
        <f>SUMIF(Mercado_Receita!$S$2:$S$587,"44652B1Convencional pré-pagamentoResidencialResidencial baixa renda – faixa 02Não se aplicaNão se aplicaPonta",Mercado_Receita!$L$2:$L$587)+SUMIF(Mercado_Receita!$S$2:$S$587,"44652B1Convencional pré-pagamentoResidencialResidencial baixa renda – faixa 02Não se aplicaNão se aplicaFora ponta",Mercado_Receita!$L$2:$L$587)+SUMIF(Mercado_Receita!$S$2:$S$587,"44652B1Convencional pré-pagamentoResidencialResidencial baixa renda – faixa 02Não se aplicaNão se aplicaIntermediário",Mercado_Receita!$L$2:$L$587)+SUMIF(Mercado_Receita!$S$2:$S$587,"44652B1Convencional pré-pagamentoResidencialResidencial baixa renda – faixa 02Não se aplicaNão se aplicaNão se aplica",Mercado_Receita!$L$2:$L$587)</f>
        <v>0</v>
      </c>
      <c r="Q24" s="13">
        <f>SUMIF(Mercado_Receita!$S$2:$S$587,"44682B1Convencional pré-pagamentoResidencialResidencial baixa renda – faixa 02Não se aplicaNão se aplicaPonta",Mercado_Receita!$L$2:$L$587)+SUMIF(Mercado_Receita!$S$2:$S$587,"44682B1Convencional pré-pagamentoResidencialResidencial baixa renda – faixa 02Não se aplicaNão se aplicaFora ponta",Mercado_Receita!$L$2:$L$587)+SUMIF(Mercado_Receita!$S$2:$S$587,"44682B1Convencional pré-pagamentoResidencialResidencial baixa renda – faixa 02Não se aplicaNão se aplicaIntermediário",Mercado_Receita!$L$2:$L$587)+SUMIF(Mercado_Receita!$S$2:$S$587,"44682B1Convencional pré-pagamentoResidencialResidencial baixa renda – faixa 02Não se aplicaNão se aplicaNão se aplica",Mercado_Receita!$L$2:$L$587)</f>
        <v>0</v>
      </c>
      <c r="R24" s="13">
        <f>SUMIF(Mercado_Receita!$S$2:$S$587,"44713B1Convencional pré-pagamentoResidencialResidencial baixa renda – faixa 02Não se aplicaNão se aplicaPonta",Mercado_Receita!$L$2:$L$587)+SUMIF(Mercado_Receita!$S$2:$S$587,"44713B1Convencional pré-pagamentoResidencialResidencial baixa renda – faixa 02Não se aplicaNão se aplicaFora ponta",Mercado_Receita!$L$2:$L$587)+SUMIF(Mercado_Receita!$S$2:$S$587,"44713B1Convencional pré-pagamentoResidencialResidencial baixa renda – faixa 02Não se aplicaNão se aplicaIntermediário",Mercado_Receita!$L$2:$L$587)+SUMIF(Mercado_Receita!$S$2:$S$587,"44713B1Convencional pré-pagamentoResidencialResidencial baixa renda – faixa 02Não se aplicaNão se aplicaNão se aplica",Mercado_Receita!$L$2:$L$587)</f>
        <v>0</v>
      </c>
      <c r="S24" s="13">
        <f>SUMIF(Mercado_Receita!$S$2:$S$587,"44743B1Convencional pré-pagamentoResidencialResidencial baixa renda – faixa 02Não se aplicaNão se aplicaPonta",Mercado_Receita!$L$2:$L$587)+SUMIF(Mercado_Receita!$S$2:$S$587,"44743B1Convencional pré-pagamentoResidencialResidencial baixa renda – faixa 02Não se aplicaNão se aplicaFora ponta",Mercado_Receita!$L$2:$L$587)+SUMIF(Mercado_Receita!$S$2:$S$587,"44743B1Convencional pré-pagamentoResidencialResidencial baixa renda – faixa 02Não se aplicaNão se aplicaIntermediário",Mercado_Receita!$L$2:$L$587)+SUMIF(Mercado_Receita!$S$2:$S$587,"44743B1Convencional pré-pagamentoResidencialResidencial baixa renda – faixa 02Não se aplicaNão se aplicaNão se aplica",Mercado_Receita!$L$2:$L$587)</f>
        <v>0</v>
      </c>
      <c r="T24" s="13">
        <f>SUMIF(Mercado_Receita!$S$2:$S$587,"44774B1Convencional pré-pagamentoResidencialResidencial baixa renda – faixa 02Não se aplicaNão se aplicaPonta",Mercado_Receita!$L$2:$L$587)+SUMIF(Mercado_Receita!$S$2:$S$587,"44774B1Convencional pré-pagamentoResidencialResidencial baixa renda – faixa 02Não se aplicaNão se aplicaFora ponta",Mercado_Receita!$L$2:$L$587)+SUMIF(Mercado_Receita!$S$2:$S$587,"44774B1Convencional pré-pagamentoResidencialResidencial baixa renda – faixa 02Não se aplicaNão se aplicaIntermediário",Mercado_Receita!$L$2:$L$587)+SUMIF(Mercado_Receita!$S$2:$S$587,"44774B1Convencional pré-pagamentoResidencialResidencial baixa renda – faixa 02Não se aplicaNão se aplicaNão se aplica",Mercado_Receita!$L$2:$L$587)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6"/>
      <c r="B25" s="76"/>
      <c r="C25" s="76"/>
      <c r="D25" s="12" t="s">
        <v>31</v>
      </c>
      <c r="E25" s="12" t="s">
        <v>25</v>
      </c>
      <c r="F25" s="12" t="s">
        <v>25</v>
      </c>
      <c r="G25" s="13" t="s">
        <v>474</v>
      </c>
      <c r="H25" s="13" t="s">
        <v>467</v>
      </c>
      <c r="I25" s="13">
        <f>SUMIF(Mercado_Receita!$S$2:$S$587,"44440B1Convencional pré-pagamentoResidencialResidencial baixa renda – faixa 03Não se aplicaNão se aplicaPonta",Mercado_Receita!$L$2:$L$587)+SUMIF(Mercado_Receita!$S$2:$S$587,"44440B1Convencional pré-pagamentoResidencialResidencial baixa renda – faixa 03Não se aplicaNão se aplicaFora ponta",Mercado_Receita!$L$2:$L$587)+SUMIF(Mercado_Receita!$S$2:$S$587,"44440B1Convencional pré-pagamentoResidencialResidencial baixa renda – faixa 03Não se aplicaNão se aplicaIntermediário",Mercado_Receita!$L$2:$L$587)+SUMIF(Mercado_Receita!$S$2:$S$587,"44440B1Convencional pré-pagamentoResidencialResidencial baixa renda – faixa 03Não se aplicaNão se aplicaNão se aplica",Mercado_Receita!$L$2:$L$587)</f>
        <v>0</v>
      </c>
      <c r="J25" s="13">
        <f>SUMIF(Mercado_Receita!$S$2:$S$587,"44470B1Convencional pré-pagamentoResidencialResidencial baixa renda – faixa 03Não se aplicaNão se aplicaPonta",Mercado_Receita!$L$2:$L$587)+SUMIF(Mercado_Receita!$S$2:$S$587,"44470B1Convencional pré-pagamentoResidencialResidencial baixa renda – faixa 03Não se aplicaNão se aplicaFora ponta",Mercado_Receita!$L$2:$L$587)+SUMIF(Mercado_Receita!$S$2:$S$587,"44470B1Convencional pré-pagamentoResidencialResidencial baixa renda – faixa 03Não se aplicaNão se aplicaIntermediário",Mercado_Receita!$L$2:$L$587)+SUMIF(Mercado_Receita!$S$2:$S$587,"44470B1Convencional pré-pagamentoResidencialResidencial baixa renda – faixa 03Não se aplicaNão se aplicaNão se aplica",Mercado_Receita!$L$2:$L$587)</f>
        <v>0</v>
      </c>
      <c r="K25" s="13">
        <f>SUMIF(Mercado_Receita!$S$2:$S$587,"44501B1Convencional pré-pagamentoResidencialResidencial baixa renda – faixa 03Não se aplicaNão se aplicaPonta",Mercado_Receita!$L$2:$L$587)+SUMIF(Mercado_Receita!$S$2:$S$587,"44501B1Convencional pré-pagamentoResidencialResidencial baixa renda – faixa 03Não se aplicaNão se aplicaFora ponta",Mercado_Receita!$L$2:$L$587)+SUMIF(Mercado_Receita!$S$2:$S$587,"44501B1Convencional pré-pagamentoResidencialResidencial baixa renda – faixa 03Não se aplicaNão se aplicaIntermediário",Mercado_Receita!$L$2:$L$587)+SUMIF(Mercado_Receita!$S$2:$S$587,"44501B1Convencional pré-pagamentoResidencialResidencial baixa renda – faixa 03Não se aplicaNão se aplicaNão se aplica",Mercado_Receita!$L$2:$L$587)</f>
        <v>0</v>
      </c>
      <c r="L25" s="13">
        <f>SUMIF(Mercado_Receita!$S$2:$S$587,"44531B1Convencional pré-pagamentoResidencialResidencial baixa renda – faixa 03Não se aplicaNão se aplicaPonta",Mercado_Receita!$L$2:$L$587)+SUMIF(Mercado_Receita!$S$2:$S$587,"44531B1Convencional pré-pagamentoResidencialResidencial baixa renda – faixa 03Não se aplicaNão se aplicaFora ponta",Mercado_Receita!$L$2:$L$587)+SUMIF(Mercado_Receita!$S$2:$S$587,"44531B1Convencional pré-pagamentoResidencialResidencial baixa renda – faixa 03Não se aplicaNão se aplicaIntermediário",Mercado_Receita!$L$2:$L$587)+SUMIF(Mercado_Receita!$S$2:$S$587,"44531B1Convencional pré-pagamentoResidencialResidencial baixa renda – faixa 03Não se aplicaNão se aplicaNão se aplica",Mercado_Receita!$L$2:$L$587)</f>
        <v>0</v>
      </c>
      <c r="M25" s="13">
        <f>SUMIF(Mercado_Receita!$S$2:$S$587,"44562B1Convencional pré-pagamentoResidencialResidencial baixa renda – faixa 03Não se aplicaNão se aplicaPonta",Mercado_Receita!$L$2:$L$587)+SUMIF(Mercado_Receita!$S$2:$S$587,"44562B1Convencional pré-pagamentoResidencialResidencial baixa renda – faixa 03Não se aplicaNão se aplicaFora ponta",Mercado_Receita!$L$2:$L$587)+SUMIF(Mercado_Receita!$S$2:$S$587,"44562B1Convencional pré-pagamentoResidencialResidencial baixa renda – faixa 03Não se aplicaNão se aplicaIntermediário",Mercado_Receita!$L$2:$L$587)+SUMIF(Mercado_Receita!$S$2:$S$587,"44562B1Convencional pré-pagamentoResidencialResidencial baixa renda – faixa 03Não se aplicaNão se aplicaNão se aplica",Mercado_Receita!$L$2:$L$587)</f>
        <v>0</v>
      </c>
      <c r="N25" s="13">
        <f>SUMIF(Mercado_Receita!$S$2:$S$587,"44593B1Convencional pré-pagamentoResidencialResidencial baixa renda – faixa 03Não se aplicaNão se aplicaPonta",Mercado_Receita!$L$2:$L$587)+SUMIF(Mercado_Receita!$S$2:$S$587,"44593B1Convencional pré-pagamentoResidencialResidencial baixa renda – faixa 03Não se aplicaNão se aplicaFora ponta",Mercado_Receita!$L$2:$L$587)+SUMIF(Mercado_Receita!$S$2:$S$587,"44593B1Convencional pré-pagamentoResidencialResidencial baixa renda – faixa 03Não se aplicaNão se aplicaIntermediário",Mercado_Receita!$L$2:$L$587)+SUMIF(Mercado_Receita!$S$2:$S$587,"44593B1Convencional pré-pagamentoResidencialResidencial baixa renda – faixa 03Não se aplicaNão se aplicaNão se aplica",Mercado_Receita!$L$2:$L$587)</f>
        <v>0</v>
      </c>
      <c r="O25" s="13">
        <f>SUMIF(Mercado_Receita!$S$2:$S$587,"44621B1Convencional pré-pagamentoResidencialResidencial baixa renda – faixa 03Não se aplicaNão se aplicaPonta",Mercado_Receita!$L$2:$L$587)+SUMIF(Mercado_Receita!$S$2:$S$587,"44621B1Convencional pré-pagamentoResidencialResidencial baixa renda – faixa 03Não se aplicaNão se aplicaFora ponta",Mercado_Receita!$L$2:$L$587)+SUMIF(Mercado_Receita!$S$2:$S$587,"44621B1Convencional pré-pagamentoResidencialResidencial baixa renda – faixa 03Não se aplicaNão se aplicaIntermediário",Mercado_Receita!$L$2:$L$587)+SUMIF(Mercado_Receita!$S$2:$S$587,"44621B1Convencional pré-pagamentoResidencialResidencial baixa renda – faixa 03Não se aplicaNão se aplicaNão se aplica",Mercado_Receita!$L$2:$L$587)</f>
        <v>0</v>
      </c>
      <c r="P25" s="13">
        <f>SUMIF(Mercado_Receita!$S$2:$S$587,"44652B1Convencional pré-pagamentoResidencialResidencial baixa renda – faixa 03Não se aplicaNão se aplicaPonta",Mercado_Receita!$L$2:$L$587)+SUMIF(Mercado_Receita!$S$2:$S$587,"44652B1Convencional pré-pagamentoResidencialResidencial baixa renda – faixa 03Não se aplicaNão se aplicaFora ponta",Mercado_Receita!$L$2:$L$587)+SUMIF(Mercado_Receita!$S$2:$S$587,"44652B1Convencional pré-pagamentoResidencialResidencial baixa renda – faixa 03Não se aplicaNão se aplicaIntermediário",Mercado_Receita!$L$2:$L$587)+SUMIF(Mercado_Receita!$S$2:$S$587,"44652B1Convencional pré-pagamentoResidencialResidencial baixa renda – faixa 03Não se aplicaNão se aplicaNão se aplica",Mercado_Receita!$L$2:$L$587)</f>
        <v>0</v>
      </c>
      <c r="Q25" s="13">
        <f>SUMIF(Mercado_Receita!$S$2:$S$587,"44682B1Convencional pré-pagamentoResidencialResidencial baixa renda – faixa 03Não se aplicaNão se aplicaPonta",Mercado_Receita!$L$2:$L$587)+SUMIF(Mercado_Receita!$S$2:$S$587,"44682B1Convencional pré-pagamentoResidencialResidencial baixa renda – faixa 03Não se aplicaNão se aplicaFora ponta",Mercado_Receita!$L$2:$L$587)+SUMIF(Mercado_Receita!$S$2:$S$587,"44682B1Convencional pré-pagamentoResidencialResidencial baixa renda – faixa 03Não se aplicaNão se aplicaIntermediário",Mercado_Receita!$L$2:$L$587)+SUMIF(Mercado_Receita!$S$2:$S$587,"44682B1Convencional pré-pagamentoResidencialResidencial baixa renda – faixa 03Não se aplicaNão se aplicaNão se aplica",Mercado_Receita!$L$2:$L$587)</f>
        <v>0</v>
      </c>
      <c r="R25" s="13">
        <f>SUMIF(Mercado_Receita!$S$2:$S$587,"44713B1Convencional pré-pagamentoResidencialResidencial baixa renda – faixa 03Não se aplicaNão se aplicaPonta",Mercado_Receita!$L$2:$L$587)+SUMIF(Mercado_Receita!$S$2:$S$587,"44713B1Convencional pré-pagamentoResidencialResidencial baixa renda – faixa 03Não se aplicaNão se aplicaFora ponta",Mercado_Receita!$L$2:$L$587)+SUMIF(Mercado_Receita!$S$2:$S$587,"44713B1Convencional pré-pagamentoResidencialResidencial baixa renda – faixa 03Não se aplicaNão se aplicaIntermediário",Mercado_Receita!$L$2:$L$587)+SUMIF(Mercado_Receita!$S$2:$S$587,"44713B1Convencional pré-pagamentoResidencialResidencial baixa renda – faixa 03Não se aplicaNão se aplicaNão se aplica",Mercado_Receita!$L$2:$L$587)</f>
        <v>0</v>
      </c>
      <c r="S25" s="13">
        <f>SUMIF(Mercado_Receita!$S$2:$S$587,"44743B1Convencional pré-pagamentoResidencialResidencial baixa renda – faixa 03Não se aplicaNão se aplicaPonta",Mercado_Receita!$L$2:$L$587)+SUMIF(Mercado_Receita!$S$2:$S$587,"44743B1Convencional pré-pagamentoResidencialResidencial baixa renda – faixa 03Não se aplicaNão se aplicaFora ponta",Mercado_Receita!$L$2:$L$587)+SUMIF(Mercado_Receita!$S$2:$S$587,"44743B1Convencional pré-pagamentoResidencialResidencial baixa renda – faixa 03Não se aplicaNão se aplicaIntermediário",Mercado_Receita!$L$2:$L$587)+SUMIF(Mercado_Receita!$S$2:$S$587,"44743B1Convencional pré-pagamentoResidencialResidencial baixa renda – faixa 03Não se aplicaNão se aplicaNão se aplica",Mercado_Receita!$L$2:$L$587)</f>
        <v>0</v>
      </c>
      <c r="T25" s="13">
        <f>SUMIF(Mercado_Receita!$S$2:$S$587,"44774B1Convencional pré-pagamentoResidencialResidencial baixa renda – faixa 03Não se aplicaNão se aplicaPonta",Mercado_Receita!$L$2:$L$587)+SUMIF(Mercado_Receita!$S$2:$S$587,"44774B1Convencional pré-pagamentoResidencialResidencial baixa renda – faixa 03Não se aplicaNão se aplicaFora ponta",Mercado_Receita!$L$2:$L$587)+SUMIF(Mercado_Receita!$S$2:$S$587,"44774B1Convencional pré-pagamentoResidencialResidencial baixa renda – faixa 03Não se aplicaNão se aplicaIntermediário",Mercado_Receita!$L$2:$L$587)+SUMIF(Mercado_Receita!$S$2:$S$587,"44774B1Convencional pré-pagamentoResidencialResidencial baixa renda – faixa 03Não se aplicaNão se aplicaNão se aplica",Mercado_Receita!$L$2:$L$587)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6"/>
      <c r="B26" s="76"/>
      <c r="C26" s="76"/>
      <c r="D26" s="12" t="s">
        <v>32</v>
      </c>
      <c r="E26" s="12" t="s">
        <v>25</v>
      </c>
      <c r="F26" s="12" t="s">
        <v>25</v>
      </c>
      <c r="G26" s="13" t="s">
        <v>474</v>
      </c>
      <c r="H26" s="13" t="s">
        <v>467</v>
      </c>
      <c r="I26" s="13">
        <f>SUMIF(Mercado_Receita!$S$2:$S$587,"44440B1Convencional pré-pagamentoResidencialResidencial baixa renda – faixa 04Não se aplicaNão se aplicaPonta",Mercado_Receita!$L$2:$L$587)+SUMIF(Mercado_Receita!$S$2:$S$587,"44440B1Convencional pré-pagamentoResidencialResidencial baixa renda – faixa 04Não se aplicaNão se aplicaFora ponta",Mercado_Receita!$L$2:$L$587)+SUMIF(Mercado_Receita!$S$2:$S$587,"44440B1Convencional pré-pagamentoResidencialResidencial baixa renda – faixa 04Não se aplicaNão se aplicaIntermediário",Mercado_Receita!$L$2:$L$587)+SUMIF(Mercado_Receita!$S$2:$S$587,"44440B1Convencional pré-pagamentoResidencialResidencial baixa renda – faixa 04Não se aplicaNão se aplicaNão se aplica",Mercado_Receita!$L$2:$L$587)</f>
        <v>0</v>
      </c>
      <c r="J26" s="13">
        <f>SUMIF(Mercado_Receita!$S$2:$S$587,"44470B1Convencional pré-pagamentoResidencialResidencial baixa renda – faixa 04Não se aplicaNão se aplicaPonta",Mercado_Receita!$L$2:$L$587)+SUMIF(Mercado_Receita!$S$2:$S$587,"44470B1Convencional pré-pagamentoResidencialResidencial baixa renda – faixa 04Não se aplicaNão se aplicaFora ponta",Mercado_Receita!$L$2:$L$587)+SUMIF(Mercado_Receita!$S$2:$S$587,"44470B1Convencional pré-pagamentoResidencialResidencial baixa renda – faixa 04Não se aplicaNão se aplicaIntermediário",Mercado_Receita!$L$2:$L$587)+SUMIF(Mercado_Receita!$S$2:$S$587,"44470B1Convencional pré-pagamentoResidencialResidencial baixa renda – faixa 04Não se aplicaNão se aplicaNão se aplica",Mercado_Receita!$L$2:$L$587)</f>
        <v>0</v>
      </c>
      <c r="K26" s="13">
        <f>SUMIF(Mercado_Receita!$S$2:$S$587,"44501B1Convencional pré-pagamentoResidencialResidencial baixa renda – faixa 04Não se aplicaNão se aplicaPonta",Mercado_Receita!$L$2:$L$587)+SUMIF(Mercado_Receita!$S$2:$S$587,"44501B1Convencional pré-pagamentoResidencialResidencial baixa renda – faixa 04Não se aplicaNão se aplicaFora ponta",Mercado_Receita!$L$2:$L$587)+SUMIF(Mercado_Receita!$S$2:$S$587,"44501B1Convencional pré-pagamentoResidencialResidencial baixa renda – faixa 04Não se aplicaNão se aplicaIntermediário",Mercado_Receita!$L$2:$L$587)+SUMIF(Mercado_Receita!$S$2:$S$587,"44501B1Convencional pré-pagamentoResidencialResidencial baixa renda – faixa 04Não se aplicaNão se aplicaNão se aplica",Mercado_Receita!$L$2:$L$587)</f>
        <v>0</v>
      </c>
      <c r="L26" s="13">
        <f>SUMIF(Mercado_Receita!$S$2:$S$587,"44531B1Convencional pré-pagamentoResidencialResidencial baixa renda – faixa 04Não se aplicaNão se aplicaPonta",Mercado_Receita!$L$2:$L$587)+SUMIF(Mercado_Receita!$S$2:$S$587,"44531B1Convencional pré-pagamentoResidencialResidencial baixa renda – faixa 04Não se aplicaNão se aplicaFora ponta",Mercado_Receita!$L$2:$L$587)+SUMIF(Mercado_Receita!$S$2:$S$587,"44531B1Convencional pré-pagamentoResidencialResidencial baixa renda – faixa 04Não se aplicaNão se aplicaIntermediário",Mercado_Receita!$L$2:$L$587)+SUMIF(Mercado_Receita!$S$2:$S$587,"44531B1Convencional pré-pagamentoResidencialResidencial baixa renda – faixa 04Não se aplicaNão se aplicaNão se aplica",Mercado_Receita!$L$2:$L$587)</f>
        <v>0</v>
      </c>
      <c r="M26" s="13">
        <f>SUMIF(Mercado_Receita!$S$2:$S$587,"44562B1Convencional pré-pagamentoResidencialResidencial baixa renda – faixa 04Não se aplicaNão se aplicaPonta",Mercado_Receita!$L$2:$L$587)+SUMIF(Mercado_Receita!$S$2:$S$587,"44562B1Convencional pré-pagamentoResidencialResidencial baixa renda – faixa 04Não se aplicaNão se aplicaFora ponta",Mercado_Receita!$L$2:$L$587)+SUMIF(Mercado_Receita!$S$2:$S$587,"44562B1Convencional pré-pagamentoResidencialResidencial baixa renda – faixa 04Não se aplicaNão se aplicaIntermediário",Mercado_Receita!$L$2:$L$587)+SUMIF(Mercado_Receita!$S$2:$S$587,"44562B1Convencional pré-pagamentoResidencialResidencial baixa renda – faixa 04Não se aplicaNão se aplicaNão se aplica",Mercado_Receita!$L$2:$L$587)</f>
        <v>0</v>
      </c>
      <c r="N26" s="13">
        <f>SUMIF(Mercado_Receita!$S$2:$S$587,"44593B1Convencional pré-pagamentoResidencialResidencial baixa renda – faixa 04Não se aplicaNão se aplicaPonta",Mercado_Receita!$L$2:$L$587)+SUMIF(Mercado_Receita!$S$2:$S$587,"44593B1Convencional pré-pagamentoResidencialResidencial baixa renda – faixa 04Não se aplicaNão se aplicaFora ponta",Mercado_Receita!$L$2:$L$587)+SUMIF(Mercado_Receita!$S$2:$S$587,"44593B1Convencional pré-pagamentoResidencialResidencial baixa renda – faixa 04Não se aplicaNão se aplicaIntermediário",Mercado_Receita!$L$2:$L$587)+SUMIF(Mercado_Receita!$S$2:$S$587,"44593B1Convencional pré-pagamentoResidencialResidencial baixa renda – faixa 04Não se aplicaNão se aplicaNão se aplica",Mercado_Receita!$L$2:$L$587)</f>
        <v>0</v>
      </c>
      <c r="O26" s="13">
        <f>SUMIF(Mercado_Receita!$S$2:$S$587,"44621B1Convencional pré-pagamentoResidencialResidencial baixa renda – faixa 04Não se aplicaNão se aplicaPonta",Mercado_Receita!$L$2:$L$587)+SUMIF(Mercado_Receita!$S$2:$S$587,"44621B1Convencional pré-pagamentoResidencialResidencial baixa renda – faixa 04Não se aplicaNão se aplicaFora ponta",Mercado_Receita!$L$2:$L$587)+SUMIF(Mercado_Receita!$S$2:$S$587,"44621B1Convencional pré-pagamentoResidencialResidencial baixa renda – faixa 04Não se aplicaNão se aplicaIntermediário",Mercado_Receita!$L$2:$L$587)+SUMIF(Mercado_Receita!$S$2:$S$587,"44621B1Convencional pré-pagamentoResidencialResidencial baixa renda – faixa 04Não se aplicaNão se aplicaNão se aplica",Mercado_Receita!$L$2:$L$587)</f>
        <v>0</v>
      </c>
      <c r="P26" s="13">
        <f>SUMIF(Mercado_Receita!$S$2:$S$587,"44652B1Convencional pré-pagamentoResidencialResidencial baixa renda – faixa 04Não se aplicaNão se aplicaPonta",Mercado_Receita!$L$2:$L$587)+SUMIF(Mercado_Receita!$S$2:$S$587,"44652B1Convencional pré-pagamentoResidencialResidencial baixa renda – faixa 04Não se aplicaNão se aplicaFora ponta",Mercado_Receita!$L$2:$L$587)+SUMIF(Mercado_Receita!$S$2:$S$587,"44652B1Convencional pré-pagamentoResidencialResidencial baixa renda – faixa 04Não se aplicaNão se aplicaIntermediário",Mercado_Receita!$L$2:$L$587)+SUMIF(Mercado_Receita!$S$2:$S$587,"44652B1Convencional pré-pagamentoResidencialResidencial baixa renda – faixa 04Não se aplicaNão se aplicaNão se aplica",Mercado_Receita!$L$2:$L$587)</f>
        <v>0</v>
      </c>
      <c r="Q26" s="13">
        <f>SUMIF(Mercado_Receita!$S$2:$S$587,"44682B1Convencional pré-pagamentoResidencialResidencial baixa renda – faixa 04Não se aplicaNão se aplicaPonta",Mercado_Receita!$L$2:$L$587)+SUMIF(Mercado_Receita!$S$2:$S$587,"44682B1Convencional pré-pagamentoResidencialResidencial baixa renda – faixa 04Não se aplicaNão se aplicaFora ponta",Mercado_Receita!$L$2:$L$587)+SUMIF(Mercado_Receita!$S$2:$S$587,"44682B1Convencional pré-pagamentoResidencialResidencial baixa renda – faixa 04Não se aplicaNão se aplicaIntermediário",Mercado_Receita!$L$2:$L$587)+SUMIF(Mercado_Receita!$S$2:$S$587,"44682B1Convencional pré-pagamentoResidencialResidencial baixa renda – faixa 04Não se aplicaNão se aplicaNão se aplica",Mercado_Receita!$L$2:$L$587)</f>
        <v>0</v>
      </c>
      <c r="R26" s="13">
        <f>SUMIF(Mercado_Receita!$S$2:$S$587,"44713B1Convencional pré-pagamentoResidencialResidencial baixa renda – faixa 04Não se aplicaNão se aplicaPonta",Mercado_Receita!$L$2:$L$587)+SUMIF(Mercado_Receita!$S$2:$S$587,"44713B1Convencional pré-pagamentoResidencialResidencial baixa renda – faixa 04Não se aplicaNão se aplicaFora ponta",Mercado_Receita!$L$2:$L$587)+SUMIF(Mercado_Receita!$S$2:$S$587,"44713B1Convencional pré-pagamentoResidencialResidencial baixa renda – faixa 04Não se aplicaNão se aplicaIntermediário",Mercado_Receita!$L$2:$L$587)+SUMIF(Mercado_Receita!$S$2:$S$587,"44713B1Convencional pré-pagamentoResidencialResidencial baixa renda – faixa 04Não se aplicaNão se aplicaNão se aplica",Mercado_Receita!$L$2:$L$587)</f>
        <v>0</v>
      </c>
      <c r="S26" s="13">
        <f>SUMIF(Mercado_Receita!$S$2:$S$587,"44743B1Convencional pré-pagamentoResidencialResidencial baixa renda – faixa 04Não se aplicaNão se aplicaPonta",Mercado_Receita!$L$2:$L$587)+SUMIF(Mercado_Receita!$S$2:$S$587,"44743B1Convencional pré-pagamentoResidencialResidencial baixa renda – faixa 04Não se aplicaNão se aplicaFora ponta",Mercado_Receita!$L$2:$L$587)+SUMIF(Mercado_Receita!$S$2:$S$587,"44743B1Convencional pré-pagamentoResidencialResidencial baixa renda – faixa 04Não se aplicaNão se aplicaIntermediário",Mercado_Receita!$L$2:$L$587)+SUMIF(Mercado_Receita!$S$2:$S$587,"44743B1Convencional pré-pagamentoResidencialResidencial baixa renda – faixa 04Não se aplicaNão se aplicaNão se aplica",Mercado_Receita!$L$2:$L$587)</f>
        <v>0</v>
      </c>
      <c r="T26" s="13">
        <f>SUMIF(Mercado_Receita!$S$2:$S$587,"44774B1Convencional pré-pagamentoResidencialResidencial baixa renda – faixa 04Não se aplicaNão se aplicaPonta",Mercado_Receita!$L$2:$L$587)+SUMIF(Mercado_Receita!$S$2:$S$587,"44774B1Convencional pré-pagamentoResidencialResidencial baixa renda – faixa 04Não se aplicaNão se aplicaFora ponta",Mercado_Receita!$L$2:$L$587)+SUMIF(Mercado_Receita!$S$2:$S$587,"44774B1Convencional pré-pagamentoResidencialResidencial baixa renda – faixa 04Não se aplicaNão se aplicaIntermediário",Mercado_Receita!$L$2:$L$587)+SUMIF(Mercado_Receita!$S$2:$S$587,"44774B1Convencional pré-pagamentoResidencialResidencial baixa renda – faixa 04Não se aplicaNão se aplicaNão se aplica",Mercado_Receita!$L$2:$L$587)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5" t="s">
        <v>42</v>
      </c>
      <c r="B27" s="75" t="s">
        <v>33</v>
      </c>
      <c r="C27" s="75" t="s">
        <v>43</v>
      </c>
      <c r="D27" s="75" t="s">
        <v>25</v>
      </c>
      <c r="E27" s="75" t="s">
        <v>25</v>
      </c>
      <c r="F27" s="75" t="s">
        <v>25</v>
      </c>
      <c r="G27" s="13" t="s">
        <v>468</v>
      </c>
      <c r="H27" s="13" t="s">
        <v>467</v>
      </c>
      <c r="I27" s="13">
        <f>SUMIF(Mercado_Receita!$S$2:$S$587,"44440B2BrancaRuralNão se aplicaNão se aplicaNão se aplicaPonta",Mercado_Receita!$L$2:$L$587)</f>
        <v>0</v>
      </c>
      <c r="J27" s="13">
        <f>SUMIF(Mercado_Receita!$S$2:$S$587,"44470B2BrancaRuralNão se aplicaNão se aplicaNão se aplicaPonta",Mercado_Receita!$L$2:$L$587)</f>
        <v>0</v>
      </c>
      <c r="K27" s="13">
        <f>SUMIF(Mercado_Receita!$S$2:$S$587,"44501B2BrancaRuralNão se aplicaNão se aplicaNão se aplicaPonta",Mercado_Receita!$L$2:$L$587)</f>
        <v>0</v>
      </c>
      <c r="L27" s="13">
        <f>SUMIF(Mercado_Receita!$S$2:$S$587,"44531B2BrancaRuralNão se aplicaNão se aplicaNão se aplicaPonta",Mercado_Receita!$L$2:$L$587)</f>
        <v>0</v>
      </c>
      <c r="M27" s="13">
        <f>SUMIF(Mercado_Receita!$S$2:$S$587,"44562B2BrancaRuralNão se aplicaNão se aplicaNão se aplicaPonta",Mercado_Receita!$L$2:$L$587)</f>
        <v>0</v>
      </c>
      <c r="N27" s="13">
        <f>SUMIF(Mercado_Receita!$S$2:$S$587,"44593B2BrancaRuralNão se aplicaNão se aplicaNão se aplicaPonta",Mercado_Receita!$L$2:$L$587)</f>
        <v>0</v>
      </c>
      <c r="O27" s="13">
        <f>SUMIF(Mercado_Receita!$S$2:$S$587,"44621B2BrancaRuralNão se aplicaNão se aplicaNão se aplicaPonta",Mercado_Receita!$L$2:$L$587)</f>
        <v>0</v>
      </c>
      <c r="P27" s="13">
        <f>SUMIF(Mercado_Receita!$S$2:$S$587,"44652B2BrancaRuralNão se aplicaNão se aplicaNão se aplicaPonta",Mercado_Receita!$L$2:$L$587)</f>
        <v>0</v>
      </c>
      <c r="Q27" s="13">
        <f>SUMIF(Mercado_Receita!$S$2:$S$587,"44682B2BrancaRuralNão se aplicaNão se aplicaNão se aplicaPonta",Mercado_Receita!$L$2:$L$587)</f>
        <v>0</v>
      </c>
      <c r="R27" s="13">
        <f>SUMIF(Mercado_Receita!$S$2:$S$587,"44713B2BrancaRuralNão se aplicaNão se aplicaNão se aplicaPonta",Mercado_Receita!$L$2:$L$587)</f>
        <v>0</v>
      </c>
      <c r="S27" s="13">
        <f>SUMIF(Mercado_Receita!$S$2:$S$587,"44743B2BrancaRuralNão se aplicaNão se aplicaNão se aplicaPonta",Mercado_Receita!$L$2:$L$587)</f>
        <v>0</v>
      </c>
      <c r="T27" s="13">
        <f>SUMIF(Mercado_Receita!$S$2:$S$587,"44774B2BrancaRuralNão se aplicaNão se aplicaNão se aplicaPonta",Mercado_Receita!$L$2:$L$587)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6"/>
      <c r="B28" s="76"/>
      <c r="C28" s="76"/>
      <c r="D28" s="76"/>
      <c r="E28" s="76"/>
      <c r="F28" s="76"/>
      <c r="G28" s="13" t="s">
        <v>480</v>
      </c>
      <c r="H28" s="13" t="s">
        <v>467</v>
      </c>
      <c r="I28" s="13">
        <f>SUMIF(Mercado_Receita!$S$2:$S$587,"44440B2BrancaRuralNão se aplicaNão se aplicaNão se aplicaIntermediário",Mercado_Receita!$L$2:$L$587)</f>
        <v>0</v>
      </c>
      <c r="J28" s="13">
        <f>SUMIF(Mercado_Receita!$S$2:$S$587,"44470B2BrancaRuralNão se aplicaNão se aplicaNão se aplicaIntermediário",Mercado_Receita!$L$2:$L$587)</f>
        <v>0</v>
      </c>
      <c r="K28" s="13">
        <f>SUMIF(Mercado_Receita!$S$2:$S$587,"44501B2BrancaRuralNão se aplicaNão se aplicaNão se aplicaIntermediário",Mercado_Receita!$L$2:$L$587)</f>
        <v>0</v>
      </c>
      <c r="L28" s="13">
        <f>SUMIF(Mercado_Receita!$S$2:$S$587,"44531B2BrancaRuralNão se aplicaNão se aplicaNão se aplicaIntermediário",Mercado_Receita!$L$2:$L$587)</f>
        <v>0</v>
      </c>
      <c r="M28" s="13">
        <f>SUMIF(Mercado_Receita!$S$2:$S$587,"44562B2BrancaRuralNão se aplicaNão se aplicaNão se aplicaIntermediário",Mercado_Receita!$L$2:$L$587)</f>
        <v>0</v>
      </c>
      <c r="N28" s="13">
        <f>SUMIF(Mercado_Receita!$S$2:$S$587,"44593B2BrancaRuralNão se aplicaNão se aplicaNão se aplicaIntermediário",Mercado_Receita!$L$2:$L$587)</f>
        <v>0</v>
      </c>
      <c r="O28" s="13">
        <f>SUMIF(Mercado_Receita!$S$2:$S$587,"44621B2BrancaRuralNão se aplicaNão se aplicaNão se aplicaIntermediário",Mercado_Receita!$L$2:$L$587)</f>
        <v>0</v>
      </c>
      <c r="P28" s="13">
        <f>SUMIF(Mercado_Receita!$S$2:$S$587,"44652B2BrancaRuralNão se aplicaNão se aplicaNão se aplicaIntermediário",Mercado_Receita!$L$2:$L$587)</f>
        <v>0</v>
      </c>
      <c r="Q28" s="13">
        <f>SUMIF(Mercado_Receita!$S$2:$S$587,"44682B2BrancaRuralNão se aplicaNão se aplicaNão se aplicaIntermediário",Mercado_Receita!$L$2:$L$587)</f>
        <v>0</v>
      </c>
      <c r="R28" s="13">
        <f>SUMIF(Mercado_Receita!$S$2:$S$587,"44713B2BrancaRuralNão se aplicaNão se aplicaNão se aplicaIntermediário",Mercado_Receita!$L$2:$L$587)</f>
        <v>0</v>
      </c>
      <c r="S28" s="13">
        <f>SUMIF(Mercado_Receita!$S$2:$S$587,"44743B2BrancaRuralNão se aplicaNão se aplicaNão se aplicaIntermediário",Mercado_Receita!$L$2:$L$587)</f>
        <v>0</v>
      </c>
      <c r="T28" s="13">
        <f>SUMIF(Mercado_Receita!$S$2:$S$587,"44774B2BrancaRuralNão se aplicaNão se aplicaNão se aplicaIntermediário",Mercado_Receita!$L$2:$L$587)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6"/>
      <c r="B29" s="76"/>
      <c r="C29" s="76"/>
      <c r="D29" s="76"/>
      <c r="E29" s="76"/>
      <c r="F29" s="76"/>
      <c r="G29" s="13" t="s">
        <v>469</v>
      </c>
      <c r="H29" s="13" t="s">
        <v>467</v>
      </c>
      <c r="I29" s="13">
        <f>SUMIF(Mercado_Receita!$S$2:$S$587,"44440B2BrancaRuralNão se aplicaNão se aplicaNão se aplicaFora ponta",Mercado_Receita!$L$2:$L$587)</f>
        <v>0</v>
      </c>
      <c r="J29" s="13">
        <f>SUMIF(Mercado_Receita!$S$2:$S$587,"44470B2BrancaRuralNão se aplicaNão se aplicaNão se aplicaFora ponta",Mercado_Receita!$L$2:$L$587)</f>
        <v>0</v>
      </c>
      <c r="K29" s="13">
        <f>SUMIF(Mercado_Receita!$S$2:$S$587,"44501B2BrancaRuralNão se aplicaNão se aplicaNão se aplicaFora ponta",Mercado_Receita!$L$2:$L$587)</f>
        <v>0</v>
      </c>
      <c r="L29" s="13">
        <f>SUMIF(Mercado_Receita!$S$2:$S$587,"44531B2BrancaRuralNão se aplicaNão se aplicaNão se aplicaFora ponta",Mercado_Receita!$L$2:$L$587)</f>
        <v>0</v>
      </c>
      <c r="M29" s="13">
        <f>SUMIF(Mercado_Receita!$S$2:$S$587,"44562B2BrancaRuralNão se aplicaNão se aplicaNão se aplicaFora ponta",Mercado_Receita!$L$2:$L$587)</f>
        <v>0</v>
      </c>
      <c r="N29" s="13">
        <f>SUMIF(Mercado_Receita!$S$2:$S$587,"44593B2BrancaRuralNão se aplicaNão se aplicaNão se aplicaFora ponta",Mercado_Receita!$L$2:$L$587)</f>
        <v>0</v>
      </c>
      <c r="O29" s="13">
        <f>SUMIF(Mercado_Receita!$S$2:$S$587,"44621B2BrancaRuralNão se aplicaNão se aplicaNão se aplicaFora ponta",Mercado_Receita!$L$2:$L$587)</f>
        <v>0</v>
      </c>
      <c r="P29" s="13">
        <f>SUMIF(Mercado_Receita!$S$2:$S$587,"44652B2BrancaRuralNão se aplicaNão se aplicaNão se aplicaFora ponta",Mercado_Receita!$L$2:$L$587)</f>
        <v>0</v>
      </c>
      <c r="Q29" s="13">
        <f>SUMIF(Mercado_Receita!$S$2:$S$587,"44682B2BrancaRuralNão se aplicaNão se aplicaNão se aplicaFora ponta",Mercado_Receita!$L$2:$L$587)</f>
        <v>0</v>
      </c>
      <c r="R29" s="13">
        <f>SUMIF(Mercado_Receita!$S$2:$S$587,"44713B2BrancaRuralNão se aplicaNão se aplicaNão se aplicaFora ponta",Mercado_Receita!$L$2:$L$587)</f>
        <v>0</v>
      </c>
      <c r="S29" s="13">
        <f>SUMIF(Mercado_Receita!$S$2:$S$587,"44743B2BrancaRuralNão se aplicaNão se aplicaNão se aplicaFora ponta",Mercado_Receita!$L$2:$L$587)</f>
        <v>0</v>
      </c>
      <c r="T29" s="13">
        <f>SUMIF(Mercado_Receita!$S$2:$S$587,"44774B2BrancaRuralNão se aplicaNão se aplicaNão se aplicaFora ponta",Mercado_Receita!$L$2:$L$587)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6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474</v>
      </c>
      <c r="H30" s="13" t="s">
        <v>467</v>
      </c>
      <c r="I30" s="13">
        <f>SUMIF(Mercado_Receita!$S$2:$S$587,"44440B2ConvencionalRuralNão se aplicaNão se aplicaNão se aplicaPonta",Mercado_Receita!$L$2:$L$587)+SUMIF(Mercado_Receita!$S$2:$S$587,"44440B2ConvencionalRuralNão se aplicaNão se aplicaNão se aplicaFora ponta",Mercado_Receita!$L$2:$L$587)+SUMIF(Mercado_Receita!$S$2:$S$587,"44440B2ConvencionalRuralNão se aplicaNão se aplicaNão se aplicaIntermediário",Mercado_Receita!$L$2:$L$587)+SUMIF(Mercado_Receita!$S$2:$S$587,"44440B2ConvencionalRuralNão se aplicaNão se aplicaNão se aplicaNão se aplica",Mercado_Receita!$L$2:$L$587)</f>
        <v>39.858000000000004</v>
      </c>
      <c r="J30" s="13">
        <f>SUMIF(Mercado_Receita!$S$2:$S$587,"44470B2ConvencionalRuralNão se aplicaNão se aplicaNão se aplicaPonta",Mercado_Receita!$L$2:$L$587)+SUMIF(Mercado_Receita!$S$2:$S$587,"44470B2ConvencionalRuralNão se aplicaNão se aplicaNão se aplicaFora ponta",Mercado_Receita!$L$2:$L$587)+SUMIF(Mercado_Receita!$S$2:$S$587,"44470B2ConvencionalRuralNão se aplicaNão se aplicaNão se aplicaIntermediário",Mercado_Receita!$L$2:$L$587)+SUMIF(Mercado_Receita!$S$2:$S$587,"44470B2ConvencionalRuralNão se aplicaNão se aplicaNão se aplicaNão se aplica",Mercado_Receita!$L$2:$L$587)</f>
        <v>40.295000000000002</v>
      </c>
      <c r="K30" s="13">
        <f>SUMIF(Mercado_Receita!$S$2:$S$587,"44501B2ConvencionalRuralNão se aplicaNão se aplicaNão se aplicaPonta",Mercado_Receita!$L$2:$L$587)+SUMIF(Mercado_Receita!$S$2:$S$587,"44501B2ConvencionalRuralNão se aplicaNão se aplicaNão se aplicaFora ponta",Mercado_Receita!$L$2:$L$587)+SUMIF(Mercado_Receita!$S$2:$S$587,"44501B2ConvencionalRuralNão se aplicaNão se aplicaNão se aplicaIntermediário",Mercado_Receita!$L$2:$L$587)+SUMIF(Mercado_Receita!$S$2:$S$587,"44501B2ConvencionalRuralNão se aplicaNão se aplicaNão se aplicaNão se aplica",Mercado_Receita!$L$2:$L$587)</f>
        <v>41.336999999999996</v>
      </c>
      <c r="L30" s="13">
        <f>SUMIF(Mercado_Receita!$S$2:$S$587,"44531B2ConvencionalRuralNão se aplicaNão se aplicaNão se aplicaPonta",Mercado_Receita!$L$2:$L$587)+SUMIF(Mercado_Receita!$S$2:$S$587,"44531B2ConvencionalRuralNão se aplicaNão se aplicaNão se aplicaFora ponta",Mercado_Receita!$L$2:$L$587)+SUMIF(Mercado_Receita!$S$2:$S$587,"44531B2ConvencionalRuralNão se aplicaNão se aplicaNão se aplicaIntermediário",Mercado_Receita!$L$2:$L$587)+SUMIF(Mercado_Receita!$S$2:$S$587,"44531B2ConvencionalRuralNão se aplicaNão se aplicaNão se aplicaNão se aplica",Mercado_Receita!$L$2:$L$587)</f>
        <v>47.161999999999999</v>
      </c>
      <c r="M30" s="13">
        <f>SUMIF(Mercado_Receita!$S$2:$S$587,"44562B2ConvencionalRuralNão se aplicaNão se aplicaNão se aplicaPonta",Mercado_Receita!$L$2:$L$587)+SUMIF(Mercado_Receita!$S$2:$S$587,"44562B2ConvencionalRuralNão se aplicaNão se aplicaNão se aplicaFora ponta",Mercado_Receita!$L$2:$L$587)+SUMIF(Mercado_Receita!$S$2:$S$587,"44562B2ConvencionalRuralNão se aplicaNão se aplicaNão se aplicaIntermediário",Mercado_Receita!$L$2:$L$587)+SUMIF(Mercado_Receita!$S$2:$S$587,"44562B2ConvencionalRuralNão se aplicaNão se aplicaNão se aplicaNão se aplica",Mercado_Receita!$L$2:$L$587)</f>
        <v>51.375999999999998</v>
      </c>
      <c r="N30" s="13">
        <f>SUMIF(Mercado_Receita!$S$2:$S$587,"44593B2ConvencionalRuralNão se aplicaNão se aplicaNão se aplicaPonta",Mercado_Receita!$L$2:$L$587)+SUMIF(Mercado_Receita!$S$2:$S$587,"44593B2ConvencionalRuralNão se aplicaNão se aplicaNão se aplicaFora ponta",Mercado_Receita!$L$2:$L$587)+SUMIF(Mercado_Receita!$S$2:$S$587,"44593B2ConvencionalRuralNão se aplicaNão se aplicaNão se aplicaIntermediário",Mercado_Receita!$L$2:$L$587)+SUMIF(Mercado_Receita!$S$2:$S$587,"44593B2ConvencionalRuralNão se aplicaNão se aplicaNão se aplicaNão se aplica",Mercado_Receita!$L$2:$L$587)</f>
        <v>61.805999999999997</v>
      </c>
      <c r="O30" s="13">
        <f>SUMIF(Mercado_Receita!$S$2:$S$587,"44621B2ConvencionalRuralNão se aplicaNão se aplicaNão se aplicaPonta",Mercado_Receita!$L$2:$L$587)+SUMIF(Mercado_Receita!$S$2:$S$587,"44621B2ConvencionalRuralNão se aplicaNão se aplicaNão se aplicaFora ponta",Mercado_Receita!$L$2:$L$587)+SUMIF(Mercado_Receita!$S$2:$S$587,"44621B2ConvencionalRuralNão se aplicaNão se aplicaNão se aplicaIntermediário",Mercado_Receita!$L$2:$L$587)+SUMIF(Mercado_Receita!$S$2:$S$587,"44621B2ConvencionalRuralNão se aplicaNão se aplicaNão se aplicaNão se aplica",Mercado_Receita!$L$2:$L$587)</f>
        <v>47.792999999999999</v>
      </c>
      <c r="P30" s="13">
        <f>SUMIF(Mercado_Receita!$S$2:$S$587,"44652B2ConvencionalRuralNão se aplicaNão se aplicaNão se aplicaPonta",Mercado_Receita!$L$2:$L$587)+SUMIF(Mercado_Receita!$S$2:$S$587,"44652B2ConvencionalRuralNão se aplicaNão se aplicaNão se aplicaFora ponta",Mercado_Receita!$L$2:$L$587)+SUMIF(Mercado_Receita!$S$2:$S$587,"44652B2ConvencionalRuralNão se aplicaNão se aplicaNão se aplicaIntermediário",Mercado_Receita!$L$2:$L$587)+SUMIF(Mercado_Receita!$S$2:$S$587,"44652B2ConvencionalRuralNão se aplicaNão se aplicaNão se aplicaNão se aplica",Mercado_Receita!$L$2:$L$587)</f>
        <v>40.559999999999995</v>
      </c>
      <c r="Q30" s="13">
        <f>SUMIF(Mercado_Receita!$S$2:$S$587,"44682B2ConvencionalRuralNão se aplicaNão se aplicaNão se aplicaPonta",Mercado_Receita!$L$2:$L$587)+SUMIF(Mercado_Receita!$S$2:$S$587,"44682B2ConvencionalRuralNão se aplicaNão se aplicaNão se aplicaFora ponta",Mercado_Receita!$L$2:$L$587)+SUMIF(Mercado_Receita!$S$2:$S$587,"44682B2ConvencionalRuralNão se aplicaNão se aplicaNão se aplicaIntermediário",Mercado_Receita!$L$2:$L$587)+SUMIF(Mercado_Receita!$S$2:$S$587,"44682B2ConvencionalRuralNão se aplicaNão se aplicaNão se aplicaNão se aplica",Mercado_Receita!$L$2:$L$587)</f>
        <v>36.631999999999998</v>
      </c>
      <c r="R30" s="13">
        <f>SUMIF(Mercado_Receita!$S$2:$S$587,"44713B2ConvencionalRuralNão se aplicaNão se aplicaNão se aplicaPonta",Mercado_Receita!$L$2:$L$587)+SUMIF(Mercado_Receita!$S$2:$S$587,"44713B2ConvencionalRuralNão se aplicaNão se aplicaNão se aplicaFora ponta",Mercado_Receita!$L$2:$L$587)+SUMIF(Mercado_Receita!$S$2:$S$587,"44713B2ConvencionalRuralNão se aplicaNão se aplicaNão se aplicaIntermediário",Mercado_Receita!$L$2:$L$587)+SUMIF(Mercado_Receita!$S$2:$S$587,"44713B2ConvencionalRuralNão se aplicaNão se aplicaNão se aplicaNão se aplica",Mercado_Receita!$L$2:$L$587)</f>
        <v>39.387999999999998</v>
      </c>
      <c r="S30" s="13">
        <f>SUMIF(Mercado_Receita!$S$2:$S$587,"44743B2ConvencionalRuralNão se aplicaNão se aplicaNão se aplicaPonta",Mercado_Receita!$L$2:$L$587)+SUMIF(Mercado_Receita!$S$2:$S$587,"44743B2ConvencionalRuralNão se aplicaNão se aplicaNão se aplicaFora ponta",Mercado_Receita!$L$2:$L$587)+SUMIF(Mercado_Receita!$S$2:$S$587,"44743B2ConvencionalRuralNão se aplicaNão se aplicaNão se aplicaIntermediário",Mercado_Receita!$L$2:$L$587)+SUMIF(Mercado_Receita!$S$2:$S$587,"44743B2ConvencionalRuralNão se aplicaNão se aplicaNão se aplicaNão se aplica",Mercado_Receita!$L$2:$L$587)</f>
        <v>31.72</v>
      </c>
      <c r="T30" s="13">
        <f>SUMIF(Mercado_Receita!$S$2:$S$587,"44774B2ConvencionalRuralNão se aplicaNão se aplicaNão se aplicaPonta",Mercado_Receita!$L$2:$L$587)+SUMIF(Mercado_Receita!$S$2:$S$587,"44774B2ConvencionalRuralNão se aplicaNão se aplicaNão se aplicaFora ponta",Mercado_Receita!$L$2:$L$587)+SUMIF(Mercado_Receita!$S$2:$S$587,"44774B2ConvencionalRuralNão se aplicaNão se aplicaNão se aplicaIntermediário",Mercado_Receita!$L$2:$L$587)+SUMIF(Mercado_Receita!$S$2:$S$587,"44774B2ConvencionalRuralNão se aplicaNão se aplicaNão se aplicaNão se aplica",Mercado_Receita!$L$2:$L$587)</f>
        <v>35.651000000000003</v>
      </c>
      <c r="U30" s="13">
        <f t="shared" si="0"/>
        <v>513.57799999999997</v>
      </c>
      <c r="V30" s="13"/>
      <c r="W30" s="13"/>
    </row>
    <row r="31" spans="1:23" ht="11.25" customHeight="1" x14ac:dyDescent="0.3">
      <c r="A31" s="76"/>
      <c r="B31" s="75" t="s">
        <v>33</v>
      </c>
      <c r="C31" s="75" t="s">
        <v>43</v>
      </c>
      <c r="D31" s="75" t="s">
        <v>484</v>
      </c>
      <c r="E31" s="75" t="s">
        <v>25</v>
      </c>
      <c r="F31" s="75" t="s">
        <v>25</v>
      </c>
      <c r="G31" s="13" t="s">
        <v>468</v>
      </c>
      <c r="H31" s="13" t="s">
        <v>467</v>
      </c>
      <c r="I31" s="13">
        <f>SUMIF(Mercado_Receita!$S$2:$S$587,"44440B2BrancaRuralCooperativa de eletrificação ruralNão se aplicaNão se aplicaPonta",Mercado_Receita!$L$2:$L$587)</f>
        <v>0</v>
      </c>
      <c r="J31" s="13">
        <f>SUMIF(Mercado_Receita!$S$2:$S$587,"44470B2BrancaRuralCooperativa de eletrificação ruralNão se aplicaNão se aplicaPonta",Mercado_Receita!$L$2:$L$587)</f>
        <v>0</v>
      </c>
      <c r="K31" s="13">
        <f>SUMIF(Mercado_Receita!$S$2:$S$587,"44501B2BrancaRuralCooperativa de eletrificação ruralNão se aplicaNão se aplicaPonta",Mercado_Receita!$L$2:$L$587)</f>
        <v>0</v>
      </c>
      <c r="L31" s="13">
        <f>SUMIF(Mercado_Receita!$S$2:$S$587,"44531B2BrancaRuralCooperativa de eletrificação ruralNão se aplicaNão se aplicaPonta",Mercado_Receita!$L$2:$L$587)</f>
        <v>0</v>
      </c>
      <c r="M31" s="13">
        <f>SUMIF(Mercado_Receita!$S$2:$S$587,"44562B2BrancaRuralCooperativa de eletrificação ruralNão se aplicaNão se aplicaPonta",Mercado_Receita!$L$2:$L$587)</f>
        <v>0</v>
      </c>
      <c r="N31" s="13">
        <f>SUMIF(Mercado_Receita!$S$2:$S$587,"44593B2BrancaRuralCooperativa de eletrificação ruralNão se aplicaNão se aplicaPonta",Mercado_Receita!$L$2:$L$587)</f>
        <v>0</v>
      </c>
      <c r="O31" s="13">
        <f>SUMIF(Mercado_Receita!$S$2:$S$587,"44621B2BrancaRuralCooperativa de eletrificação ruralNão se aplicaNão se aplicaPonta",Mercado_Receita!$L$2:$L$587)</f>
        <v>0</v>
      </c>
      <c r="P31" s="13">
        <f>SUMIF(Mercado_Receita!$S$2:$S$587,"44652B2BrancaRuralCooperativa de eletrificação ruralNão se aplicaNão se aplicaPonta",Mercado_Receita!$L$2:$L$587)</f>
        <v>0</v>
      </c>
      <c r="Q31" s="13">
        <f>SUMIF(Mercado_Receita!$S$2:$S$587,"44682B2BrancaRuralCooperativa de eletrificação ruralNão se aplicaNão se aplicaPonta",Mercado_Receita!$L$2:$L$587)</f>
        <v>0</v>
      </c>
      <c r="R31" s="13">
        <f>SUMIF(Mercado_Receita!$S$2:$S$587,"44713B2BrancaRuralCooperativa de eletrificação ruralNão se aplicaNão se aplicaPonta",Mercado_Receita!$L$2:$L$587)</f>
        <v>0</v>
      </c>
      <c r="S31" s="13">
        <f>SUMIF(Mercado_Receita!$S$2:$S$587,"44743B2BrancaRuralCooperativa de eletrificação ruralNão se aplicaNão se aplicaPonta",Mercado_Receita!$L$2:$L$587)</f>
        <v>0</v>
      </c>
      <c r="T31" s="13">
        <f>SUMIF(Mercado_Receita!$S$2:$S$587,"44774B2BrancaRuralCooperativa de eletrificação ruralNão se aplicaNão se aplicaPonta",Mercado_Receita!$L$2:$L$587)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6"/>
      <c r="B32" s="76"/>
      <c r="C32" s="76"/>
      <c r="D32" s="76"/>
      <c r="E32" s="76"/>
      <c r="F32" s="76"/>
      <c r="G32" s="13" t="s">
        <v>480</v>
      </c>
      <c r="H32" s="13" t="s">
        <v>467</v>
      </c>
      <c r="I32" s="13">
        <f>SUMIF(Mercado_Receita!$S$2:$S$587,"44440B2BrancaRuralCooperativa de eletrificação ruralNão se aplicaNão se aplicaIntermediário",Mercado_Receita!$L$2:$L$587)</f>
        <v>0</v>
      </c>
      <c r="J32" s="13">
        <f>SUMIF(Mercado_Receita!$S$2:$S$587,"44470B2BrancaRuralCooperativa de eletrificação ruralNão se aplicaNão se aplicaIntermediário",Mercado_Receita!$L$2:$L$587)</f>
        <v>0</v>
      </c>
      <c r="K32" s="13">
        <f>SUMIF(Mercado_Receita!$S$2:$S$587,"44501B2BrancaRuralCooperativa de eletrificação ruralNão se aplicaNão se aplicaIntermediário",Mercado_Receita!$L$2:$L$587)</f>
        <v>0</v>
      </c>
      <c r="L32" s="13">
        <f>SUMIF(Mercado_Receita!$S$2:$S$587,"44531B2BrancaRuralCooperativa de eletrificação ruralNão se aplicaNão se aplicaIntermediário",Mercado_Receita!$L$2:$L$587)</f>
        <v>0</v>
      </c>
      <c r="M32" s="13">
        <f>SUMIF(Mercado_Receita!$S$2:$S$587,"44562B2BrancaRuralCooperativa de eletrificação ruralNão se aplicaNão se aplicaIntermediário",Mercado_Receita!$L$2:$L$587)</f>
        <v>0</v>
      </c>
      <c r="N32" s="13">
        <f>SUMIF(Mercado_Receita!$S$2:$S$587,"44593B2BrancaRuralCooperativa de eletrificação ruralNão se aplicaNão se aplicaIntermediário",Mercado_Receita!$L$2:$L$587)</f>
        <v>0</v>
      </c>
      <c r="O32" s="13">
        <f>SUMIF(Mercado_Receita!$S$2:$S$587,"44621B2BrancaRuralCooperativa de eletrificação ruralNão se aplicaNão se aplicaIntermediário",Mercado_Receita!$L$2:$L$587)</f>
        <v>0</v>
      </c>
      <c r="P32" s="13">
        <f>SUMIF(Mercado_Receita!$S$2:$S$587,"44652B2BrancaRuralCooperativa de eletrificação ruralNão se aplicaNão se aplicaIntermediário",Mercado_Receita!$L$2:$L$587)</f>
        <v>0</v>
      </c>
      <c r="Q32" s="13">
        <f>SUMIF(Mercado_Receita!$S$2:$S$587,"44682B2BrancaRuralCooperativa de eletrificação ruralNão se aplicaNão se aplicaIntermediário",Mercado_Receita!$L$2:$L$587)</f>
        <v>0</v>
      </c>
      <c r="R32" s="13">
        <f>SUMIF(Mercado_Receita!$S$2:$S$587,"44713B2BrancaRuralCooperativa de eletrificação ruralNão se aplicaNão se aplicaIntermediário",Mercado_Receita!$L$2:$L$587)</f>
        <v>0</v>
      </c>
      <c r="S32" s="13">
        <f>SUMIF(Mercado_Receita!$S$2:$S$587,"44743B2BrancaRuralCooperativa de eletrificação ruralNão se aplicaNão se aplicaIntermediário",Mercado_Receita!$L$2:$L$587)</f>
        <v>0</v>
      </c>
      <c r="T32" s="13">
        <f>SUMIF(Mercado_Receita!$S$2:$S$587,"44774B2BrancaRuralCooperativa de eletrificação ruralNão se aplicaNão se aplicaIntermediário",Mercado_Receita!$L$2:$L$587)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6"/>
      <c r="B33" s="76"/>
      <c r="C33" s="76"/>
      <c r="D33" s="76"/>
      <c r="E33" s="76"/>
      <c r="F33" s="76"/>
      <c r="G33" s="13" t="s">
        <v>469</v>
      </c>
      <c r="H33" s="13" t="s">
        <v>467</v>
      </c>
      <c r="I33" s="13">
        <f>SUMIF(Mercado_Receita!$S$2:$S$587,"44440B2BrancaRuralCooperativa de eletrificação ruralNão se aplicaNão se aplicaFora ponta",Mercado_Receita!$L$2:$L$587)</f>
        <v>0</v>
      </c>
      <c r="J33" s="13">
        <f>SUMIF(Mercado_Receita!$S$2:$S$587,"44470B2BrancaRuralCooperativa de eletrificação ruralNão se aplicaNão se aplicaFora ponta",Mercado_Receita!$L$2:$L$587)</f>
        <v>0</v>
      </c>
      <c r="K33" s="13">
        <f>SUMIF(Mercado_Receita!$S$2:$S$587,"44501B2BrancaRuralCooperativa de eletrificação ruralNão se aplicaNão se aplicaFora ponta",Mercado_Receita!$L$2:$L$587)</f>
        <v>0</v>
      </c>
      <c r="L33" s="13">
        <f>SUMIF(Mercado_Receita!$S$2:$S$587,"44531B2BrancaRuralCooperativa de eletrificação ruralNão se aplicaNão se aplicaFora ponta",Mercado_Receita!$L$2:$L$587)</f>
        <v>0</v>
      </c>
      <c r="M33" s="13">
        <f>SUMIF(Mercado_Receita!$S$2:$S$587,"44562B2BrancaRuralCooperativa de eletrificação ruralNão se aplicaNão se aplicaFora ponta",Mercado_Receita!$L$2:$L$587)</f>
        <v>0</v>
      </c>
      <c r="N33" s="13">
        <f>SUMIF(Mercado_Receita!$S$2:$S$587,"44593B2BrancaRuralCooperativa de eletrificação ruralNão se aplicaNão se aplicaFora ponta",Mercado_Receita!$L$2:$L$587)</f>
        <v>0</v>
      </c>
      <c r="O33" s="13">
        <f>SUMIF(Mercado_Receita!$S$2:$S$587,"44621B2BrancaRuralCooperativa de eletrificação ruralNão se aplicaNão se aplicaFora ponta",Mercado_Receita!$L$2:$L$587)</f>
        <v>0</v>
      </c>
      <c r="P33" s="13">
        <f>SUMIF(Mercado_Receita!$S$2:$S$587,"44652B2BrancaRuralCooperativa de eletrificação ruralNão se aplicaNão se aplicaFora ponta",Mercado_Receita!$L$2:$L$587)</f>
        <v>0</v>
      </c>
      <c r="Q33" s="13">
        <f>SUMIF(Mercado_Receita!$S$2:$S$587,"44682B2BrancaRuralCooperativa de eletrificação ruralNão se aplicaNão se aplicaFora ponta",Mercado_Receita!$L$2:$L$587)</f>
        <v>0</v>
      </c>
      <c r="R33" s="13">
        <f>SUMIF(Mercado_Receita!$S$2:$S$587,"44713B2BrancaRuralCooperativa de eletrificação ruralNão se aplicaNão se aplicaFora ponta",Mercado_Receita!$L$2:$L$587)</f>
        <v>0</v>
      </c>
      <c r="S33" s="13">
        <f>SUMIF(Mercado_Receita!$S$2:$S$587,"44743B2BrancaRuralCooperativa de eletrificação ruralNão se aplicaNão se aplicaFora ponta",Mercado_Receita!$L$2:$L$587)</f>
        <v>0</v>
      </c>
      <c r="T33" s="13">
        <f>SUMIF(Mercado_Receita!$S$2:$S$587,"44774B2BrancaRuralCooperativa de eletrificação ruralNão se aplicaNão se aplicaFora ponta",Mercado_Receita!$L$2:$L$587)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76"/>
      <c r="B34" s="12" t="s">
        <v>23</v>
      </c>
      <c r="C34" s="12" t="s">
        <v>43</v>
      </c>
      <c r="D34" s="12" t="s">
        <v>484</v>
      </c>
      <c r="E34" s="12" t="s">
        <v>25</v>
      </c>
      <c r="F34" s="12" t="s">
        <v>25</v>
      </c>
      <c r="G34" s="13" t="s">
        <v>474</v>
      </c>
      <c r="H34" s="13" t="s">
        <v>467</v>
      </c>
      <c r="I34" s="13">
        <f>SUMIF(Mercado_Receita!$S$2:$S$587,"44440B2ConvencionalRuralCooperativa de eletrificação ruralNão se aplicaNão se aplicaPonta",Mercado_Receita!$L$2:$L$587)+SUMIF(Mercado_Receita!$S$2:$S$587,"44440B2ConvencionalRuralCooperativa de eletrificação ruralNão se aplicaNão se aplicaFora ponta",Mercado_Receita!$L$2:$L$587)+SUMIF(Mercado_Receita!$S$2:$S$587,"44440B2ConvencionalRuralCooperativa de eletrificação ruralNão se aplicaNão se aplicaIntermediário",Mercado_Receita!$L$2:$L$587)+SUMIF(Mercado_Receita!$S$2:$S$587,"44440B2ConvencionalRuralCooperativa de eletrificação ruralNão se aplicaNão se aplicaNão se aplica",Mercado_Receita!$L$2:$L$587)</f>
        <v>0</v>
      </c>
      <c r="J34" s="13">
        <f>SUMIF(Mercado_Receita!$S$2:$S$587,"44470B2ConvencionalRuralCooperativa de eletrificação ruralNão se aplicaNão se aplicaPonta",Mercado_Receita!$L$2:$L$587)+SUMIF(Mercado_Receita!$S$2:$S$587,"44470B2ConvencionalRuralCooperativa de eletrificação ruralNão se aplicaNão se aplicaFora ponta",Mercado_Receita!$L$2:$L$587)+SUMIF(Mercado_Receita!$S$2:$S$587,"44470B2ConvencionalRuralCooperativa de eletrificação ruralNão se aplicaNão se aplicaIntermediário",Mercado_Receita!$L$2:$L$587)+SUMIF(Mercado_Receita!$S$2:$S$587,"44470B2ConvencionalRuralCooperativa de eletrificação ruralNão se aplicaNão se aplicaNão se aplica",Mercado_Receita!$L$2:$L$587)</f>
        <v>0</v>
      </c>
      <c r="K34" s="13">
        <f>SUMIF(Mercado_Receita!$S$2:$S$587,"44501B2ConvencionalRuralCooperativa de eletrificação ruralNão se aplicaNão se aplicaPonta",Mercado_Receita!$L$2:$L$587)+SUMIF(Mercado_Receita!$S$2:$S$587,"44501B2ConvencionalRuralCooperativa de eletrificação ruralNão se aplicaNão se aplicaFora ponta",Mercado_Receita!$L$2:$L$587)+SUMIF(Mercado_Receita!$S$2:$S$587,"44501B2ConvencionalRuralCooperativa de eletrificação ruralNão se aplicaNão se aplicaIntermediário",Mercado_Receita!$L$2:$L$587)+SUMIF(Mercado_Receita!$S$2:$S$587,"44501B2ConvencionalRuralCooperativa de eletrificação ruralNão se aplicaNão se aplicaNão se aplica",Mercado_Receita!$L$2:$L$587)</f>
        <v>0</v>
      </c>
      <c r="L34" s="13">
        <f>SUMIF(Mercado_Receita!$S$2:$S$587,"44531B2ConvencionalRuralCooperativa de eletrificação ruralNão se aplicaNão se aplicaPonta",Mercado_Receita!$L$2:$L$587)+SUMIF(Mercado_Receita!$S$2:$S$587,"44531B2ConvencionalRuralCooperativa de eletrificação ruralNão se aplicaNão se aplicaFora ponta",Mercado_Receita!$L$2:$L$587)+SUMIF(Mercado_Receita!$S$2:$S$587,"44531B2ConvencionalRuralCooperativa de eletrificação ruralNão se aplicaNão se aplicaIntermediário",Mercado_Receita!$L$2:$L$587)+SUMIF(Mercado_Receita!$S$2:$S$587,"44531B2ConvencionalRuralCooperativa de eletrificação ruralNão se aplicaNão se aplicaNão se aplica",Mercado_Receita!$L$2:$L$587)</f>
        <v>0</v>
      </c>
      <c r="M34" s="13">
        <f>SUMIF(Mercado_Receita!$S$2:$S$587,"44562B2ConvencionalRuralCooperativa de eletrificação ruralNão se aplicaNão se aplicaPonta",Mercado_Receita!$L$2:$L$587)+SUMIF(Mercado_Receita!$S$2:$S$587,"44562B2ConvencionalRuralCooperativa de eletrificação ruralNão se aplicaNão se aplicaFora ponta",Mercado_Receita!$L$2:$L$587)+SUMIF(Mercado_Receita!$S$2:$S$587,"44562B2ConvencionalRuralCooperativa de eletrificação ruralNão se aplicaNão se aplicaIntermediário",Mercado_Receita!$L$2:$L$587)+SUMIF(Mercado_Receita!$S$2:$S$587,"44562B2ConvencionalRuralCooperativa de eletrificação ruralNão se aplicaNão se aplicaNão se aplica",Mercado_Receita!$L$2:$L$587)</f>
        <v>0</v>
      </c>
      <c r="N34" s="13">
        <f>SUMIF(Mercado_Receita!$S$2:$S$587,"44593B2ConvencionalRuralCooperativa de eletrificação ruralNão se aplicaNão se aplicaPonta",Mercado_Receita!$L$2:$L$587)+SUMIF(Mercado_Receita!$S$2:$S$587,"44593B2ConvencionalRuralCooperativa de eletrificação ruralNão se aplicaNão se aplicaFora ponta",Mercado_Receita!$L$2:$L$587)+SUMIF(Mercado_Receita!$S$2:$S$587,"44593B2ConvencionalRuralCooperativa de eletrificação ruralNão se aplicaNão se aplicaIntermediário",Mercado_Receita!$L$2:$L$587)+SUMIF(Mercado_Receita!$S$2:$S$587,"44593B2ConvencionalRuralCooperativa de eletrificação ruralNão se aplicaNão se aplicaNão se aplica",Mercado_Receita!$L$2:$L$587)</f>
        <v>0</v>
      </c>
      <c r="O34" s="13">
        <f>SUMIF(Mercado_Receita!$S$2:$S$587,"44621B2ConvencionalRuralCooperativa de eletrificação ruralNão se aplicaNão se aplicaPonta",Mercado_Receita!$L$2:$L$587)+SUMIF(Mercado_Receita!$S$2:$S$587,"44621B2ConvencionalRuralCooperativa de eletrificação ruralNão se aplicaNão se aplicaFora ponta",Mercado_Receita!$L$2:$L$587)+SUMIF(Mercado_Receita!$S$2:$S$587,"44621B2ConvencionalRuralCooperativa de eletrificação ruralNão se aplicaNão se aplicaIntermediário",Mercado_Receita!$L$2:$L$587)+SUMIF(Mercado_Receita!$S$2:$S$587,"44621B2ConvencionalRuralCooperativa de eletrificação ruralNão se aplicaNão se aplicaNão se aplica",Mercado_Receita!$L$2:$L$587)</f>
        <v>0</v>
      </c>
      <c r="P34" s="13">
        <f>SUMIF(Mercado_Receita!$S$2:$S$587,"44652B2ConvencionalRuralCooperativa de eletrificação ruralNão se aplicaNão se aplicaPonta",Mercado_Receita!$L$2:$L$587)+SUMIF(Mercado_Receita!$S$2:$S$587,"44652B2ConvencionalRuralCooperativa de eletrificação ruralNão se aplicaNão se aplicaFora ponta",Mercado_Receita!$L$2:$L$587)+SUMIF(Mercado_Receita!$S$2:$S$587,"44652B2ConvencionalRuralCooperativa de eletrificação ruralNão se aplicaNão se aplicaIntermediário",Mercado_Receita!$L$2:$L$587)+SUMIF(Mercado_Receita!$S$2:$S$587,"44652B2ConvencionalRuralCooperativa de eletrificação ruralNão se aplicaNão se aplicaNão se aplica",Mercado_Receita!$L$2:$L$587)</f>
        <v>0</v>
      </c>
      <c r="Q34" s="13">
        <f>SUMIF(Mercado_Receita!$S$2:$S$587,"44682B2ConvencionalRuralCooperativa de eletrificação ruralNão se aplicaNão se aplicaPonta",Mercado_Receita!$L$2:$L$587)+SUMIF(Mercado_Receita!$S$2:$S$587,"44682B2ConvencionalRuralCooperativa de eletrificação ruralNão se aplicaNão se aplicaFora ponta",Mercado_Receita!$L$2:$L$587)+SUMIF(Mercado_Receita!$S$2:$S$587,"44682B2ConvencionalRuralCooperativa de eletrificação ruralNão se aplicaNão se aplicaIntermediário",Mercado_Receita!$L$2:$L$587)+SUMIF(Mercado_Receita!$S$2:$S$587,"44682B2ConvencionalRuralCooperativa de eletrificação ruralNão se aplicaNão se aplicaNão se aplica",Mercado_Receita!$L$2:$L$587)</f>
        <v>0</v>
      </c>
      <c r="R34" s="13">
        <f>SUMIF(Mercado_Receita!$S$2:$S$587,"44713B2ConvencionalRuralCooperativa de eletrificação ruralNão se aplicaNão se aplicaPonta",Mercado_Receita!$L$2:$L$587)+SUMIF(Mercado_Receita!$S$2:$S$587,"44713B2ConvencionalRuralCooperativa de eletrificação ruralNão se aplicaNão se aplicaFora ponta",Mercado_Receita!$L$2:$L$587)+SUMIF(Mercado_Receita!$S$2:$S$587,"44713B2ConvencionalRuralCooperativa de eletrificação ruralNão se aplicaNão se aplicaIntermediário",Mercado_Receita!$L$2:$L$587)+SUMIF(Mercado_Receita!$S$2:$S$587,"44713B2ConvencionalRuralCooperativa de eletrificação ruralNão se aplicaNão se aplicaNão se aplica",Mercado_Receita!$L$2:$L$587)</f>
        <v>0</v>
      </c>
      <c r="S34" s="13">
        <f>SUMIF(Mercado_Receita!$S$2:$S$587,"44743B2ConvencionalRuralCooperativa de eletrificação ruralNão se aplicaNão se aplicaPonta",Mercado_Receita!$L$2:$L$587)+SUMIF(Mercado_Receita!$S$2:$S$587,"44743B2ConvencionalRuralCooperativa de eletrificação ruralNão se aplicaNão se aplicaFora ponta",Mercado_Receita!$L$2:$L$587)+SUMIF(Mercado_Receita!$S$2:$S$587,"44743B2ConvencionalRuralCooperativa de eletrificação ruralNão se aplicaNão se aplicaIntermediário",Mercado_Receita!$L$2:$L$587)+SUMIF(Mercado_Receita!$S$2:$S$587,"44743B2ConvencionalRuralCooperativa de eletrificação ruralNão se aplicaNão se aplicaNão se aplica",Mercado_Receita!$L$2:$L$587)</f>
        <v>0</v>
      </c>
      <c r="T34" s="13">
        <f>SUMIF(Mercado_Receita!$S$2:$S$587,"44774B2ConvencionalRuralCooperativa de eletrificação ruralNão se aplicaNão se aplicaPonta",Mercado_Receita!$L$2:$L$587)+SUMIF(Mercado_Receita!$S$2:$S$587,"44774B2ConvencionalRuralCooperativa de eletrificação ruralNão se aplicaNão se aplicaFora ponta",Mercado_Receita!$L$2:$L$587)+SUMIF(Mercado_Receita!$S$2:$S$587,"44774B2ConvencionalRuralCooperativa de eletrificação ruralNão se aplicaNão se aplicaIntermediário",Mercado_Receita!$L$2:$L$587)+SUMIF(Mercado_Receita!$S$2:$S$587,"44774B2ConvencionalRuralCooperativa de eletrificação ruralNão se aplicaNão se aplicaNão se aplica",Mercado_Receita!$L$2:$L$587)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76"/>
      <c r="B35" s="75" t="s">
        <v>33</v>
      </c>
      <c r="C35" s="75" t="s">
        <v>43</v>
      </c>
      <c r="D35" s="75" t="s">
        <v>485</v>
      </c>
      <c r="E35" s="75" t="s">
        <v>25</v>
      </c>
      <c r="F35" s="75" t="s">
        <v>25</v>
      </c>
      <c r="G35" s="13" t="s">
        <v>468</v>
      </c>
      <c r="H35" s="13" t="s">
        <v>467</v>
      </c>
      <c r="I35" s="13">
        <f>SUMIF(Mercado_Receita!$S$2:$S$587,"44440B2BrancaRuralServiço público de irrigação ruralNão se aplicaNão se aplicaPonta",Mercado_Receita!$L$2:$L$587)</f>
        <v>0</v>
      </c>
      <c r="J35" s="13">
        <f>SUMIF(Mercado_Receita!$S$2:$S$587,"44470B2BrancaRuralServiço público de irrigação ruralNão se aplicaNão se aplicaPonta",Mercado_Receita!$L$2:$L$587)</f>
        <v>0</v>
      </c>
      <c r="K35" s="13">
        <f>SUMIF(Mercado_Receita!$S$2:$S$587,"44501B2BrancaRuralServiço público de irrigação ruralNão se aplicaNão se aplicaPonta",Mercado_Receita!$L$2:$L$587)</f>
        <v>0</v>
      </c>
      <c r="L35" s="13">
        <f>SUMIF(Mercado_Receita!$S$2:$S$587,"44531B2BrancaRuralServiço público de irrigação ruralNão se aplicaNão se aplicaPonta",Mercado_Receita!$L$2:$L$587)</f>
        <v>0</v>
      </c>
      <c r="M35" s="13">
        <f>SUMIF(Mercado_Receita!$S$2:$S$587,"44562B2BrancaRuralServiço público de irrigação ruralNão se aplicaNão se aplicaPonta",Mercado_Receita!$L$2:$L$587)</f>
        <v>0</v>
      </c>
      <c r="N35" s="13">
        <f>SUMIF(Mercado_Receita!$S$2:$S$587,"44593B2BrancaRuralServiço público de irrigação ruralNão se aplicaNão se aplicaPonta",Mercado_Receita!$L$2:$L$587)</f>
        <v>0</v>
      </c>
      <c r="O35" s="13">
        <f>SUMIF(Mercado_Receita!$S$2:$S$587,"44621B2BrancaRuralServiço público de irrigação ruralNão se aplicaNão se aplicaPonta",Mercado_Receita!$L$2:$L$587)</f>
        <v>0</v>
      </c>
      <c r="P35" s="13">
        <f>SUMIF(Mercado_Receita!$S$2:$S$587,"44652B2BrancaRuralServiço público de irrigação ruralNão se aplicaNão se aplicaPonta",Mercado_Receita!$L$2:$L$587)</f>
        <v>0</v>
      </c>
      <c r="Q35" s="13">
        <f>SUMIF(Mercado_Receita!$S$2:$S$587,"44682B2BrancaRuralServiço público de irrigação ruralNão se aplicaNão se aplicaPonta",Mercado_Receita!$L$2:$L$587)</f>
        <v>0</v>
      </c>
      <c r="R35" s="13">
        <f>SUMIF(Mercado_Receita!$S$2:$S$587,"44713B2BrancaRuralServiço público de irrigação ruralNão se aplicaNão se aplicaPonta",Mercado_Receita!$L$2:$L$587)</f>
        <v>0</v>
      </c>
      <c r="S35" s="13">
        <f>SUMIF(Mercado_Receita!$S$2:$S$587,"44743B2BrancaRuralServiço público de irrigação ruralNão se aplicaNão se aplicaPonta",Mercado_Receita!$L$2:$L$587)</f>
        <v>0</v>
      </c>
      <c r="T35" s="13">
        <f>SUMIF(Mercado_Receita!$S$2:$S$587,"44774B2BrancaRuralServiço público de irrigação ruralNão se aplicaNão se aplicaPonta",Mercado_Receita!$L$2:$L$587)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76"/>
      <c r="B36" s="76"/>
      <c r="C36" s="76"/>
      <c r="D36" s="76"/>
      <c r="E36" s="76"/>
      <c r="F36" s="76"/>
      <c r="G36" s="13" t="s">
        <v>480</v>
      </c>
      <c r="H36" s="13" t="s">
        <v>467</v>
      </c>
      <c r="I36" s="13">
        <f>SUMIF(Mercado_Receita!$S$2:$S$587,"44440B2BrancaRuralServiço público de irrigação ruralNão se aplicaNão se aplicaIntermediário",Mercado_Receita!$L$2:$L$587)</f>
        <v>0</v>
      </c>
      <c r="J36" s="13">
        <f>SUMIF(Mercado_Receita!$S$2:$S$587,"44470B2BrancaRuralServiço público de irrigação ruralNão se aplicaNão se aplicaIntermediário",Mercado_Receita!$L$2:$L$587)</f>
        <v>0</v>
      </c>
      <c r="K36" s="13">
        <f>SUMIF(Mercado_Receita!$S$2:$S$587,"44501B2BrancaRuralServiço público de irrigação ruralNão se aplicaNão se aplicaIntermediário",Mercado_Receita!$L$2:$L$587)</f>
        <v>0</v>
      </c>
      <c r="L36" s="13">
        <f>SUMIF(Mercado_Receita!$S$2:$S$587,"44531B2BrancaRuralServiço público de irrigação ruralNão se aplicaNão se aplicaIntermediário",Mercado_Receita!$L$2:$L$587)</f>
        <v>0</v>
      </c>
      <c r="M36" s="13">
        <f>SUMIF(Mercado_Receita!$S$2:$S$587,"44562B2BrancaRuralServiço público de irrigação ruralNão se aplicaNão se aplicaIntermediário",Mercado_Receita!$L$2:$L$587)</f>
        <v>0</v>
      </c>
      <c r="N36" s="13">
        <f>SUMIF(Mercado_Receita!$S$2:$S$587,"44593B2BrancaRuralServiço público de irrigação ruralNão se aplicaNão se aplicaIntermediário",Mercado_Receita!$L$2:$L$587)</f>
        <v>0</v>
      </c>
      <c r="O36" s="13">
        <f>SUMIF(Mercado_Receita!$S$2:$S$587,"44621B2BrancaRuralServiço público de irrigação ruralNão se aplicaNão se aplicaIntermediário",Mercado_Receita!$L$2:$L$587)</f>
        <v>0</v>
      </c>
      <c r="P36" s="13">
        <f>SUMIF(Mercado_Receita!$S$2:$S$587,"44652B2BrancaRuralServiço público de irrigação ruralNão se aplicaNão se aplicaIntermediário",Mercado_Receita!$L$2:$L$587)</f>
        <v>0</v>
      </c>
      <c r="Q36" s="13">
        <f>SUMIF(Mercado_Receita!$S$2:$S$587,"44682B2BrancaRuralServiço público de irrigação ruralNão se aplicaNão se aplicaIntermediário",Mercado_Receita!$L$2:$L$587)</f>
        <v>0</v>
      </c>
      <c r="R36" s="13">
        <f>SUMIF(Mercado_Receita!$S$2:$S$587,"44713B2BrancaRuralServiço público de irrigação ruralNão se aplicaNão se aplicaIntermediário",Mercado_Receita!$L$2:$L$587)</f>
        <v>0</v>
      </c>
      <c r="S36" s="13">
        <f>SUMIF(Mercado_Receita!$S$2:$S$587,"44743B2BrancaRuralServiço público de irrigação ruralNão se aplicaNão se aplicaIntermediário",Mercado_Receita!$L$2:$L$587)</f>
        <v>0</v>
      </c>
      <c r="T36" s="13">
        <f>SUMIF(Mercado_Receita!$S$2:$S$587,"44774B2BrancaRuralServiço público de irrigação ruralNão se aplicaNão se aplicaIntermediário",Mercado_Receita!$L$2:$L$587)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6"/>
      <c r="B37" s="76"/>
      <c r="C37" s="76"/>
      <c r="D37" s="76"/>
      <c r="E37" s="76"/>
      <c r="F37" s="76"/>
      <c r="G37" s="13" t="s">
        <v>469</v>
      </c>
      <c r="H37" s="13" t="s">
        <v>467</v>
      </c>
      <c r="I37" s="13">
        <f>SUMIF(Mercado_Receita!$S$2:$S$587,"44440B2BrancaRuralServiço público de irrigação ruralNão se aplicaNão se aplicaFora ponta",Mercado_Receita!$L$2:$L$587)</f>
        <v>0</v>
      </c>
      <c r="J37" s="13">
        <f>SUMIF(Mercado_Receita!$S$2:$S$587,"44470B2BrancaRuralServiço público de irrigação ruralNão se aplicaNão se aplicaFora ponta",Mercado_Receita!$L$2:$L$587)</f>
        <v>0</v>
      </c>
      <c r="K37" s="13">
        <f>SUMIF(Mercado_Receita!$S$2:$S$587,"44501B2BrancaRuralServiço público de irrigação ruralNão se aplicaNão se aplicaFora ponta",Mercado_Receita!$L$2:$L$587)</f>
        <v>0</v>
      </c>
      <c r="L37" s="13">
        <f>SUMIF(Mercado_Receita!$S$2:$S$587,"44531B2BrancaRuralServiço público de irrigação ruralNão se aplicaNão se aplicaFora ponta",Mercado_Receita!$L$2:$L$587)</f>
        <v>0</v>
      </c>
      <c r="M37" s="13">
        <f>SUMIF(Mercado_Receita!$S$2:$S$587,"44562B2BrancaRuralServiço público de irrigação ruralNão se aplicaNão se aplicaFora ponta",Mercado_Receita!$L$2:$L$587)</f>
        <v>0</v>
      </c>
      <c r="N37" s="13">
        <f>SUMIF(Mercado_Receita!$S$2:$S$587,"44593B2BrancaRuralServiço público de irrigação ruralNão se aplicaNão se aplicaFora ponta",Mercado_Receita!$L$2:$L$587)</f>
        <v>0</v>
      </c>
      <c r="O37" s="13">
        <f>SUMIF(Mercado_Receita!$S$2:$S$587,"44621B2BrancaRuralServiço público de irrigação ruralNão se aplicaNão se aplicaFora ponta",Mercado_Receita!$L$2:$L$587)</f>
        <v>0</v>
      </c>
      <c r="P37" s="13">
        <f>SUMIF(Mercado_Receita!$S$2:$S$587,"44652B2BrancaRuralServiço público de irrigação ruralNão se aplicaNão se aplicaFora ponta",Mercado_Receita!$L$2:$L$587)</f>
        <v>0</v>
      </c>
      <c r="Q37" s="13">
        <f>SUMIF(Mercado_Receita!$S$2:$S$587,"44682B2BrancaRuralServiço público de irrigação ruralNão se aplicaNão se aplicaFora ponta",Mercado_Receita!$L$2:$L$587)</f>
        <v>0</v>
      </c>
      <c r="R37" s="13">
        <f>SUMIF(Mercado_Receita!$S$2:$S$587,"44713B2BrancaRuralServiço público de irrigação ruralNão se aplicaNão se aplicaFora ponta",Mercado_Receita!$L$2:$L$587)</f>
        <v>0</v>
      </c>
      <c r="S37" s="13">
        <f>SUMIF(Mercado_Receita!$S$2:$S$587,"44743B2BrancaRuralServiço público de irrigação ruralNão se aplicaNão se aplicaFora ponta",Mercado_Receita!$L$2:$L$587)</f>
        <v>0</v>
      </c>
      <c r="T37" s="13">
        <f>SUMIF(Mercado_Receita!$S$2:$S$587,"44774B2BrancaRuralServiço público de irrigação ruralNão se aplicaNão se aplicaFora ponta",Mercado_Receita!$L$2:$L$587)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6"/>
      <c r="B38" s="12" t="s">
        <v>23</v>
      </c>
      <c r="C38" s="12" t="s">
        <v>43</v>
      </c>
      <c r="D38" s="12" t="s">
        <v>485</v>
      </c>
      <c r="E38" s="12" t="s">
        <v>25</v>
      </c>
      <c r="F38" s="12" t="s">
        <v>25</v>
      </c>
      <c r="G38" s="13" t="s">
        <v>474</v>
      </c>
      <c r="H38" s="13" t="s">
        <v>467</v>
      </c>
      <c r="I38" s="13">
        <f>SUMIF(Mercado_Receita!$S$2:$S$587,"44440B2ConvencionalRuralServiço público de irrigação ruralNão se aplicaNão se aplicaPonta",Mercado_Receita!$L$2:$L$587)+SUMIF(Mercado_Receita!$S$2:$S$587,"44440B2ConvencionalRuralServiço público de irrigação ruralNão se aplicaNão se aplicaFora ponta",Mercado_Receita!$L$2:$L$587)+SUMIF(Mercado_Receita!$S$2:$S$587,"44440B2ConvencionalRuralServiço público de irrigação ruralNão se aplicaNão se aplicaIntermediário",Mercado_Receita!$L$2:$L$587)+SUMIF(Mercado_Receita!$S$2:$S$587,"44440B2ConvencionalRuralServiço público de irrigação ruralNão se aplicaNão se aplicaNão se aplica",Mercado_Receita!$L$2:$L$587)</f>
        <v>0</v>
      </c>
      <c r="J38" s="13">
        <f>SUMIF(Mercado_Receita!$S$2:$S$587,"44470B2ConvencionalRuralServiço público de irrigação ruralNão se aplicaNão se aplicaPonta",Mercado_Receita!$L$2:$L$587)+SUMIF(Mercado_Receita!$S$2:$S$587,"44470B2ConvencionalRuralServiço público de irrigação ruralNão se aplicaNão se aplicaFora ponta",Mercado_Receita!$L$2:$L$587)+SUMIF(Mercado_Receita!$S$2:$S$587,"44470B2ConvencionalRuralServiço público de irrigação ruralNão se aplicaNão se aplicaIntermediário",Mercado_Receita!$L$2:$L$587)+SUMIF(Mercado_Receita!$S$2:$S$587,"44470B2ConvencionalRuralServiço público de irrigação ruralNão se aplicaNão se aplicaNão se aplica",Mercado_Receita!$L$2:$L$587)</f>
        <v>0</v>
      </c>
      <c r="K38" s="13">
        <f>SUMIF(Mercado_Receita!$S$2:$S$587,"44501B2ConvencionalRuralServiço público de irrigação ruralNão se aplicaNão se aplicaPonta",Mercado_Receita!$L$2:$L$587)+SUMIF(Mercado_Receita!$S$2:$S$587,"44501B2ConvencionalRuralServiço público de irrigação ruralNão se aplicaNão se aplicaFora ponta",Mercado_Receita!$L$2:$L$587)+SUMIF(Mercado_Receita!$S$2:$S$587,"44501B2ConvencionalRuralServiço público de irrigação ruralNão se aplicaNão se aplicaIntermediário",Mercado_Receita!$L$2:$L$587)+SUMIF(Mercado_Receita!$S$2:$S$587,"44501B2ConvencionalRuralServiço público de irrigação ruralNão se aplicaNão se aplicaNão se aplica",Mercado_Receita!$L$2:$L$587)</f>
        <v>0</v>
      </c>
      <c r="L38" s="13">
        <f>SUMIF(Mercado_Receita!$S$2:$S$587,"44531B2ConvencionalRuralServiço público de irrigação ruralNão se aplicaNão se aplicaPonta",Mercado_Receita!$L$2:$L$587)+SUMIF(Mercado_Receita!$S$2:$S$587,"44531B2ConvencionalRuralServiço público de irrigação ruralNão se aplicaNão se aplicaFora ponta",Mercado_Receita!$L$2:$L$587)+SUMIF(Mercado_Receita!$S$2:$S$587,"44531B2ConvencionalRuralServiço público de irrigação ruralNão se aplicaNão se aplicaIntermediário",Mercado_Receita!$L$2:$L$587)+SUMIF(Mercado_Receita!$S$2:$S$587,"44531B2ConvencionalRuralServiço público de irrigação ruralNão se aplicaNão se aplicaNão se aplica",Mercado_Receita!$L$2:$L$587)</f>
        <v>0</v>
      </c>
      <c r="M38" s="13">
        <f>SUMIF(Mercado_Receita!$S$2:$S$587,"44562B2ConvencionalRuralServiço público de irrigação ruralNão se aplicaNão se aplicaPonta",Mercado_Receita!$L$2:$L$587)+SUMIF(Mercado_Receita!$S$2:$S$587,"44562B2ConvencionalRuralServiço público de irrigação ruralNão se aplicaNão se aplicaFora ponta",Mercado_Receita!$L$2:$L$587)+SUMIF(Mercado_Receita!$S$2:$S$587,"44562B2ConvencionalRuralServiço público de irrigação ruralNão se aplicaNão se aplicaIntermediário",Mercado_Receita!$L$2:$L$587)+SUMIF(Mercado_Receita!$S$2:$S$587,"44562B2ConvencionalRuralServiço público de irrigação ruralNão se aplicaNão se aplicaNão se aplica",Mercado_Receita!$L$2:$L$587)</f>
        <v>0</v>
      </c>
      <c r="N38" s="13">
        <f>SUMIF(Mercado_Receita!$S$2:$S$587,"44593B2ConvencionalRuralServiço público de irrigação ruralNão se aplicaNão se aplicaPonta",Mercado_Receita!$L$2:$L$587)+SUMIF(Mercado_Receita!$S$2:$S$587,"44593B2ConvencionalRuralServiço público de irrigação ruralNão se aplicaNão se aplicaFora ponta",Mercado_Receita!$L$2:$L$587)+SUMIF(Mercado_Receita!$S$2:$S$587,"44593B2ConvencionalRuralServiço público de irrigação ruralNão se aplicaNão se aplicaIntermediário",Mercado_Receita!$L$2:$L$587)+SUMIF(Mercado_Receita!$S$2:$S$587,"44593B2ConvencionalRuralServiço público de irrigação ruralNão se aplicaNão se aplicaNão se aplica",Mercado_Receita!$L$2:$L$587)</f>
        <v>0</v>
      </c>
      <c r="O38" s="13">
        <f>SUMIF(Mercado_Receita!$S$2:$S$587,"44621B2ConvencionalRuralServiço público de irrigação ruralNão se aplicaNão se aplicaPonta",Mercado_Receita!$L$2:$L$587)+SUMIF(Mercado_Receita!$S$2:$S$587,"44621B2ConvencionalRuralServiço público de irrigação ruralNão se aplicaNão se aplicaFora ponta",Mercado_Receita!$L$2:$L$587)+SUMIF(Mercado_Receita!$S$2:$S$587,"44621B2ConvencionalRuralServiço público de irrigação ruralNão se aplicaNão se aplicaIntermediário",Mercado_Receita!$L$2:$L$587)+SUMIF(Mercado_Receita!$S$2:$S$587,"44621B2ConvencionalRuralServiço público de irrigação ruralNão se aplicaNão se aplicaNão se aplica",Mercado_Receita!$L$2:$L$587)</f>
        <v>0</v>
      </c>
      <c r="P38" s="13">
        <f>SUMIF(Mercado_Receita!$S$2:$S$587,"44652B2ConvencionalRuralServiço público de irrigação ruralNão se aplicaNão se aplicaPonta",Mercado_Receita!$L$2:$L$587)+SUMIF(Mercado_Receita!$S$2:$S$587,"44652B2ConvencionalRuralServiço público de irrigação ruralNão se aplicaNão se aplicaFora ponta",Mercado_Receita!$L$2:$L$587)+SUMIF(Mercado_Receita!$S$2:$S$587,"44652B2ConvencionalRuralServiço público de irrigação ruralNão se aplicaNão se aplicaIntermediário",Mercado_Receita!$L$2:$L$587)+SUMIF(Mercado_Receita!$S$2:$S$587,"44652B2ConvencionalRuralServiço público de irrigação ruralNão se aplicaNão se aplicaNão se aplica",Mercado_Receita!$L$2:$L$587)</f>
        <v>0</v>
      </c>
      <c r="Q38" s="13">
        <f>SUMIF(Mercado_Receita!$S$2:$S$587,"44682B2ConvencionalRuralServiço público de irrigação ruralNão se aplicaNão se aplicaPonta",Mercado_Receita!$L$2:$L$587)+SUMIF(Mercado_Receita!$S$2:$S$587,"44682B2ConvencionalRuralServiço público de irrigação ruralNão se aplicaNão se aplicaFora ponta",Mercado_Receita!$L$2:$L$587)+SUMIF(Mercado_Receita!$S$2:$S$587,"44682B2ConvencionalRuralServiço público de irrigação ruralNão se aplicaNão se aplicaIntermediário",Mercado_Receita!$L$2:$L$587)+SUMIF(Mercado_Receita!$S$2:$S$587,"44682B2ConvencionalRuralServiço público de irrigação ruralNão se aplicaNão se aplicaNão se aplica",Mercado_Receita!$L$2:$L$587)</f>
        <v>0</v>
      </c>
      <c r="R38" s="13">
        <f>SUMIF(Mercado_Receita!$S$2:$S$587,"44713B2ConvencionalRuralServiço público de irrigação ruralNão se aplicaNão se aplicaPonta",Mercado_Receita!$L$2:$L$587)+SUMIF(Mercado_Receita!$S$2:$S$587,"44713B2ConvencionalRuralServiço público de irrigação ruralNão se aplicaNão se aplicaFora ponta",Mercado_Receita!$L$2:$L$587)+SUMIF(Mercado_Receita!$S$2:$S$587,"44713B2ConvencionalRuralServiço público de irrigação ruralNão se aplicaNão se aplicaIntermediário",Mercado_Receita!$L$2:$L$587)+SUMIF(Mercado_Receita!$S$2:$S$587,"44713B2ConvencionalRuralServiço público de irrigação ruralNão se aplicaNão se aplicaNão se aplica",Mercado_Receita!$L$2:$L$587)</f>
        <v>0</v>
      </c>
      <c r="S38" s="13">
        <f>SUMIF(Mercado_Receita!$S$2:$S$587,"44743B2ConvencionalRuralServiço público de irrigação ruralNão se aplicaNão se aplicaPonta",Mercado_Receita!$L$2:$L$587)+SUMIF(Mercado_Receita!$S$2:$S$587,"44743B2ConvencionalRuralServiço público de irrigação ruralNão se aplicaNão se aplicaFora ponta",Mercado_Receita!$L$2:$L$587)+SUMIF(Mercado_Receita!$S$2:$S$587,"44743B2ConvencionalRuralServiço público de irrigação ruralNão se aplicaNão se aplicaIntermediário",Mercado_Receita!$L$2:$L$587)+SUMIF(Mercado_Receita!$S$2:$S$587,"44743B2ConvencionalRuralServiço público de irrigação ruralNão se aplicaNão se aplicaNão se aplica",Mercado_Receita!$L$2:$L$587)</f>
        <v>0</v>
      </c>
      <c r="T38" s="13">
        <f>SUMIF(Mercado_Receita!$S$2:$S$587,"44774B2ConvencionalRuralServiço público de irrigação ruralNão se aplicaNão se aplicaPonta",Mercado_Receita!$L$2:$L$587)+SUMIF(Mercado_Receita!$S$2:$S$587,"44774B2ConvencionalRuralServiço público de irrigação ruralNão se aplicaNão se aplicaFora ponta",Mercado_Receita!$L$2:$L$587)+SUMIF(Mercado_Receita!$S$2:$S$587,"44774B2ConvencionalRuralServiço público de irrigação ruralNão se aplicaNão se aplicaIntermediário",Mercado_Receita!$L$2:$L$587)+SUMIF(Mercado_Receita!$S$2:$S$587,"44774B2ConvencionalRuralServiço público de irrigação ruralNão se aplicaNão se aplicaNão se aplica",Mercado_Receita!$L$2:$L$587)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6"/>
      <c r="B39" s="75" t="s">
        <v>483</v>
      </c>
      <c r="C39" s="75" t="s">
        <v>43</v>
      </c>
      <c r="D39" s="12" t="s">
        <v>25</v>
      </c>
      <c r="E39" s="12" t="s">
        <v>25</v>
      </c>
      <c r="F39" s="12" t="s">
        <v>25</v>
      </c>
      <c r="G39" s="13" t="s">
        <v>474</v>
      </c>
      <c r="H39" s="13" t="s">
        <v>467</v>
      </c>
      <c r="I39" s="13">
        <f>SUMIF(Mercado_Receita!$S$2:$S$587,"44440B2Convencional pré-pagamentoRuralNão se aplicaNão se aplicaNão se aplicaPonta",Mercado_Receita!$L$2:$L$587)+SUMIF(Mercado_Receita!$S$2:$S$587,"44440B2Convencional pré-pagamentoRuralNão se aplicaNão se aplicaNão se aplicaFora ponta",Mercado_Receita!$L$2:$L$587)+SUMIF(Mercado_Receita!$S$2:$S$587,"44440B2Convencional pré-pagamentoRuralNão se aplicaNão se aplicaNão se aplicaIntermediário",Mercado_Receita!$L$2:$L$587)+SUMIF(Mercado_Receita!$S$2:$S$587,"44440B2Convencional pré-pagamentoRuralNão se aplicaNão se aplicaNão se aplicaNão se aplica",Mercado_Receita!$L$2:$L$587)</f>
        <v>0</v>
      </c>
      <c r="J39" s="13">
        <f>SUMIF(Mercado_Receita!$S$2:$S$587,"44470B2Convencional pré-pagamentoRuralNão se aplicaNão se aplicaNão se aplicaPonta",Mercado_Receita!$L$2:$L$587)+SUMIF(Mercado_Receita!$S$2:$S$587,"44470B2Convencional pré-pagamentoRuralNão se aplicaNão se aplicaNão se aplicaFora ponta",Mercado_Receita!$L$2:$L$587)+SUMIF(Mercado_Receita!$S$2:$S$587,"44470B2Convencional pré-pagamentoRuralNão se aplicaNão se aplicaNão se aplicaIntermediário",Mercado_Receita!$L$2:$L$587)+SUMIF(Mercado_Receita!$S$2:$S$587,"44470B2Convencional pré-pagamentoRuralNão se aplicaNão se aplicaNão se aplicaNão se aplica",Mercado_Receita!$L$2:$L$587)</f>
        <v>0</v>
      </c>
      <c r="K39" s="13">
        <f>SUMIF(Mercado_Receita!$S$2:$S$587,"44501B2Convencional pré-pagamentoRuralNão se aplicaNão se aplicaNão se aplicaPonta",Mercado_Receita!$L$2:$L$587)+SUMIF(Mercado_Receita!$S$2:$S$587,"44501B2Convencional pré-pagamentoRuralNão se aplicaNão se aplicaNão se aplicaFora ponta",Mercado_Receita!$L$2:$L$587)+SUMIF(Mercado_Receita!$S$2:$S$587,"44501B2Convencional pré-pagamentoRuralNão se aplicaNão se aplicaNão se aplicaIntermediário",Mercado_Receita!$L$2:$L$587)+SUMIF(Mercado_Receita!$S$2:$S$587,"44501B2Convencional pré-pagamentoRuralNão se aplicaNão se aplicaNão se aplicaNão se aplica",Mercado_Receita!$L$2:$L$587)</f>
        <v>0</v>
      </c>
      <c r="L39" s="13">
        <f>SUMIF(Mercado_Receita!$S$2:$S$587,"44531B2Convencional pré-pagamentoRuralNão se aplicaNão se aplicaNão se aplicaPonta",Mercado_Receita!$L$2:$L$587)+SUMIF(Mercado_Receita!$S$2:$S$587,"44531B2Convencional pré-pagamentoRuralNão se aplicaNão se aplicaNão se aplicaFora ponta",Mercado_Receita!$L$2:$L$587)+SUMIF(Mercado_Receita!$S$2:$S$587,"44531B2Convencional pré-pagamentoRuralNão se aplicaNão se aplicaNão se aplicaIntermediário",Mercado_Receita!$L$2:$L$587)+SUMIF(Mercado_Receita!$S$2:$S$587,"44531B2Convencional pré-pagamentoRuralNão se aplicaNão se aplicaNão se aplicaNão se aplica",Mercado_Receita!$L$2:$L$587)</f>
        <v>0</v>
      </c>
      <c r="M39" s="13">
        <f>SUMIF(Mercado_Receita!$S$2:$S$587,"44562B2Convencional pré-pagamentoRuralNão se aplicaNão se aplicaNão se aplicaPonta",Mercado_Receita!$L$2:$L$587)+SUMIF(Mercado_Receita!$S$2:$S$587,"44562B2Convencional pré-pagamentoRuralNão se aplicaNão se aplicaNão se aplicaFora ponta",Mercado_Receita!$L$2:$L$587)+SUMIF(Mercado_Receita!$S$2:$S$587,"44562B2Convencional pré-pagamentoRuralNão se aplicaNão se aplicaNão se aplicaIntermediário",Mercado_Receita!$L$2:$L$587)+SUMIF(Mercado_Receita!$S$2:$S$587,"44562B2Convencional pré-pagamentoRuralNão se aplicaNão se aplicaNão se aplicaNão se aplica",Mercado_Receita!$L$2:$L$587)</f>
        <v>0</v>
      </c>
      <c r="N39" s="13">
        <f>SUMIF(Mercado_Receita!$S$2:$S$587,"44593B2Convencional pré-pagamentoRuralNão se aplicaNão se aplicaNão se aplicaPonta",Mercado_Receita!$L$2:$L$587)+SUMIF(Mercado_Receita!$S$2:$S$587,"44593B2Convencional pré-pagamentoRuralNão se aplicaNão se aplicaNão se aplicaFora ponta",Mercado_Receita!$L$2:$L$587)+SUMIF(Mercado_Receita!$S$2:$S$587,"44593B2Convencional pré-pagamentoRuralNão se aplicaNão se aplicaNão se aplicaIntermediário",Mercado_Receita!$L$2:$L$587)+SUMIF(Mercado_Receita!$S$2:$S$587,"44593B2Convencional pré-pagamentoRuralNão se aplicaNão se aplicaNão se aplicaNão se aplica",Mercado_Receita!$L$2:$L$587)</f>
        <v>0</v>
      </c>
      <c r="O39" s="13">
        <f>SUMIF(Mercado_Receita!$S$2:$S$587,"44621B2Convencional pré-pagamentoRuralNão se aplicaNão se aplicaNão se aplicaPonta",Mercado_Receita!$L$2:$L$587)+SUMIF(Mercado_Receita!$S$2:$S$587,"44621B2Convencional pré-pagamentoRuralNão se aplicaNão se aplicaNão se aplicaFora ponta",Mercado_Receita!$L$2:$L$587)+SUMIF(Mercado_Receita!$S$2:$S$587,"44621B2Convencional pré-pagamentoRuralNão se aplicaNão se aplicaNão se aplicaIntermediário",Mercado_Receita!$L$2:$L$587)+SUMIF(Mercado_Receita!$S$2:$S$587,"44621B2Convencional pré-pagamentoRuralNão se aplicaNão se aplicaNão se aplicaNão se aplica",Mercado_Receita!$L$2:$L$587)</f>
        <v>0</v>
      </c>
      <c r="P39" s="13">
        <f>SUMIF(Mercado_Receita!$S$2:$S$587,"44652B2Convencional pré-pagamentoRuralNão se aplicaNão se aplicaNão se aplicaPonta",Mercado_Receita!$L$2:$L$587)+SUMIF(Mercado_Receita!$S$2:$S$587,"44652B2Convencional pré-pagamentoRuralNão se aplicaNão se aplicaNão se aplicaFora ponta",Mercado_Receita!$L$2:$L$587)+SUMIF(Mercado_Receita!$S$2:$S$587,"44652B2Convencional pré-pagamentoRuralNão se aplicaNão se aplicaNão se aplicaIntermediário",Mercado_Receita!$L$2:$L$587)+SUMIF(Mercado_Receita!$S$2:$S$587,"44652B2Convencional pré-pagamentoRuralNão se aplicaNão se aplicaNão se aplicaNão se aplica",Mercado_Receita!$L$2:$L$587)</f>
        <v>0</v>
      </c>
      <c r="Q39" s="13">
        <f>SUMIF(Mercado_Receita!$S$2:$S$587,"44682B2Convencional pré-pagamentoRuralNão se aplicaNão se aplicaNão se aplicaPonta",Mercado_Receita!$L$2:$L$587)+SUMIF(Mercado_Receita!$S$2:$S$587,"44682B2Convencional pré-pagamentoRuralNão se aplicaNão se aplicaNão se aplicaFora ponta",Mercado_Receita!$L$2:$L$587)+SUMIF(Mercado_Receita!$S$2:$S$587,"44682B2Convencional pré-pagamentoRuralNão se aplicaNão se aplicaNão se aplicaIntermediário",Mercado_Receita!$L$2:$L$587)+SUMIF(Mercado_Receita!$S$2:$S$587,"44682B2Convencional pré-pagamentoRuralNão se aplicaNão se aplicaNão se aplicaNão se aplica",Mercado_Receita!$L$2:$L$587)</f>
        <v>0</v>
      </c>
      <c r="R39" s="13">
        <f>SUMIF(Mercado_Receita!$S$2:$S$587,"44713B2Convencional pré-pagamentoRuralNão se aplicaNão se aplicaNão se aplicaPonta",Mercado_Receita!$L$2:$L$587)+SUMIF(Mercado_Receita!$S$2:$S$587,"44713B2Convencional pré-pagamentoRuralNão se aplicaNão se aplicaNão se aplicaFora ponta",Mercado_Receita!$L$2:$L$587)+SUMIF(Mercado_Receita!$S$2:$S$587,"44713B2Convencional pré-pagamentoRuralNão se aplicaNão se aplicaNão se aplicaIntermediário",Mercado_Receita!$L$2:$L$587)+SUMIF(Mercado_Receita!$S$2:$S$587,"44713B2Convencional pré-pagamentoRuralNão se aplicaNão se aplicaNão se aplicaNão se aplica",Mercado_Receita!$L$2:$L$587)</f>
        <v>0</v>
      </c>
      <c r="S39" s="13">
        <f>SUMIF(Mercado_Receita!$S$2:$S$587,"44743B2Convencional pré-pagamentoRuralNão se aplicaNão se aplicaNão se aplicaPonta",Mercado_Receita!$L$2:$L$587)+SUMIF(Mercado_Receita!$S$2:$S$587,"44743B2Convencional pré-pagamentoRuralNão se aplicaNão se aplicaNão se aplicaFora ponta",Mercado_Receita!$L$2:$L$587)+SUMIF(Mercado_Receita!$S$2:$S$587,"44743B2Convencional pré-pagamentoRuralNão se aplicaNão se aplicaNão se aplicaIntermediário",Mercado_Receita!$L$2:$L$587)+SUMIF(Mercado_Receita!$S$2:$S$587,"44743B2Convencional pré-pagamentoRuralNão se aplicaNão se aplicaNão se aplicaNão se aplica",Mercado_Receita!$L$2:$L$587)</f>
        <v>0</v>
      </c>
      <c r="T39" s="13">
        <f>SUMIF(Mercado_Receita!$S$2:$S$587,"44774B2Convencional pré-pagamentoRuralNão se aplicaNão se aplicaNão se aplicaPonta",Mercado_Receita!$L$2:$L$587)+SUMIF(Mercado_Receita!$S$2:$S$587,"44774B2Convencional pré-pagamentoRuralNão se aplicaNão se aplicaNão se aplicaFora ponta",Mercado_Receita!$L$2:$L$587)+SUMIF(Mercado_Receita!$S$2:$S$587,"44774B2Convencional pré-pagamentoRuralNão se aplicaNão se aplicaNão se aplicaIntermediário",Mercado_Receita!$L$2:$L$587)+SUMIF(Mercado_Receita!$S$2:$S$587,"44774B2Convencional pré-pagamentoRuralNão se aplicaNão se aplicaNão se aplicaNão se aplica",Mercado_Receita!$L$2:$L$587)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76"/>
      <c r="B40" s="76"/>
      <c r="C40" s="76"/>
      <c r="D40" s="12" t="s">
        <v>484</v>
      </c>
      <c r="E40" s="12" t="s">
        <v>25</v>
      </c>
      <c r="F40" s="12" t="s">
        <v>25</v>
      </c>
      <c r="G40" s="13" t="s">
        <v>474</v>
      </c>
      <c r="H40" s="13" t="s">
        <v>467</v>
      </c>
      <c r="I40" s="13">
        <f>SUMIF(Mercado_Receita!$S$2:$S$587,"44440B2Convencional pré-pagamentoRuralCooperativa de eletrificação ruralNão se aplicaNão se aplicaPonta",Mercado_Receita!$L$2:$L$587)+SUMIF(Mercado_Receita!$S$2:$S$587,"44440B2Convencional pré-pagamentoRuralCooperativa de eletrificação ruralNão se aplicaNão se aplicaFora ponta",Mercado_Receita!$L$2:$L$587)+SUMIF(Mercado_Receita!$S$2:$S$587,"44440B2Convencional pré-pagamentoRuralCooperativa de eletrificação ruralNão se aplicaNão se aplicaIntermediário",Mercado_Receita!$L$2:$L$587)+SUMIF(Mercado_Receita!$S$2:$S$587,"44440B2Convencional pré-pagamentoRuralCooperativa de eletrificação ruralNão se aplicaNão se aplicaNão se aplica",Mercado_Receita!$L$2:$L$587)</f>
        <v>0</v>
      </c>
      <c r="J40" s="13">
        <f>SUMIF(Mercado_Receita!$S$2:$S$587,"44470B2Convencional pré-pagamentoRuralCooperativa de eletrificação ruralNão se aplicaNão se aplicaPonta",Mercado_Receita!$L$2:$L$587)+SUMIF(Mercado_Receita!$S$2:$S$587,"44470B2Convencional pré-pagamentoRuralCooperativa de eletrificação ruralNão se aplicaNão se aplicaFora ponta",Mercado_Receita!$L$2:$L$587)+SUMIF(Mercado_Receita!$S$2:$S$587,"44470B2Convencional pré-pagamentoRuralCooperativa de eletrificação ruralNão se aplicaNão se aplicaIntermediário",Mercado_Receita!$L$2:$L$587)+SUMIF(Mercado_Receita!$S$2:$S$587,"44470B2Convencional pré-pagamentoRuralCooperativa de eletrificação ruralNão se aplicaNão se aplicaNão se aplica",Mercado_Receita!$L$2:$L$587)</f>
        <v>0</v>
      </c>
      <c r="K40" s="13">
        <f>SUMIF(Mercado_Receita!$S$2:$S$587,"44501B2Convencional pré-pagamentoRuralCooperativa de eletrificação ruralNão se aplicaNão se aplicaPonta",Mercado_Receita!$L$2:$L$587)+SUMIF(Mercado_Receita!$S$2:$S$587,"44501B2Convencional pré-pagamentoRuralCooperativa de eletrificação ruralNão se aplicaNão se aplicaFora ponta",Mercado_Receita!$L$2:$L$587)+SUMIF(Mercado_Receita!$S$2:$S$587,"44501B2Convencional pré-pagamentoRuralCooperativa de eletrificação ruralNão se aplicaNão se aplicaIntermediário",Mercado_Receita!$L$2:$L$587)+SUMIF(Mercado_Receita!$S$2:$S$587,"44501B2Convencional pré-pagamentoRuralCooperativa de eletrificação ruralNão se aplicaNão se aplicaNão se aplica",Mercado_Receita!$L$2:$L$587)</f>
        <v>0</v>
      </c>
      <c r="L40" s="13">
        <f>SUMIF(Mercado_Receita!$S$2:$S$587,"44531B2Convencional pré-pagamentoRuralCooperativa de eletrificação ruralNão se aplicaNão se aplicaPonta",Mercado_Receita!$L$2:$L$587)+SUMIF(Mercado_Receita!$S$2:$S$587,"44531B2Convencional pré-pagamentoRuralCooperativa de eletrificação ruralNão se aplicaNão se aplicaFora ponta",Mercado_Receita!$L$2:$L$587)+SUMIF(Mercado_Receita!$S$2:$S$587,"44531B2Convencional pré-pagamentoRuralCooperativa de eletrificação ruralNão se aplicaNão se aplicaIntermediário",Mercado_Receita!$L$2:$L$587)+SUMIF(Mercado_Receita!$S$2:$S$587,"44531B2Convencional pré-pagamentoRuralCooperativa de eletrificação ruralNão se aplicaNão se aplicaNão se aplica",Mercado_Receita!$L$2:$L$587)</f>
        <v>0</v>
      </c>
      <c r="M40" s="13">
        <f>SUMIF(Mercado_Receita!$S$2:$S$587,"44562B2Convencional pré-pagamentoRuralCooperativa de eletrificação ruralNão se aplicaNão se aplicaPonta",Mercado_Receita!$L$2:$L$587)+SUMIF(Mercado_Receita!$S$2:$S$587,"44562B2Convencional pré-pagamentoRuralCooperativa de eletrificação ruralNão se aplicaNão se aplicaFora ponta",Mercado_Receita!$L$2:$L$587)+SUMIF(Mercado_Receita!$S$2:$S$587,"44562B2Convencional pré-pagamentoRuralCooperativa de eletrificação ruralNão se aplicaNão se aplicaIntermediário",Mercado_Receita!$L$2:$L$587)+SUMIF(Mercado_Receita!$S$2:$S$587,"44562B2Convencional pré-pagamentoRuralCooperativa de eletrificação ruralNão se aplicaNão se aplicaNão se aplica",Mercado_Receita!$L$2:$L$587)</f>
        <v>0</v>
      </c>
      <c r="N40" s="13">
        <f>SUMIF(Mercado_Receita!$S$2:$S$587,"44593B2Convencional pré-pagamentoRuralCooperativa de eletrificação ruralNão se aplicaNão se aplicaPonta",Mercado_Receita!$L$2:$L$587)+SUMIF(Mercado_Receita!$S$2:$S$587,"44593B2Convencional pré-pagamentoRuralCooperativa de eletrificação ruralNão se aplicaNão se aplicaFora ponta",Mercado_Receita!$L$2:$L$587)+SUMIF(Mercado_Receita!$S$2:$S$587,"44593B2Convencional pré-pagamentoRuralCooperativa de eletrificação ruralNão se aplicaNão se aplicaIntermediário",Mercado_Receita!$L$2:$L$587)+SUMIF(Mercado_Receita!$S$2:$S$587,"44593B2Convencional pré-pagamentoRuralCooperativa de eletrificação ruralNão se aplicaNão se aplicaNão se aplica",Mercado_Receita!$L$2:$L$587)</f>
        <v>0</v>
      </c>
      <c r="O40" s="13">
        <f>SUMIF(Mercado_Receita!$S$2:$S$587,"44621B2Convencional pré-pagamentoRuralCooperativa de eletrificação ruralNão se aplicaNão se aplicaPonta",Mercado_Receita!$L$2:$L$587)+SUMIF(Mercado_Receita!$S$2:$S$587,"44621B2Convencional pré-pagamentoRuralCooperativa de eletrificação ruralNão se aplicaNão se aplicaFora ponta",Mercado_Receita!$L$2:$L$587)+SUMIF(Mercado_Receita!$S$2:$S$587,"44621B2Convencional pré-pagamentoRuralCooperativa de eletrificação ruralNão se aplicaNão se aplicaIntermediário",Mercado_Receita!$L$2:$L$587)+SUMIF(Mercado_Receita!$S$2:$S$587,"44621B2Convencional pré-pagamentoRuralCooperativa de eletrificação ruralNão se aplicaNão se aplicaNão se aplica",Mercado_Receita!$L$2:$L$587)</f>
        <v>0</v>
      </c>
      <c r="P40" s="13">
        <f>SUMIF(Mercado_Receita!$S$2:$S$587,"44652B2Convencional pré-pagamentoRuralCooperativa de eletrificação ruralNão se aplicaNão se aplicaPonta",Mercado_Receita!$L$2:$L$587)+SUMIF(Mercado_Receita!$S$2:$S$587,"44652B2Convencional pré-pagamentoRuralCooperativa de eletrificação ruralNão se aplicaNão se aplicaFora ponta",Mercado_Receita!$L$2:$L$587)+SUMIF(Mercado_Receita!$S$2:$S$587,"44652B2Convencional pré-pagamentoRuralCooperativa de eletrificação ruralNão se aplicaNão se aplicaIntermediário",Mercado_Receita!$L$2:$L$587)+SUMIF(Mercado_Receita!$S$2:$S$587,"44652B2Convencional pré-pagamentoRuralCooperativa de eletrificação ruralNão se aplicaNão se aplicaNão se aplica",Mercado_Receita!$L$2:$L$587)</f>
        <v>0</v>
      </c>
      <c r="Q40" s="13">
        <f>SUMIF(Mercado_Receita!$S$2:$S$587,"44682B2Convencional pré-pagamentoRuralCooperativa de eletrificação ruralNão se aplicaNão se aplicaPonta",Mercado_Receita!$L$2:$L$587)+SUMIF(Mercado_Receita!$S$2:$S$587,"44682B2Convencional pré-pagamentoRuralCooperativa de eletrificação ruralNão se aplicaNão se aplicaFora ponta",Mercado_Receita!$L$2:$L$587)+SUMIF(Mercado_Receita!$S$2:$S$587,"44682B2Convencional pré-pagamentoRuralCooperativa de eletrificação ruralNão se aplicaNão se aplicaIntermediário",Mercado_Receita!$L$2:$L$587)+SUMIF(Mercado_Receita!$S$2:$S$587,"44682B2Convencional pré-pagamentoRuralCooperativa de eletrificação ruralNão se aplicaNão se aplicaNão se aplica",Mercado_Receita!$L$2:$L$587)</f>
        <v>0</v>
      </c>
      <c r="R40" s="13">
        <f>SUMIF(Mercado_Receita!$S$2:$S$587,"44713B2Convencional pré-pagamentoRuralCooperativa de eletrificação ruralNão se aplicaNão se aplicaPonta",Mercado_Receita!$L$2:$L$587)+SUMIF(Mercado_Receita!$S$2:$S$587,"44713B2Convencional pré-pagamentoRuralCooperativa de eletrificação ruralNão se aplicaNão se aplicaFora ponta",Mercado_Receita!$L$2:$L$587)+SUMIF(Mercado_Receita!$S$2:$S$587,"44713B2Convencional pré-pagamentoRuralCooperativa de eletrificação ruralNão se aplicaNão se aplicaIntermediário",Mercado_Receita!$L$2:$L$587)+SUMIF(Mercado_Receita!$S$2:$S$587,"44713B2Convencional pré-pagamentoRuralCooperativa de eletrificação ruralNão se aplicaNão se aplicaNão se aplica",Mercado_Receita!$L$2:$L$587)</f>
        <v>0</v>
      </c>
      <c r="S40" s="13">
        <f>SUMIF(Mercado_Receita!$S$2:$S$587,"44743B2Convencional pré-pagamentoRuralCooperativa de eletrificação ruralNão se aplicaNão se aplicaPonta",Mercado_Receita!$L$2:$L$587)+SUMIF(Mercado_Receita!$S$2:$S$587,"44743B2Convencional pré-pagamentoRuralCooperativa de eletrificação ruralNão se aplicaNão se aplicaFora ponta",Mercado_Receita!$L$2:$L$587)+SUMIF(Mercado_Receita!$S$2:$S$587,"44743B2Convencional pré-pagamentoRuralCooperativa de eletrificação ruralNão se aplicaNão se aplicaIntermediário",Mercado_Receita!$L$2:$L$587)+SUMIF(Mercado_Receita!$S$2:$S$587,"44743B2Convencional pré-pagamentoRuralCooperativa de eletrificação ruralNão se aplicaNão se aplicaNão se aplica",Mercado_Receita!$L$2:$L$587)</f>
        <v>0</v>
      </c>
      <c r="T40" s="13">
        <f>SUMIF(Mercado_Receita!$S$2:$S$587,"44774B2Convencional pré-pagamentoRuralCooperativa de eletrificação ruralNão se aplicaNão se aplicaPonta",Mercado_Receita!$L$2:$L$587)+SUMIF(Mercado_Receita!$S$2:$S$587,"44774B2Convencional pré-pagamentoRuralCooperativa de eletrificação ruralNão se aplicaNão se aplicaFora ponta",Mercado_Receita!$L$2:$L$587)+SUMIF(Mercado_Receita!$S$2:$S$587,"44774B2Convencional pré-pagamentoRuralCooperativa de eletrificação ruralNão se aplicaNão se aplicaIntermediário",Mercado_Receita!$L$2:$L$587)+SUMIF(Mercado_Receita!$S$2:$S$587,"44774B2Convencional pré-pagamentoRuralCooperativa de eletrificação ruralNão se aplicaNão se aplicaNão se aplica",Mercado_Receita!$L$2:$L$587)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76"/>
      <c r="B41" s="76"/>
      <c r="C41" s="76"/>
      <c r="D41" s="12" t="s">
        <v>485</v>
      </c>
      <c r="E41" s="12" t="s">
        <v>25</v>
      </c>
      <c r="F41" s="12" t="s">
        <v>25</v>
      </c>
      <c r="G41" s="13" t="s">
        <v>474</v>
      </c>
      <c r="H41" s="13" t="s">
        <v>467</v>
      </c>
      <c r="I41" s="13">
        <f>SUMIF(Mercado_Receita!$S$2:$S$587,"44440B2Convencional pré-pagamentoRuralServiço público de irrigação ruralNão se aplicaNão se aplicaPonta",Mercado_Receita!$L$2:$L$587)+SUMIF(Mercado_Receita!$S$2:$S$587,"44440B2Convencional pré-pagamentoRuralServiço público de irrigação ruralNão se aplicaNão se aplicaFora ponta",Mercado_Receita!$L$2:$L$587)+SUMIF(Mercado_Receita!$S$2:$S$587,"44440B2Convencional pré-pagamentoRuralServiço público de irrigação ruralNão se aplicaNão se aplicaIntermediário",Mercado_Receita!$L$2:$L$587)+SUMIF(Mercado_Receita!$S$2:$S$587,"44440B2Convencional pré-pagamentoRuralServiço público de irrigação ruralNão se aplicaNão se aplicaNão se aplica",Mercado_Receita!$L$2:$L$587)</f>
        <v>0</v>
      </c>
      <c r="J41" s="13">
        <f>SUMIF(Mercado_Receita!$S$2:$S$587,"44470B2Convencional pré-pagamentoRuralServiço público de irrigação ruralNão se aplicaNão se aplicaPonta",Mercado_Receita!$L$2:$L$587)+SUMIF(Mercado_Receita!$S$2:$S$587,"44470B2Convencional pré-pagamentoRuralServiço público de irrigação ruralNão se aplicaNão se aplicaFora ponta",Mercado_Receita!$L$2:$L$587)+SUMIF(Mercado_Receita!$S$2:$S$587,"44470B2Convencional pré-pagamentoRuralServiço público de irrigação ruralNão se aplicaNão se aplicaIntermediário",Mercado_Receita!$L$2:$L$587)+SUMIF(Mercado_Receita!$S$2:$S$587,"44470B2Convencional pré-pagamentoRuralServiço público de irrigação ruralNão se aplicaNão se aplicaNão se aplica",Mercado_Receita!$L$2:$L$587)</f>
        <v>0</v>
      </c>
      <c r="K41" s="13">
        <f>SUMIF(Mercado_Receita!$S$2:$S$587,"44501B2Convencional pré-pagamentoRuralServiço público de irrigação ruralNão se aplicaNão se aplicaPonta",Mercado_Receita!$L$2:$L$587)+SUMIF(Mercado_Receita!$S$2:$S$587,"44501B2Convencional pré-pagamentoRuralServiço público de irrigação ruralNão se aplicaNão se aplicaFora ponta",Mercado_Receita!$L$2:$L$587)+SUMIF(Mercado_Receita!$S$2:$S$587,"44501B2Convencional pré-pagamentoRuralServiço público de irrigação ruralNão se aplicaNão se aplicaIntermediário",Mercado_Receita!$L$2:$L$587)+SUMIF(Mercado_Receita!$S$2:$S$587,"44501B2Convencional pré-pagamentoRuralServiço público de irrigação ruralNão se aplicaNão se aplicaNão se aplica",Mercado_Receita!$L$2:$L$587)</f>
        <v>0</v>
      </c>
      <c r="L41" s="13">
        <f>SUMIF(Mercado_Receita!$S$2:$S$587,"44531B2Convencional pré-pagamentoRuralServiço público de irrigação ruralNão se aplicaNão se aplicaPonta",Mercado_Receita!$L$2:$L$587)+SUMIF(Mercado_Receita!$S$2:$S$587,"44531B2Convencional pré-pagamentoRuralServiço público de irrigação ruralNão se aplicaNão se aplicaFora ponta",Mercado_Receita!$L$2:$L$587)+SUMIF(Mercado_Receita!$S$2:$S$587,"44531B2Convencional pré-pagamentoRuralServiço público de irrigação ruralNão se aplicaNão se aplicaIntermediário",Mercado_Receita!$L$2:$L$587)+SUMIF(Mercado_Receita!$S$2:$S$587,"44531B2Convencional pré-pagamentoRuralServiço público de irrigação ruralNão se aplicaNão se aplicaNão se aplica",Mercado_Receita!$L$2:$L$587)</f>
        <v>0</v>
      </c>
      <c r="M41" s="13">
        <f>SUMIF(Mercado_Receita!$S$2:$S$587,"44562B2Convencional pré-pagamentoRuralServiço público de irrigação ruralNão se aplicaNão se aplicaPonta",Mercado_Receita!$L$2:$L$587)+SUMIF(Mercado_Receita!$S$2:$S$587,"44562B2Convencional pré-pagamentoRuralServiço público de irrigação ruralNão se aplicaNão se aplicaFora ponta",Mercado_Receita!$L$2:$L$587)+SUMIF(Mercado_Receita!$S$2:$S$587,"44562B2Convencional pré-pagamentoRuralServiço público de irrigação ruralNão se aplicaNão se aplicaIntermediário",Mercado_Receita!$L$2:$L$587)+SUMIF(Mercado_Receita!$S$2:$S$587,"44562B2Convencional pré-pagamentoRuralServiço público de irrigação ruralNão se aplicaNão se aplicaNão se aplica",Mercado_Receita!$L$2:$L$587)</f>
        <v>0</v>
      </c>
      <c r="N41" s="13">
        <f>SUMIF(Mercado_Receita!$S$2:$S$587,"44593B2Convencional pré-pagamentoRuralServiço público de irrigação ruralNão se aplicaNão se aplicaPonta",Mercado_Receita!$L$2:$L$587)+SUMIF(Mercado_Receita!$S$2:$S$587,"44593B2Convencional pré-pagamentoRuralServiço público de irrigação ruralNão se aplicaNão se aplicaFora ponta",Mercado_Receita!$L$2:$L$587)+SUMIF(Mercado_Receita!$S$2:$S$587,"44593B2Convencional pré-pagamentoRuralServiço público de irrigação ruralNão se aplicaNão se aplicaIntermediário",Mercado_Receita!$L$2:$L$587)+SUMIF(Mercado_Receita!$S$2:$S$587,"44593B2Convencional pré-pagamentoRuralServiço público de irrigação ruralNão se aplicaNão se aplicaNão se aplica",Mercado_Receita!$L$2:$L$587)</f>
        <v>0</v>
      </c>
      <c r="O41" s="13">
        <f>SUMIF(Mercado_Receita!$S$2:$S$587,"44621B2Convencional pré-pagamentoRuralServiço público de irrigação ruralNão se aplicaNão se aplicaPonta",Mercado_Receita!$L$2:$L$587)+SUMIF(Mercado_Receita!$S$2:$S$587,"44621B2Convencional pré-pagamentoRuralServiço público de irrigação ruralNão se aplicaNão se aplicaFora ponta",Mercado_Receita!$L$2:$L$587)+SUMIF(Mercado_Receita!$S$2:$S$587,"44621B2Convencional pré-pagamentoRuralServiço público de irrigação ruralNão se aplicaNão se aplicaIntermediário",Mercado_Receita!$L$2:$L$587)+SUMIF(Mercado_Receita!$S$2:$S$587,"44621B2Convencional pré-pagamentoRuralServiço público de irrigação ruralNão se aplicaNão se aplicaNão se aplica",Mercado_Receita!$L$2:$L$587)</f>
        <v>0</v>
      </c>
      <c r="P41" s="13">
        <f>SUMIF(Mercado_Receita!$S$2:$S$587,"44652B2Convencional pré-pagamentoRuralServiço público de irrigação ruralNão se aplicaNão se aplicaPonta",Mercado_Receita!$L$2:$L$587)+SUMIF(Mercado_Receita!$S$2:$S$587,"44652B2Convencional pré-pagamentoRuralServiço público de irrigação ruralNão se aplicaNão se aplicaFora ponta",Mercado_Receita!$L$2:$L$587)+SUMIF(Mercado_Receita!$S$2:$S$587,"44652B2Convencional pré-pagamentoRuralServiço público de irrigação ruralNão se aplicaNão se aplicaIntermediário",Mercado_Receita!$L$2:$L$587)+SUMIF(Mercado_Receita!$S$2:$S$587,"44652B2Convencional pré-pagamentoRuralServiço público de irrigação ruralNão se aplicaNão se aplicaNão se aplica",Mercado_Receita!$L$2:$L$587)</f>
        <v>0</v>
      </c>
      <c r="Q41" s="13">
        <f>SUMIF(Mercado_Receita!$S$2:$S$587,"44682B2Convencional pré-pagamentoRuralServiço público de irrigação ruralNão se aplicaNão se aplicaPonta",Mercado_Receita!$L$2:$L$587)+SUMIF(Mercado_Receita!$S$2:$S$587,"44682B2Convencional pré-pagamentoRuralServiço público de irrigação ruralNão se aplicaNão se aplicaFora ponta",Mercado_Receita!$L$2:$L$587)+SUMIF(Mercado_Receita!$S$2:$S$587,"44682B2Convencional pré-pagamentoRuralServiço público de irrigação ruralNão se aplicaNão se aplicaIntermediário",Mercado_Receita!$L$2:$L$587)+SUMIF(Mercado_Receita!$S$2:$S$587,"44682B2Convencional pré-pagamentoRuralServiço público de irrigação ruralNão se aplicaNão se aplicaNão se aplica",Mercado_Receita!$L$2:$L$587)</f>
        <v>0</v>
      </c>
      <c r="R41" s="13">
        <f>SUMIF(Mercado_Receita!$S$2:$S$587,"44713B2Convencional pré-pagamentoRuralServiço público de irrigação ruralNão se aplicaNão se aplicaPonta",Mercado_Receita!$L$2:$L$587)+SUMIF(Mercado_Receita!$S$2:$S$587,"44713B2Convencional pré-pagamentoRuralServiço público de irrigação ruralNão se aplicaNão se aplicaFora ponta",Mercado_Receita!$L$2:$L$587)+SUMIF(Mercado_Receita!$S$2:$S$587,"44713B2Convencional pré-pagamentoRuralServiço público de irrigação ruralNão se aplicaNão se aplicaIntermediário",Mercado_Receita!$L$2:$L$587)+SUMIF(Mercado_Receita!$S$2:$S$587,"44713B2Convencional pré-pagamentoRuralServiço público de irrigação ruralNão se aplicaNão se aplicaNão se aplica",Mercado_Receita!$L$2:$L$587)</f>
        <v>0</v>
      </c>
      <c r="S41" s="13">
        <f>SUMIF(Mercado_Receita!$S$2:$S$587,"44743B2Convencional pré-pagamentoRuralServiço público de irrigação ruralNão se aplicaNão se aplicaPonta",Mercado_Receita!$L$2:$L$587)+SUMIF(Mercado_Receita!$S$2:$S$587,"44743B2Convencional pré-pagamentoRuralServiço público de irrigação ruralNão se aplicaNão se aplicaFora ponta",Mercado_Receita!$L$2:$L$587)+SUMIF(Mercado_Receita!$S$2:$S$587,"44743B2Convencional pré-pagamentoRuralServiço público de irrigação ruralNão se aplicaNão se aplicaIntermediário",Mercado_Receita!$L$2:$L$587)+SUMIF(Mercado_Receita!$S$2:$S$587,"44743B2Convencional pré-pagamentoRuralServiço público de irrigação ruralNão se aplicaNão se aplicaNão se aplica",Mercado_Receita!$L$2:$L$587)</f>
        <v>0</v>
      </c>
      <c r="T41" s="13">
        <f>SUMIF(Mercado_Receita!$S$2:$S$587,"44774B2Convencional pré-pagamentoRuralServiço público de irrigação ruralNão se aplicaNão se aplicaPonta",Mercado_Receita!$L$2:$L$587)+SUMIF(Mercado_Receita!$S$2:$S$587,"44774B2Convencional pré-pagamentoRuralServiço público de irrigação ruralNão se aplicaNão se aplicaFora ponta",Mercado_Receita!$L$2:$L$587)+SUMIF(Mercado_Receita!$S$2:$S$587,"44774B2Convencional pré-pagamentoRuralServiço público de irrigação ruralNão se aplicaNão se aplicaIntermediário",Mercado_Receita!$L$2:$L$587)+SUMIF(Mercado_Receita!$S$2:$S$587,"44774B2Convencional pré-pagamentoRuralServiço público de irrigação ruralNão se aplicaNão se aplicaNão se aplica",Mercado_Receita!$L$2:$L$587)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75" t="s">
        <v>37</v>
      </c>
      <c r="B42" s="75" t="s">
        <v>33</v>
      </c>
      <c r="C42" s="75" t="s">
        <v>25</v>
      </c>
      <c r="D42" s="75" t="s">
        <v>25</v>
      </c>
      <c r="E42" s="75" t="s">
        <v>25</v>
      </c>
      <c r="F42" s="75" t="s">
        <v>25</v>
      </c>
      <c r="G42" s="13" t="s">
        <v>468</v>
      </c>
      <c r="H42" s="13" t="s">
        <v>467</v>
      </c>
      <c r="I42" s="13">
        <f>SUMIF(Mercado_Receita!$S$2:$S$587,"44440B3BrancaNão se aplicaNão se aplicaNão se aplicaNão se aplicaPonta",Mercado_Receita!$L$2:$L$587)</f>
        <v>0.18</v>
      </c>
      <c r="J42" s="13">
        <f>SUMIF(Mercado_Receita!$S$2:$S$587,"44470B3BrancaNão se aplicaNão se aplicaNão se aplicaNão se aplicaPonta",Mercado_Receita!$L$2:$L$587)</f>
        <v>0.22499999999999998</v>
      </c>
      <c r="K42" s="13">
        <f>SUMIF(Mercado_Receita!$S$2:$S$587,"44501B3BrancaNão se aplicaNão se aplicaNão se aplicaNão se aplicaPonta",Mercado_Receita!$L$2:$L$587)</f>
        <v>0.20100000000000001</v>
      </c>
      <c r="L42" s="13">
        <f>SUMIF(Mercado_Receita!$S$2:$S$587,"44531B3BrancaNão se aplicaNão se aplicaNão se aplicaNão se aplicaPonta",Mercado_Receita!$L$2:$L$587)</f>
        <v>0.33499999999999996</v>
      </c>
      <c r="M42" s="13">
        <f>SUMIF(Mercado_Receita!$S$2:$S$587,"44562B3BrancaNão se aplicaNão se aplicaNão se aplicaNão se aplicaPonta",Mercado_Receita!$L$2:$L$587)</f>
        <v>0.32500000000000001</v>
      </c>
      <c r="N42" s="13">
        <f>SUMIF(Mercado_Receita!$S$2:$S$587,"44593B3BrancaNão se aplicaNão se aplicaNão se aplicaNão se aplicaPonta",Mercado_Receita!$L$2:$L$587)</f>
        <v>0.33</v>
      </c>
      <c r="O42" s="13">
        <f>SUMIF(Mercado_Receita!$S$2:$S$587,"44621B3BrancaNão se aplicaNão se aplicaNão se aplicaNão se aplicaPonta",Mercado_Receita!$L$2:$L$587)</f>
        <v>0.36399999999999999</v>
      </c>
      <c r="P42" s="13">
        <f>SUMIF(Mercado_Receita!$S$2:$S$587,"44652B3BrancaNão se aplicaNão se aplicaNão se aplicaNão se aplicaPonta",Mercado_Receita!$L$2:$L$587)</f>
        <v>0.30599999999999999</v>
      </c>
      <c r="Q42" s="13">
        <f>SUMIF(Mercado_Receita!$S$2:$S$587,"44682B3BrancaNão se aplicaNão se aplicaNão se aplicaNão se aplicaPonta",Mercado_Receita!$L$2:$L$587)</f>
        <v>0.27900000000000003</v>
      </c>
      <c r="R42" s="13">
        <f>SUMIF(Mercado_Receita!$S$2:$S$587,"44713B3BrancaNão se aplicaNão se aplicaNão se aplicaNão se aplicaPonta",Mercado_Receita!$L$2:$L$587)</f>
        <v>0.22999999999999998</v>
      </c>
      <c r="S42" s="13">
        <f>SUMIF(Mercado_Receita!$S$2:$S$587,"44743B3BrancaNão se aplicaNão se aplicaNão se aplicaNão se aplicaPonta",Mercado_Receita!$L$2:$L$587)</f>
        <v>0.107</v>
      </c>
      <c r="T42" s="13">
        <f>SUMIF(Mercado_Receita!$S$2:$S$587,"44774B3BrancaNão se aplicaNão se aplicaNão se aplicaNão se aplicaPonta",Mercado_Receita!$L$2:$L$587)</f>
        <v>0.157</v>
      </c>
      <c r="U42" s="13">
        <f t="shared" si="0"/>
        <v>3.0390000000000001</v>
      </c>
      <c r="V42" s="13"/>
      <c r="W42" s="13"/>
    </row>
    <row r="43" spans="1:23" ht="11.25" customHeight="1" x14ac:dyDescent="0.3">
      <c r="A43" s="76"/>
      <c r="B43" s="76"/>
      <c r="C43" s="76"/>
      <c r="D43" s="76"/>
      <c r="E43" s="76"/>
      <c r="F43" s="76"/>
      <c r="G43" s="13" t="s">
        <v>480</v>
      </c>
      <c r="H43" s="13" t="s">
        <v>467</v>
      </c>
      <c r="I43" s="13">
        <f>SUMIF(Mercado_Receita!$S$2:$S$587,"44440B3BrancaNão se aplicaNão se aplicaNão se aplicaNão se aplicaIntermediário",Mercado_Receita!$L$2:$L$587)</f>
        <v>0.52500000000000002</v>
      </c>
      <c r="J43" s="13">
        <f>SUMIF(Mercado_Receita!$S$2:$S$587,"44470B3BrancaNão se aplicaNão se aplicaNão se aplicaNão se aplicaIntermediário",Mercado_Receita!$L$2:$L$587)</f>
        <v>0.54299999999999993</v>
      </c>
      <c r="K43" s="13">
        <f>SUMIF(Mercado_Receita!$S$2:$S$587,"44501B3BrancaNão se aplicaNão se aplicaNão se aplicaNão se aplicaIntermediário",Mercado_Receita!$L$2:$L$587)</f>
        <v>0.39400000000000002</v>
      </c>
      <c r="L43" s="13">
        <f>SUMIF(Mercado_Receita!$S$2:$S$587,"44531B3BrancaNão se aplicaNão se aplicaNão se aplicaNão se aplicaIntermediário",Mercado_Receita!$L$2:$L$587)</f>
        <v>0.45399999999999996</v>
      </c>
      <c r="M43" s="13">
        <f>SUMIF(Mercado_Receita!$S$2:$S$587,"44562B3BrancaNão se aplicaNão se aplicaNão se aplicaNão se aplicaIntermediário",Mercado_Receita!$L$2:$L$587)</f>
        <v>0.48199999999999998</v>
      </c>
      <c r="N43" s="13">
        <f>SUMIF(Mercado_Receita!$S$2:$S$587,"44593B3BrancaNão se aplicaNão se aplicaNão se aplicaNão se aplicaIntermediário",Mercado_Receita!$L$2:$L$587)</f>
        <v>0.61699999999999999</v>
      </c>
      <c r="O43" s="13">
        <f>SUMIF(Mercado_Receita!$S$2:$S$587,"44621B3BrancaNão se aplicaNão se aplicaNão se aplicaNão se aplicaIntermediário",Mercado_Receita!$L$2:$L$587)</f>
        <v>0.66599999999999993</v>
      </c>
      <c r="P43" s="13">
        <f>SUMIF(Mercado_Receita!$S$2:$S$587,"44652B3BrancaNão se aplicaNão se aplicaNão se aplicaNão se aplicaIntermediário",Mercado_Receita!$L$2:$L$587)</f>
        <v>0.39700000000000002</v>
      </c>
      <c r="Q43" s="13">
        <f>SUMIF(Mercado_Receita!$S$2:$S$587,"44682B3BrancaNão se aplicaNão se aplicaNão se aplicaNão se aplicaIntermediário",Mercado_Receita!$L$2:$L$587)</f>
        <v>0.38200000000000001</v>
      </c>
      <c r="R43" s="13">
        <f>SUMIF(Mercado_Receita!$S$2:$S$587,"44713B3BrancaNão se aplicaNão se aplicaNão se aplicaNão se aplicaIntermediário",Mercado_Receita!$L$2:$L$587)</f>
        <v>0.32700000000000001</v>
      </c>
      <c r="S43" s="13">
        <f>SUMIF(Mercado_Receita!$S$2:$S$587,"44743B3BrancaNão se aplicaNão se aplicaNão se aplicaNão se aplicaIntermediário",Mercado_Receita!$L$2:$L$587)</f>
        <v>0.13400000000000001</v>
      </c>
      <c r="T43" s="13">
        <f>SUMIF(Mercado_Receita!$S$2:$S$587,"44774B3BrancaNão se aplicaNão se aplicaNão se aplicaNão se aplicaIntermediário",Mercado_Receita!$L$2:$L$587)</f>
        <v>0.254</v>
      </c>
      <c r="U43" s="13">
        <f t="shared" si="0"/>
        <v>5.1750000000000007</v>
      </c>
      <c r="V43" s="13"/>
      <c r="W43" s="13"/>
    </row>
    <row r="44" spans="1:23" ht="11.25" customHeight="1" x14ac:dyDescent="0.3">
      <c r="A44" s="76"/>
      <c r="B44" s="76"/>
      <c r="C44" s="76"/>
      <c r="D44" s="76"/>
      <c r="E44" s="76"/>
      <c r="F44" s="76"/>
      <c r="G44" s="13" t="s">
        <v>469</v>
      </c>
      <c r="H44" s="13" t="s">
        <v>467</v>
      </c>
      <c r="I44" s="13">
        <f>SUMIF(Mercado_Receita!$S$2:$S$587,"44440B3BrancaNão se aplicaNão se aplicaNão se aplicaNão se aplicaFora ponta",Mercado_Receita!$L$2:$L$587)</f>
        <v>16.059999999999999</v>
      </c>
      <c r="J44" s="13">
        <f>SUMIF(Mercado_Receita!$S$2:$S$587,"44470B3BrancaNão se aplicaNão se aplicaNão se aplicaNão se aplicaFora ponta",Mercado_Receita!$L$2:$L$587)</f>
        <v>12.482999999999999</v>
      </c>
      <c r="K44" s="13">
        <f>SUMIF(Mercado_Receita!$S$2:$S$587,"44501B3BrancaNão se aplicaNão se aplicaNão se aplicaNão se aplicaFora ponta",Mercado_Receita!$L$2:$L$587)</f>
        <v>13.654</v>
      </c>
      <c r="L44" s="13">
        <f>SUMIF(Mercado_Receita!$S$2:$S$587,"44531B3BrancaNão se aplicaNão se aplicaNão se aplicaNão se aplicaFora ponta",Mercado_Receita!$L$2:$L$587)</f>
        <v>14.408999999999999</v>
      </c>
      <c r="M44" s="13">
        <f>SUMIF(Mercado_Receita!$S$2:$S$587,"44562B3BrancaNão se aplicaNão se aplicaNão se aplicaNão se aplicaFora ponta",Mercado_Receita!$L$2:$L$587)</f>
        <v>15.879999999999999</v>
      </c>
      <c r="N44" s="13">
        <f>SUMIF(Mercado_Receita!$S$2:$S$587,"44593B3BrancaNão se aplicaNão se aplicaNão se aplicaNão se aplicaFora ponta",Mercado_Receita!$L$2:$L$587)</f>
        <v>18.974</v>
      </c>
      <c r="O44" s="13">
        <f>SUMIF(Mercado_Receita!$S$2:$S$587,"44621B3BrancaNão se aplicaNão se aplicaNão se aplicaNão se aplicaFora ponta",Mercado_Receita!$L$2:$L$587)</f>
        <v>20.300999999999998</v>
      </c>
      <c r="P44" s="13">
        <f>SUMIF(Mercado_Receita!$S$2:$S$587,"44652B3BrancaNão se aplicaNão se aplicaNão se aplicaNão se aplicaFora ponta",Mercado_Receita!$L$2:$L$587)</f>
        <v>17.934000000000001</v>
      </c>
      <c r="Q44" s="13">
        <f>SUMIF(Mercado_Receita!$S$2:$S$587,"44682B3BrancaNão se aplicaNão se aplicaNão se aplicaNão se aplicaFora ponta",Mercado_Receita!$L$2:$L$587)</f>
        <v>19.629000000000001</v>
      </c>
      <c r="R44" s="13">
        <f>SUMIF(Mercado_Receita!$S$2:$S$587,"44713B3BrancaNão se aplicaNão se aplicaNão se aplicaNão se aplicaFora ponta",Mercado_Receita!$L$2:$L$587)</f>
        <v>14.854000000000003</v>
      </c>
      <c r="S44" s="13">
        <f>SUMIF(Mercado_Receita!$S$2:$S$587,"44743B3BrancaNão se aplicaNão se aplicaNão se aplicaNão se aplicaFora ponta",Mercado_Receita!$L$2:$L$587)</f>
        <v>10.196999999999999</v>
      </c>
      <c r="T44" s="13">
        <f>SUMIF(Mercado_Receita!$S$2:$S$587,"44774B3BrancaNão se aplicaNão se aplicaNão se aplicaNão se aplicaFora ponta",Mercado_Receita!$L$2:$L$587)</f>
        <v>16.158000000000001</v>
      </c>
      <c r="U44" s="13">
        <f t="shared" si="0"/>
        <v>190.53300000000002</v>
      </c>
      <c r="V44" s="13"/>
      <c r="W44" s="13"/>
    </row>
    <row r="45" spans="1:23" ht="11.25" customHeight="1" x14ac:dyDescent="0.3">
      <c r="A45" s="76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474</v>
      </c>
      <c r="H45" s="13" t="s">
        <v>467</v>
      </c>
      <c r="I45" s="13">
        <f>SUMIF(Mercado_Receita!$S$2:$S$587,"44440B3ConvencionalNão se aplicaNão se aplicaNão se aplicaNão se aplicaPonta",Mercado_Receita!$L$2:$L$587)+SUMIF(Mercado_Receita!$S$2:$S$587,"44440B3ConvencionalNão se aplicaNão se aplicaNão se aplicaNão se aplicaFora ponta",Mercado_Receita!$L$2:$L$587)+SUMIF(Mercado_Receita!$S$2:$S$587,"44440B3ConvencionalNão se aplicaNão se aplicaNão se aplicaNão se aplicaIntermediário",Mercado_Receita!$L$2:$L$587)+SUMIF(Mercado_Receita!$S$2:$S$587,"44440B3ConvencionalNão se aplicaNão se aplicaNão se aplicaNão se aplicaNão se aplica",Mercado_Receita!$L$2:$L$587)</f>
        <v>1021.977</v>
      </c>
      <c r="J45" s="13">
        <f>SUMIF(Mercado_Receita!$S$2:$S$587,"44470B3ConvencionalNão se aplicaNão se aplicaNão se aplicaNão se aplicaPonta",Mercado_Receita!$L$2:$L$587)+SUMIF(Mercado_Receita!$S$2:$S$587,"44470B3ConvencionalNão se aplicaNão se aplicaNão se aplicaNão se aplicaFora ponta",Mercado_Receita!$L$2:$L$587)+SUMIF(Mercado_Receita!$S$2:$S$587,"44470B3ConvencionalNão se aplicaNão se aplicaNão se aplicaNão se aplicaIntermediário",Mercado_Receita!$L$2:$L$587)+SUMIF(Mercado_Receita!$S$2:$S$587,"44470B3ConvencionalNão se aplicaNão se aplicaNão se aplicaNão se aplicaNão se aplica",Mercado_Receita!$L$2:$L$587)</f>
        <v>996.745</v>
      </c>
      <c r="K45" s="13">
        <f>SUMIF(Mercado_Receita!$S$2:$S$587,"44501B3ConvencionalNão se aplicaNão se aplicaNão se aplicaNão se aplicaPonta",Mercado_Receita!$L$2:$L$587)+SUMIF(Mercado_Receita!$S$2:$S$587,"44501B3ConvencionalNão se aplicaNão se aplicaNão se aplicaNão se aplicaFora ponta",Mercado_Receita!$L$2:$L$587)+SUMIF(Mercado_Receita!$S$2:$S$587,"44501B3ConvencionalNão se aplicaNão se aplicaNão se aplicaNão se aplicaIntermediário",Mercado_Receita!$L$2:$L$587)+SUMIF(Mercado_Receita!$S$2:$S$587,"44501B3ConvencionalNão se aplicaNão se aplicaNão se aplicaNão se aplicaNão se aplica",Mercado_Receita!$L$2:$L$587)</f>
        <v>1052.8919999999998</v>
      </c>
      <c r="L45" s="13">
        <f>SUMIF(Mercado_Receita!$S$2:$S$587,"44531B3ConvencionalNão se aplicaNão se aplicaNão se aplicaNão se aplicaPonta",Mercado_Receita!$L$2:$L$587)+SUMIF(Mercado_Receita!$S$2:$S$587,"44531B3ConvencionalNão se aplicaNão se aplicaNão se aplicaNão se aplicaFora ponta",Mercado_Receita!$L$2:$L$587)+SUMIF(Mercado_Receita!$S$2:$S$587,"44531B3ConvencionalNão se aplicaNão se aplicaNão se aplicaNão se aplicaIntermediário",Mercado_Receita!$L$2:$L$587)+SUMIF(Mercado_Receita!$S$2:$S$587,"44531B3ConvencionalNão se aplicaNão se aplicaNão se aplicaNão se aplicaNão se aplica",Mercado_Receita!$L$2:$L$587)</f>
        <v>1034.1560000000002</v>
      </c>
      <c r="M45" s="13">
        <f>SUMIF(Mercado_Receita!$S$2:$S$587,"44562B3ConvencionalNão se aplicaNão se aplicaNão se aplicaNão se aplicaPonta",Mercado_Receita!$L$2:$L$587)+SUMIF(Mercado_Receita!$S$2:$S$587,"44562B3ConvencionalNão se aplicaNão se aplicaNão se aplicaNão se aplicaFora ponta",Mercado_Receita!$L$2:$L$587)+SUMIF(Mercado_Receita!$S$2:$S$587,"44562B3ConvencionalNão se aplicaNão se aplicaNão se aplicaNão se aplicaIntermediário",Mercado_Receita!$L$2:$L$587)+SUMIF(Mercado_Receita!$S$2:$S$587,"44562B3ConvencionalNão se aplicaNão se aplicaNão se aplicaNão se aplicaNão se aplica",Mercado_Receita!$L$2:$L$587)</f>
        <v>1484.4280000000001</v>
      </c>
      <c r="N45" s="13">
        <f>SUMIF(Mercado_Receita!$S$2:$S$587,"44593B3ConvencionalNão se aplicaNão se aplicaNão se aplicaNão se aplicaPonta",Mercado_Receita!$L$2:$L$587)+SUMIF(Mercado_Receita!$S$2:$S$587,"44593B3ConvencionalNão se aplicaNão se aplicaNão se aplicaNão se aplicaFora ponta",Mercado_Receita!$L$2:$L$587)+SUMIF(Mercado_Receita!$S$2:$S$587,"44593B3ConvencionalNão se aplicaNão se aplicaNão se aplicaNão se aplicaIntermediário",Mercado_Receita!$L$2:$L$587)+SUMIF(Mercado_Receita!$S$2:$S$587,"44593B3ConvencionalNão se aplicaNão se aplicaNão se aplicaNão se aplicaNão se aplica",Mercado_Receita!$L$2:$L$587)</f>
        <v>1489.6690000000001</v>
      </c>
      <c r="O45" s="13">
        <f>SUMIF(Mercado_Receita!$S$2:$S$587,"44621B3ConvencionalNão se aplicaNão se aplicaNão se aplicaNão se aplicaPonta",Mercado_Receita!$L$2:$L$587)+SUMIF(Mercado_Receita!$S$2:$S$587,"44621B3ConvencionalNão se aplicaNão se aplicaNão se aplicaNão se aplicaFora ponta",Mercado_Receita!$L$2:$L$587)+SUMIF(Mercado_Receita!$S$2:$S$587,"44621B3ConvencionalNão se aplicaNão se aplicaNão se aplicaNão se aplicaIntermediário",Mercado_Receita!$L$2:$L$587)+SUMIF(Mercado_Receita!$S$2:$S$587,"44621B3ConvencionalNão se aplicaNão se aplicaNão se aplicaNão se aplicaNão se aplica",Mercado_Receita!$L$2:$L$587)</f>
        <v>1604.4040000000002</v>
      </c>
      <c r="P45" s="13">
        <f>SUMIF(Mercado_Receita!$S$2:$S$587,"44652B3ConvencionalNão se aplicaNão se aplicaNão se aplicaNão se aplicaPonta",Mercado_Receita!$L$2:$L$587)+SUMIF(Mercado_Receita!$S$2:$S$587,"44652B3ConvencionalNão se aplicaNão se aplicaNão se aplicaNão se aplicaFora ponta",Mercado_Receita!$L$2:$L$587)+SUMIF(Mercado_Receita!$S$2:$S$587,"44652B3ConvencionalNão se aplicaNão se aplicaNão se aplicaNão se aplicaIntermediário",Mercado_Receita!$L$2:$L$587)+SUMIF(Mercado_Receita!$S$2:$S$587,"44652B3ConvencionalNão se aplicaNão se aplicaNão se aplicaNão se aplicaNão se aplica",Mercado_Receita!$L$2:$L$587)</f>
        <v>1210.4449999999997</v>
      </c>
      <c r="Q45" s="13">
        <f>SUMIF(Mercado_Receita!$S$2:$S$587,"44682B3ConvencionalNão se aplicaNão se aplicaNão se aplicaNão se aplicaPonta",Mercado_Receita!$L$2:$L$587)+SUMIF(Mercado_Receita!$S$2:$S$587,"44682B3ConvencionalNão se aplicaNão se aplicaNão se aplicaNão se aplicaFora ponta",Mercado_Receita!$L$2:$L$587)+SUMIF(Mercado_Receita!$S$2:$S$587,"44682B3ConvencionalNão se aplicaNão se aplicaNão se aplicaNão se aplicaIntermediário",Mercado_Receita!$L$2:$L$587)+SUMIF(Mercado_Receita!$S$2:$S$587,"44682B3ConvencionalNão se aplicaNão se aplicaNão se aplicaNão se aplicaNão se aplica",Mercado_Receita!$L$2:$L$587)</f>
        <v>1030.2939999999999</v>
      </c>
      <c r="R45" s="13">
        <f>SUMIF(Mercado_Receita!$S$2:$S$587,"44713B3ConvencionalNão se aplicaNão se aplicaNão se aplicaNão se aplicaPonta",Mercado_Receita!$L$2:$L$587)+SUMIF(Mercado_Receita!$S$2:$S$587,"44713B3ConvencionalNão se aplicaNão se aplicaNão se aplicaNão se aplicaFora ponta",Mercado_Receita!$L$2:$L$587)+SUMIF(Mercado_Receita!$S$2:$S$587,"44713B3ConvencionalNão se aplicaNão se aplicaNão se aplicaNão se aplicaIntermediário",Mercado_Receita!$L$2:$L$587)+SUMIF(Mercado_Receita!$S$2:$S$587,"44713B3ConvencionalNão se aplicaNão se aplicaNão se aplicaNão se aplicaNão se aplica",Mercado_Receita!$L$2:$L$587)</f>
        <v>1003.4220000000003</v>
      </c>
      <c r="S45" s="13">
        <f>SUMIF(Mercado_Receita!$S$2:$S$587,"44743B3ConvencionalNão se aplicaNão se aplicaNão se aplicaNão se aplicaPonta",Mercado_Receita!$L$2:$L$587)+SUMIF(Mercado_Receita!$S$2:$S$587,"44743B3ConvencionalNão se aplicaNão se aplicaNão se aplicaNão se aplicaFora ponta",Mercado_Receita!$L$2:$L$587)+SUMIF(Mercado_Receita!$S$2:$S$587,"44743B3ConvencionalNão se aplicaNão se aplicaNão se aplicaNão se aplicaIntermediário",Mercado_Receita!$L$2:$L$587)+SUMIF(Mercado_Receita!$S$2:$S$587,"44743B3ConvencionalNão se aplicaNão se aplicaNão se aplicaNão se aplicaNão se aplica",Mercado_Receita!$L$2:$L$587)</f>
        <v>904.34699999999998</v>
      </c>
      <c r="T45" s="13">
        <f>SUMIF(Mercado_Receita!$S$2:$S$587,"44774B3ConvencionalNão se aplicaNão se aplicaNão se aplicaNão se aplicaPonta",Mercado_Receita!$L$2:$L$587)+SUMIF(Mercado_Receita!$S$2:$S$587,"44774B3ConvencionalNão se aplicaNão se aplicaNão se aplicaNão se aplicaFora ponta",Mercado_Receita!$L$2:$L$587)+SUMIF(Mercado_Receita!$S$2:$S$587,"44774B3ConvencionalNão se aplicaNão se aplicaNão se aplicaNão se aplicaIntermediário",Mercado_Receita!$L$2:$L$587)+SUMIF(Mercado_Receita!$S$2:$S$587,"44774B3ConvencionalNão se aplicaNão se aplicaNão se aplicaNão se aplicaNão se aplica",Mercado_Receita!$L$2:$L$587)</f>
        <v>1006.256</v>
      </c>
      <c r="U45" s="13">
        <f t="shared" si="0"/>
        <v>13839.034999999998</v>
      </c>
      <c r="V45" s="13"/>
      <c r="W45" s="13"/>
    </row>
    <row r="46" spans="1:23" ht="11.25" customHeight="1" x14ac:dyDescent="0.3">
      <c r="A46" s="76"/>
      <c r="B46" s="12" t="s">
        <v>483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474</v>
      </c>
      <c r="H46" s="13" t="s">
        <v>467</v>
      </c>
      <c r="I46" s="13">
        <f>SUMIF(Mercado_Receita!$S$2:$S$587,"44440B3Convencional pré-pagamentoNão se aplicaNão se aplicaNão se aplicaNão se aplicaPonta",Mercado_Receita!$L$2:$L$587)+SUMIF(Mercado_Receita!$S$2:$S$587,"44440B3Convencional pré-pagamentoNão se aplicaNão se aplicaNão se aplicaNão se aplicaFora ponta",Mercado_Receita!$L$2:$L$587)+SUMIF(Mercado_Receita!$S$2:$S$587,"44440B3Convencional pré-pagamentoNão se aplicaNão se aplicaNão se aplicaNão se aplicaIntermediário",Mercado_Receita!$L$2:$L$587)+SUMIF(Mercado_Receita!$S$2:$S$587,"44440B3Convencional pré-pagamentoNão se aplicaNão se aplicaNão se aplicaNão se aplicaNão se aplica",Mercado_Receita!$L$2:$L$587)</f>
        <v>0</v>
      </c>
      <c r="J46" s="13">
        <f>SUMIF(Mercado_Receita!$S$2:$S$587,"44470B3Convencional pré-pagamentoNão se aplicaNão se aplicaNão se aplicaNão se aplicaPonta",Mercado_Receita!$L$2:$L$587)+SUMIF(Mercado_Receita!$S$2:$S$587,"44470B3Convencional pré-pagamentoNão se aplicaNão se aplicaNão se aplicaNão se aplicaFora ponta",Mercado_Receita!$L$2:$L$587)+SUMIF(Mercado_Receita!$S$2:$S$587,"44470B3Convencional pré-pagamentoNão se aplicaNão se aplicaNão se aplicaNão se aplicaIntermediário",Mercado_Receita!$L$2:$L$587)+SUMIF(Mercado_Receita!$S$2:$S$587,"44470B3Convencional pré-pagamentoNão se aplicaNão se aplicaNão se aplicaNão se aplicaNão se aplica",Mercado_Receita!$L$2:$L$587)</f>
        <v>0</v>
      </c>
      <c r="K46" s="13">
        <f>SUMIF(Mercado_Receita!$S$2:$S$587,"44501B3Convencional pré-pagamentoNão se aplicaNão se aplicaNão se aplicaNão se aplicaPonta",Mercado_Receita!$L$2:$L$587)+SUMIF(Mercado_Receita!$S$2:$S$587,"44501B3Convencional pré-pagamentoNão se aplicaNão se aplicaNão se aplicaNão se aplicaFora ponta",Mercado_Receita!$L$2:$L$587)+SUMIF(Mercado_Receita!$S$2:$S$587,"44501B3Convencional pré-pagamentoNão se aplicaNão se aplicaNão se aplicaNão se aplicaIntermediário",Mercado_Receita!$L$2:$L$587)+SUMIF(Mercado_Receita!$S$2:$S$587,"44501B3Convencional pré-pagamentoNão se aplicaNão se aplicaNão se aplicaNão se aplicaNão se aplica",Mercado_Receita!$L$2:$L$587)</f>
        <v>0</v>
      </c>
      <c r="L46" s="13">
        <f>SUMIF(Mercado_Receita!$S$2:$S$587,"44531B3Convencional pré-pagamentoNão se aplicaNão se aplicaNão se aplicaNão se aplicaPonta",Mercado_Receita!$L$2:$L$587)+SUMIF(Mercado_Receita!$S$2:$S$587,"44531B3Convencional pré-pagamentoNão se aplicaNão se aplicaNão se aplicaNão se aplicaFora ponta",Mercado_Receita!$L$2:$L$587)+SUMIF(Mercado_Receita!$S$2:$S$587,"44531B3Convencional pré-pagamentoNão se aplicaNão se aplicaNão se aplicaNão se aplicaIntermediário",Mercado_Receita!$L$2:$L$587)+SUMIF(Mercado_Receita!$S$2:$S$587,"44531B3Convencional pré-pagamentoNão se aplicaNão se aplicaNão se aplicaNão se aplicaNão se aplica",Mercado_Receita!$L$2:$L$587)</f>
        <v>0</v>
      </c>
      <c r="M46" s="13">
        <f>SUMIF(Mercado_Receita!$S$2:$S$587,"44562B3Convencional pré-pagamentoNão se aplicaNão se aplicaNão se aplicaNão se aplicaPonta",Mercado_Receita!$L$2:$L$587)+SUMIF(Mercado_Receita!$S$2:$S$587,"44562B3Convencional pré-pagamentoNão se aplicaNão se aplicaNão se aplicaNão se aplicaFora ponta",Mercado_Receita!$L$2:$L$587)+SUMIF(Mercado_Receita!$S$2:$S$587,"44562B3Convencional pré-pagamentoNão se aplicaNão se aplicaNão se aplicaNão se aplicaIntermediário",Mercado_Receita!$L$2:$L$587)+SUMIF(Mercado_Receita!$S$2:$S$587,"44562B3Convencional pré-pagamentoNão se aplicaNão se aplicaNão se aplicaNão se aplicaNão se aplica",Mercado_Receita!$L$2:$L$587)</f>
        <v>0</v>
      </c>
      <c r="N46" s="13">
        <f>SUMIF(Mercado_Receita!$S$2:$S$587,"44593B3Convencional pré-pagamentoNão se aplicaNão se aplicaNão se aplicaNão se aplicaPonta",Mercado_Receita!$L$2:$L$587)+SUMIF(Mercado_Receita!$S$2:$S$587,"44593B3Convencional pré-pagamentoNão se aplicaNão se aplicaNão se aplicaNão se aplicaFora ponta",Mercado_Receita!$L$2:$L$587)+SUMIF(Mercado_Receita!$S$2:$S$587,"44593B3Convencional pré-pagamentoNão se aplicaNão se aplicaNão se aplicaNão se aplicaIntermediário",Mercado_Receita!$L$2:$L$587)+SUMIF(Mercado_Receita!$S$2:$S$587,"44593B3Convencional pré-pagamentoNão se aplicaNão se aplicaNão se aplicaNão se aplicaNão se aplica",Mercado_Receita!$L$2:$L$587)</f>
        <v>0</v>
      </c>
      <c r="O46" s="13">
        <f>SUMIF(Mercado_Receita!$S$2:$S$587,"44621B3Convencional pré-pagamentoNão se aplicaNão se aplicaNão se aplicaNão se aplicaPonta",Mercado_Receita!$L$2:$L$587)+SUMIF(Mercado_Receita!$S$2:$S$587,"44621B3Convencional pré-pagamentoNão se aplicaNão se aplicaNão se aplicaNão se aplicaFora ponta",Mercado_Receita!$L$2:$L$587)+SUMIF(Mercado_Receita!$S$2:$S$587,"44621B3Convencional pré-pagamentoNão se aplicaNão se aplicaNão se aplicaNão se aplicaIntermediário",Mercado_Receita!$L$2:$L$587)+SUMIF(Mercado_Receita!$S$2:$S$587,"44621B3Convencional pré-pagamentoNão se aplicaNão se aplicaNão se aplicaNão se aplicaNão se aplica",Mercado_Receita!$L$2:$L$587)</f>
        <v>0</v>
      </c>
      <c r="P46" s="13">
        <f>SUMIF(Mercado_Receita!$S$2:$S$587,"44652B3Convencional pré-pagamentoNão se aplicaNão se aplicaNão se aplicaNão se aplicaPonta",Mercado_Receita!$L$2:$L$587)+SUMIF(Mercado_Receita!$S$2:$S$587,"44652B3Convencional pré-pagamentoNão se aplicaNão se aplicaNão se aplicaNão se aplicaFora ponta",Mercado_Receita!$L$2:$L$587)+SUMIF(Mercado_Receita!$S$2:$S$587,"44652B3Convencional pré-pagamentoNão se aplicaNão se aplicaNão se aplicaNão se aplicaIntermediário",Mercado_Receita!$L$2:$L$587)+SUMIF(Mercado_Receita!$S$2:$S$587,"44652B3Convencional pré-pagamentoNão se aplicaNão se aplicaNão se aplicaNão se aplicaNão se aplica",Mercado_Receita!$L$2:$L$587)</f>
        <v>0</v>
      </c>
      <c r="Q46" s="13">
        <f>SUMIF(Mercado_Receita!$S$2:$S$587,"44682B3Convencional pré-pagamentoNão se aplicaNão se aplicaNão se aplicaNão se aplicaPonta",Mercado_Receita!$L$2:$L$587)+SUMIF(Mercado_Receita!$S$2:$S$587,"44682B3Convencional pré-pagamentoNão se aplicaNão se aplicaNão se aplicaNão se aplicaFora ponta",Mercado_Receita!$L$2:$L$587)+SUMIF(Mercado_Receita!$S$2:$S$587,"44682B3Convencional pré-pagamentoNão se aplicaNão se aplicaNão se aplicaNão se aplicaIntermediário",Mercado_Receita!$L$2:$L$587)+SUMIF(Mercado_Receita!$S$2:$S$587,"44682B3Convencional pré-pagamentoNão se aplicaNão se aplicaNão se aplicaNão se aplicaNão se aplica",Mercado_Receita!$L$2:$L$587)</f>
        <v>0</v>
      </c>
      <c r="R46" s="13">
        <f>SUMIF(Mercado_Receita!$S$2:$S$587,"44713B3Convencional pré-pagamentoNão se aplicaNão se aplicaNão se aplicaNão se aplicaPonta",Mercado_Receita!$L$2:$L$587)+SUMIF(Mercado_Receita!$S$2:$S$587,"44713B3Convencional pré-pagamentoNão se aplicaNão se aplicaNão se aplicaNão se aplicaFora ponta",Mercado_Receita!$L$2:$L$587)+SUMIF(Mercado_Receita!$S$2:$S$587,"44713B3Convencional pré-pagamentoNão se aplicaNão se aplicaNão se aplicaNão se aplicaIntermediário",Mercado_Receita!$L$2:$L$587)+SUMIF(Mercado_Receita!$S$2:$S$587,"44713B3Convencional pré-pagamentoNão se aplicaNão se aplicaNão se aplicaNão se aplicaNão se aplica",Mercado_Receita!$L$2:$L$587)</f>
        <v>0</v>
      </c>
      <c r="S46" s="13">
        <f>SUMIF(Mercado_Receita!$S$2:$S$587,"44743B3Convencional pré-pagamentoNão se aplicaNão se aplicaNão se aplicaNão se aplicaPonta",Mercado_Receita!$L$2:$L$587)+SUMIF(Mercado_Receita!$S$2:$S$587,"44743B3Convencional pré-pagamentoNão se aplicaNão se aplicaNão se aplicaNão se aplicaFora ponta",Mercado_Receita!$L$2:$L$587)+SUMIF(Mercado_Receita!$S$2:$S$587,"44743B3Convencional pré-pagamentoNão se aplicaNão se aplicaNão se aplicaNão se aplicaIntermediário",Mercado_Receita!$L$2:$L$587)+SUMIF(Mercado_Receita!$S$2:$S$587,"44743B3Convencional pré-pagamentoNão se aplicaNão se aplicaNão se aplicaNão se aplicaNão se aplica",Mercado_Receita!$L$2:$L$587)</f>
        <v>0</v>
      </c>
      <c r="T46" s="13">
        <f>SUMIF(Mercado_Receita!$S$2:$S$587,"44774B3Convencional pré-pagamentoNão se aplicaNão se aplicaNão se aplicaNão se aplicaPonta",Mercado_Receita!$L$2:$L$587)+SUMIF(Mercado_Receita!$S$2:$S$587,"44774B3Convencional pré-pagamentoNão se aplicaNão se aplicaNão se aplicaNão se aplicaFora ponta",Mercado_Receita!$L$2:$L$587)+SUMIF(Mercado_Receita!$S$2:$S$587,"44774B3Convencional pré-pagamentoNão se aplicaNão se aplicaNão se aplicaNão se aplicaIntermediário",Mercado_Receita!$L$2:$L$587)+SUMIF(Mercado_Receita!$S$2:$S$587,"44774B3Convencional pré-pagamentoNão se aplicaNão se aplicaNão se aplicaNão se aplicaNão se aplica",Mercado_Receita!$L$2:$L$587)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75" t="s">
        <v>45</v>
      </c>
      <c r="B47" s="75" t="s">
        <v>23</v>
      </c>
      <c r="C47" s="75" t="s">
        <v>46</v>
      </c>
      <c r="D47" s="12" t="s">
        <v>486</v>
      </c>
      <c r="E47" s="12" t="s">
        <v>25</v>
      </c>
      <c r="F47" s="12" t="s">
        <v>25</v>
      </c>
      <c r="G47" s="13" t="s">
        <v>474</v>
      </c>
      <c r="H47" s="13" t="s">
        <v>467</v>
      </c>
      <c r="I47" s="13">
        <f>SUMIF(Mercado_Receita!$S$2:$S$587,"44440B4ConvencionalIluminação públicaIluminação pública – B4aNão se aplicaNão se aplicaPonta",Mercado_Receita!$L$2:$L$587)+SUMIF(Mercado_Receita!$S$2:$S$587,"44440B4ConvencionalIluminação públicaIluminação pública – B4aNão se aplicaNão se aplicaFora ponta",Mercado_Receita!$L$2:$L$587)+SUMIF(Mercado_Receita!$S$2:$S$587,"44440B4ConvencionalIluminação públicaIluminação pública – B4aNão se aplicaNão se aplicaIntermediário",Mercado_Receita!$L$2:$L$587)+SUMIF(Mercado_Receita!$S$2:$S$587,"44440B4ConvencionalIluminação públicaIluminação pública – B4aNão se aplicaNão se aplicaNão se aplica",Mercado_Receita!$L$2:$L$587)</f>
        <v>0</v>
      </c>
      <c r="J47" s="13">
        <f>SUMIF(Mercado_Receita!$S$2:$S$587,"44470B4ConvencionalIluminação públicaIluminação pública – B4aNão se aplicaNão se aplicaPonta",Mercado_Receita!$L$2:$L$587)+SUMIF(Mercado_Receita!$S$2:$S$587,"44470B4ConvencionalIluminação públicaIluminação pública – B4aNão se aplicaNão se aplicaFora ponta",Mercado_Receita!$L$2:$L$587)+SUMIF(Mercado_Receita!$S$2:$S$587,"44470B4ConvencionalIluminação públicaIluminação pública – B4aNão se aplicaNão se aplicaIntermediário",Mercado_Receita!$L$2:$L$587)+SUMIF(Mercado_Receita!$S$2:$S$587,"44470B4ConvencionalIluminação públicaIluminação pública – B4aNão se aplicaNão se aplicaNão se aplica",Mercado_Receita!$L$2:$L$587)</f>
        <v>0</v>
      </c>
      <c r="K47" s="13">
        <f>SUMIF(Mercado_Receita!$S$2:$S$587,"44501B4ConvencionalIluminação públicaIluminação pública – B4aNão se aplicaNão se aplicaPonta",Mercado_Receita!$L$2:$L$587)+SUMIF(Mercado_Receita!$S$2:$S$587,"44501B4ConvencionalIluminação públicaIluminação pública – B4aNão se aplicaNão se aplicaFora ponta",Mercado_Receita!$L$2:$L$587)+SUMIF(Mercado_Receita!$S$2:$S$587,"44501B4ConvencionalIluminação públicaIluminação pública – B4aNão se aplicaNão se aplicaIntermediário",Mercado_Receita!$L$2:$L$587)+SUMIF(Mercado_Receita!$S$2:$S$587,"44501B4ConvencionalIluminação públicaIluminação pública – B4aNão se aplicaNão se aplicaNão se aplica",Mercado_Receita!$L$2:$L$587)</f>
        <v>0</v>
      </c>
      <c r="L47" s="13">
        <f>SUMIF(Mercado_Receita!$S$2:$S$587,"44531B4ConvencionalIluminação públicaIluminação pública – B4aNão se aplicaNão se aplicaPonta",Mercado_Receita!$L$2:$L$587)+SUMIF(Mercado_Receita!$S$2:$S$587,"44531B4ConvencionalIluminação públicaIluminação pública – B4aNão se aplicaNão se aplicaFora ponta",Mercado_Receita!$L$2:$L$587)+SUMIF(Mercado_Receita!$S$2:$S$587,"44531B4ConvencionalIluminação públicaIluminação pública – B4aNão se aplicaNão se aplicaIntermediário",Mercado_Receita!$L$2:$L$587)+SUMIF(Mercado_Receita!$S$2:$S$587,"44531B4ConvencionalIluminação públicaIluminação pública – B4aNão se aplicaNão se aplicaNão se aplica",Mercado_Receita!$L$2:$L$587)</f>
        <v>0</v>
      </c>
      <c r="M47" s="13">
        <f>SUMIF(Mercado_Receita!$S$2:$S$587,"44562B4ConvencionalIluminação públicaIluminação pública – B4aNão se aplicaNão se aplicaPonta",Mercado_Receita!$L$2:$L$587)+SUMIF(Mercado_Receita!$S$2:$S$587,"44562B4ConvencionalIluminação públicaIluminação pública – B4aNão se aplicaNão se aplicaFora ponta",Mercado_Receita!$L$2:$L$587)+SUMIF(Mercado_Receita!$S$2:$S$587,"44562B4ConvencionalIluminação públicaIluminação pública – B4aNão se aplicaNão se aplicaIntermediário",Mercado_Receita!$L$2:$L$587)+SUMIF(Mercado_Receita!$S$2:$S$587,"44562B4ConvencionalIluminação públicaIluminação pública – B4aNão se aplicaNão se aplicaNão se aplica",Mercado_Receita!$L$2:$L$587)</f>
        <v>0</v>
      </c>
      <c r="N47" s="13">
        <f>SUMIF(Mercado_Receita!$S$2:$S$587,"44593B4ConvencionalIluminação públicaIluminação pública – B4aNão se aplicaNão se aplicaPonta",Mercado_Receita!$L$2:$L$587)+SUMIF(Mercado_Receita!$S$2:$S$587,"44593B4ConvencionalIluminação públicaIluminação pública – B4aNão se aplicaNão se aplicaFora ponta",Mercado_Receita!$L$2:$L$587)+SUMIF(Mercado_Receita!$S$2:$S$587,"44593B4ConvencionalIluminação públicaIluminação pública – B4aNão se aplicaNão se aplicaIntermediário",Mercado_Receita!$L$2:$L$587)+SUMIF(Mercado_Receita!$S$2:$S$587,"44593B4ConvencionalIluminação públicaIluminação pública – B4aNão se aplicaNão se aplicaNão se aplica",Mercado_Receita!$L$2:$L$587)</f>
        <v>0</v>
      </c>
      <c r="O47" s="13">
        <f>SUMIF(Mercado_Receita!$S$2:$S$587,"44621B4ConvencionalIluminação públicaIluminação pública – B4aNão se aplicaNão se aplicaPonta",Mercado_Receita!$L$2:$L$587)+SUMIF(Mercado_Receita!$S$2:$S$587,"44621B4ConvencionalIluminação públicaIluminação pública – B4aNão se aplicaNão se aplicaFora ponta",Mercado_Receita!$L$2:$L$587)+SUMIF(Mercado_Receita!$S$2:$S$587,"44621B4ConvencionalIluminação públicaIluminação pública – B4aNão se aplicaNão se aplicaIntermediário",Mercado_Receita!$L$2:$L$587)+SUMIF(Mercado_Receita!$S$2:$S$587,"44621B4ConvencionalIluminação públicaIluminação pública – B4aNão se aplicaNão se aplicaNão se aplica",Mercado_Receita!$L$2:$L$587)</f>
        <v>0</v>
      </c>
      <c r="P47" s="13">
        <f>SUMIF(Mercado_Receita!$S$2:$S$587,"44652B4ConvencionalIluminação públicaIluminação pública – B4aNão se aplicaNão se aplicaPonta",Mercado_Receita!$L$2:$L$587)+SUMIF(Mercado_Receita!$S$2:$S$587,"44652B4ConvencionalIluminação públicaIluminação pública – B4aNão se aplicaNão se aplicaFora ponta",Mercado_Receita!$L$2:$L$587)+SUMIF(Mercado_Receita!$S$2:$S$587,"44652B4ConvencionalIluminação públicaIluminação pública – B4aNão se aplicaNão se aplicaIntermediário",Mercado_Receita!$L$2:$L$587)+SUMIF(Mercado_Receita!$S$2:$S$587,"44652B4ConvencionalIluminação públicaIluminação pública – B4aNão se aplicaNão se aplicaNão se aplica",Mercado_Receita!$L$2:$L$587)</f>
        <v>0</v>
      </c>
      <c r="Q47" s="13">
        <f>SUMIF(Mercado_Receita!$S$2:$S$587,"44682B4ConvencionalIluminação públicaIluminação pública – B4aNão se aplicaNão se aplicaPonta",Mercado_Receita!$L$2:$L$587)+SUMIF(Mercado_Receita!$S$2:$S$587,"44682B4ConvencionalIluminação públicaIluminação pública – B4aNão se aplicaNão se aplicaFora ponta",Mercado_Receita!$L$2:$L$587)+SUMIF(Mercado_Receita!$S$2:$S$587,"44682B4ConvencionalIluminação públicaIluminação pública – B4aNão se aplicaNão se aplicaIntermediário",Mercado_Receita!$L$2:$L$587)+SUMIF(Mercado_Receita!$S$2:$S$587,"44682B4ConvencionalIluminação públicaIluminação pública – B4aNão se aplicaNão se aplicaNão se aplica",Mercado_Receita!$L$2:$L$587)</f>
        <v>0</v>
      </c>
      <c r="R47" s="13">
        <f>SUMIF(Mercado_Receita!$S$2:$S$587,"44713B4ConvencionalIluminação públicaIluminação pública – B4aNão se aplicaNão se aplicaPonta",Mercado_Receita!$L$2:$L$587)+SUMIF(Mercado_Receita!$S$2:$S$587,"44713B4ConvencionalIluminação públicaIluminação pública – B4aNão se aplicaNão se aplicaFora ponta",Mercado_Receita!$L$2:$L$587)+SUMIF(Mercado_Receita!$S$2:$S$587,"44713B4ConvencionalIluminação públicaIluminação pública – B4aNão se aplicaNão se aplicaIntermediário",Mercado_Receita!$L$2:$L$587)+SUMIF(Mercado_Receita!$S$2:$S$587,"44713B4ConvencionalIluminação públicaIluminação pública – B4aNão se aplicaNão se aplicaNão se aplica",Mercado_Receita!$L$2:$L$587)</f>
        <v>0</v>
      </c>
      <c r="S47" s="13">
        <f>SUMIF(Mercado_Receita!$S$2:$S$587,"44743B4ConvencionalIluminação públicaIluminação pública – B4aNão se aplicaNão se aplicaPonta",Mercado_Receita!$L$2:$L$587)+SUMIF(Mercado_Receita!$S$2:$S$587,"44743B4ConvencionalIluminação públicaIluminação pública – B4aNão se aplicaNão se aplicaFora ponta",Mercado_Receita!$L$2:$L$587)+SUMIF(Mercado_Receita!$S$2:$S$587,"44743B4ConvencionalIluminação públicaIluminação pública – B4aNão se aplicaNão se aplicaIntermediário",Mercado_Receita!$L$2:$L$587)+SUMIF(Mercado_Receita!$S$2:$S$587,"44743B4ConvencionalIluminação públicaIluminação pública – B4aNão se aplicaNão se aplicaNão se aplica",Mercado_Receita!$L$2:$L$587)</f>
        <v>0</v>
      </c>
      <c r="T47" s="13">
        <f>SUMIF(Mercado_Receita!$S$2:$S$587,"44774B4ConvencionalIluminação públicaIluminação pública – B4aNão se aplicaNão se aplicaPonta",Mercado_Receita!$L$2:$L$587)+SUMIF(Mercado_Receita!$S$2:$S$587,"44774B4ConvencionalIluminação públicaIluminação pública – B4aNão se aplicaNão se aplicaFora ponta",Mercado_Receita!$L$2:$L$587)+SUMIF(Mercado_Receita!$S$2:$S$587,"44774B4ConvencionalIluminação públicaIluminação pública – B4aNão se aplicaNão se aplicaIntermediário",Mercado_Receita!$L$2:$L$587)+SUMIF(Mercado_Receita!$S$2:$S$587,"44774B4ConvencionalIluminação públicaIluminação pública – B4aNão se aplicaNão se aplicaNão se aplica",Mercado_Receita!$L$2:$L$587)</f>
        <v>0</v>
      </c>
      <c r="U47" s="13">
        <f t="shared" si="0"/>
        <v>0</v>
      </c>
      <c r="V47" s="13"/>
      <c r="W47" s="13"/>
    </row>
    <row r="48" spans="1:23" ht="11.25" customHeight="1" x14ac:dyDescent="0.3">
      <c r="A48" s="76"/>
      <c r="B48" s="76"/>
      <c r="C48" s="76"/>
      <c r="D48" s="13" t="s">
        <v>47</v>
      </c>
      <c r="E48" s="13" t="s">
        <v>25</v>
      </c>
      <c r="F48" s="13" t="s">
        <v>25</v>
      </c>
      <c r="G48" s="13" t="s">
        <v>474</v>
      </c>
      <c r="H48" s="13" t="s">
        <v>467</v>
      </c>
      <c r="I48" s="13">
        <f>SUMIF(Mercado_Receita!$S$2:$S$587,"44440B4ConvencionalIluminação públicaIluminação pública – B4bNão se aplicaNão se aplicaPonta",Mercado_Receita!$L$2:$L$587)+SUMIF(Mercado_Receita!$S$2:$S$587,"44440B4ConvencionalIluminação públicaIluminação pública – B4bNão se aplicaNão se aplicaFora ponta",Mercado_Receita!$L$2:$L$587)+SUMIF(Mercado_Receita!$S$2:$S$587,"44440B4ConvencionalIluminação públicaIluminação pública – B4bNão se aplicaNão se aplicaIntermediário",Mercado_Receita!$L$2:$L$587)+SUMIF(Mercado_Receita!$S$2:$S$587,"44440B4ConvencionalIluminação públicaIluminação pública – B4bNão se aplicaNão se aplicaNão se aplica",Mercado_Receita!$L$2:$L$587)</f>
        <v>308.06400000000002</v>
      </c>
      <c r="J48" s="13">
        <f>SUMIF(Mercado_Receita!$S$2:$S$587,"44470B4ConvencionalIluminação públicaIluminação pública – B4bNão se aplicaNão se aplicaPonta",Mercado_Receita!$L$2:$L$587)+SUMIF(Mercado_Receita!$S$2:$S$587,"44470B4ConvencionalIluminação públicaIluminação pública – B4bNão se aplicaNão se aplicaFora ponta",Mercado_Receita!$L$2:$L$587)+SUMIF(Mercado_Receita!$S$2:$S$587,"44470B4ConvencionalIluminação públicaIluminação pública – B4bNão se aplicaNão se aplicaIntermediário",Mercado_Receita!$L$2:$L$587)+SUMIF(Mercado_Receita!$S$2:$S$587,"44470B4ConvencionalIluminação públicaIluminação pública – B4bNão se aplicaNão se aplicaNão se aplica",Mercado_Receita!$L$2:$L$587)</f>
        <v>308.262</v>
      </c>
      <c r="K48" s="13">
        <f>SUMIF(Mercado_Receita!$S$2:$S$587,"44501B4ConvencionalIluminação públicaIluminação pública – B4bNão se aplicaNão se aplicaPonta",Mercado_Receita!$L$2:$L$587)+SUMIF(Mercado_Receita!$S$2:$S$587,"44501B4ConvencionalIluminação públicaIluminação pública – B4bNão se aplicaNão se aplicaFora ponta",Mercado_Receita!$L$2:$L$587)+SUMIF(Mercado_Receita!$S$2:$S$587,"44501B4ConvencionalIluminação públicaIluminação pública – B4bNão se aplicaNão se aplicaIntermediário",Mercado_Receita!$L$2:$L$587)+SUMIF(Mercado_Receita!$S$2:$S$587,"44501B4ConvencionalIluminação públicaIluminação pública – B4bNão se aplicaNão se aplicaNão se aplica",Mercado_Receita!$L$2:$L$587)</f>
        <v>308.76900000000001</v>
      </c>
      <c r="L48" s="13">
        <f>SUMIF(Mercado_Receita!$S$2:$S$587,"44531B4ConvencionalIluminação públicaIluminação pública – B4bNão se aplicaNão se aplicaPonta",Mercado_Receita!$L$2:$L$587)+SUMIF(Mercado_Receita!$S$2:$S$587,"44531B4ConvencionalIluminação públicaIluminação pública – B4bNão se aplicaNão se aplicaFora ponta",Mercado_Receita!$L$2:$L$587)+SUMIF(Mercado_Receita!$S$2:$S$587,"44531B4ConvencionalIluminação públicaIluminação pública – B4bNão se aplicaNão se aplicaIntermediário",Mercado_Receita!$L$2:$L$587)+SUMIF(Mercado_Receita!$S$2:$S$587,"44531B4ConvencionalIluminação públicaIluminação pública – B4bNão se aplicaNão se aplicaNão se aplica",Mercado_Receita!$L$2:$L$587)</f>
        <v>315.70699999999999</v>
      </c>
      <c r="M48" s="13">
        <f>SUMIF(Mercado_Receita!$S$2:$S$587,"44562B4ConvencionalIluminação públicaIluminação pública – B4bNão se aplicaNão se aplicaPonta",Mercado_Receita!$L$2:$L$587)+SUMIF(Mercado_Receita!$S$2:$S$587,"44562B4ConvencionalIluminação públicaIluminação pública – B4bNão se aplicaNão se aplicaFora ponta",Mercado_Receita!$L$2:$L$587)+SUMIF(Mercado_Receita!$S$2:$S$587,"44562B4ConvencionalIluminação públicaIluminação pública – B4bNão se aplicaNão se aplicaIntermediário",Mercado_Receita!$L$2:$L$587)+SUMIF(Mercado_Receita!$S$2:$S$587,"44562B4ConvencionalIluminação públicaIluminação pública – B4bNão se aplicaNão se aplicaNão se aplica",Mercado_Receita!$L$2:$L$587)</f>
        <v>317.30099999999999</v>
      </c>
      <c r="N48" s="13">
        <f>SUMIF(Mercado_Receita!$S$2:$S$587,"44593B4ConvencionalIluminação públicaIluminação pública – B4bNão se aplicaNão se aplicaPonta",Mercado_Receita!$L$2:$L$587)+SUMIF(Mercado_Receita!$S$2:$S$587,"44593B4ConvencionalIluminação públicaIluminação pública – B4bNão se aplicaNão se aplicaFora ponta",Mercado_Receita!$L$2:$L$587)+SUMIF(Mercado_Receita!$S$2:$S$587,"44593B4ConvencionalIluminação públicaIluminação pública – B4bNão se aplicaNão se aplicaIntermediário",Mercado_Receita!$L$2:$L$587)+SUMIF(Mercado_Receita!$S$2:$S$587,"44593B4ConvencionalIluminação públicaIluminação pública – B4bNão se aplicaNão se aplicaNão se aplica",Mercado_Receita!$L$2:$L$587)</f>
        <v>317.30099999999999</v>
      </c>
      <c r="O48" s="13">
        <f>SUMIF(Mercado_Receita!$S$2:$S$587,"44621B4ConvencionalIluminação públicaIluminação pública – B4bNão se aplicaNão se aplicaPonta",Mercado_Receita!$L$2:$L$587)+SUMIF(Mercado_Receita!$S$2:$S$587,"44621B4ConvencionalIluminação públicaIluminação pública – B4bNão se aplicaNão se aplicaFora ponta",Mercado_Receita!$L$2:$L$587)+SUMIF(Mercado_Receita!$S$2:$S$587,"44621B4ConvencionalIluminação públicaIluminação pública – B4bNão se aplicaNão se aplicaIntermediário",Mercado_Receita!$L$2:$L$587)+SUMIF(Mercado_Receita!$S$2:$S$587,"44621B4ConvencionalIluminação públicaIluminação pública – B4bNão se aplicaNão se aplicaNão se aplica",Mercado_Receita!$L$2:$L$587)</f>
        <v>318.34800000000001</v>
      </c>
      <c r="P48" s="13">
        <f>SUMIF(Mercado_Receita!$S$2:$S$587,"44652B4ConvencionalIluminação públicaIluminação pública – B4bNão se aplicaNão se aplicaPonta",Mercado_Receita!$L$2:$L$587)+SUMIF(Mercado_Receita!$S$2:$S$587,"44652B4ConvencionalIluminação públicaIluminação pública – B4bNão se aplicaNão se aplicaFora ponta",Mercado_Receita!$L$2:$L$587)+SUMIF(Mercado_Receita!$S$2:$S$587,"44652B4ConvencionalIluminação públicaIluminação pública – B4bNão se aplicaNão se aplicaIntermediário",Mercado_Receita!$L$2:$L$587)+SUMIF(Mercado_Receita!$S$2:$S$587,"44652B4ConvencionalIluminação públicaIluminação pública – B4bNão se aplicaNão se aplicaNão se aplica",Mercado_Receita!$L$2:$L$587)</f>
        <v>318.91899999999998</v>
      </c>
      <c r="Q48" s="13">
        <f>SUMIF(Mercado_Receita!$S$2:$S$587,"44682B4ConvencionalIluminação públicaIluminação pública – B4bNão se aplicaNão se aplicaPonta",Mercado_Receita!$L$2:$L$587)+SUMIF(Mercado_Receita!$S$2:$S$587,"44682B4ConvencionalIluminação públicaIluminação pública – B4bNão se aplicaNão se aplicaFora ponta",Mercado_Receita!$L$2:$L$587)+SUMIF(Mercado_Receita!$S$2:$S$587,"44682B4ConvencionalIluminação públicaIluminação pública – B4bNão se aplicaNão se aplicaIntermediário",Mercado_Receita!$L$2:$L$587)+SUMIF(Mercado_Receita!$S$2:$S$587,"44682B4ConvencionalIluminação públicaIluminação pública – B4bNão se aplicaNão se aplicaNão se aplica",Mercado_Receita!$L$2:$L$587)</f>
        <v>320.483</v>
      </c>
      <c r="R48" s="13">
        <f>SUMIF(Mercado_Receita!$S$2:$S$587,"44713B4ConvencionalIluminação públicaIluminação pública – B4bNão se aplicaNão se aplicaPonta",Mercado_Receita!$L$2:$L$587)+SUMIF(Mercado_Receita!$S$2:$S$587,"44713B4ConvencionalIluminação públicaIluminação pública – B4bNão se aplicaNão se aplicaFora ponta",Mercado_Receita!$L$2:$L$587)+SUMIF(Mercado_Receita!$S$2:$S$587,"44713B4ConvencionalIluminação públicaIluminação pública – B4bNão se aplicaNão se aplicaIntermediário",Mercado_Receita!$L$2:$L$587)+SUMIF(Mercado_Receita!$S$2:$S$587,"44713B4ConvencionalIluminação públicaIluminação pública – B4bNão se aplicaNão se aplicaNão se aplica",Mercado_Receita!$L$2:$L$587)</f>
        <v>322.30599999999998</v>
      </c>
      <c r="S48" s="13">
        <f>SUMIF(Mercado_Receita!$S$2:$S$587,"44743B4ConvencionalIluminação públicaIluminação pública – B4bNão se aplicaNão se aplicaPonta",Mercado_Receita!$L$2:$L$587)+SUMIF(Mercado_Receita!$S$2:$S$587,"44743B4ConvencionalIluminação públicaIluminação pública – B4bNão se aplicaNão se aplicaFora ponta",Mercado_Receita!$L$2:$L$587)+SUMIF(Mercado_Receita!$S$2:$S$587,"44743B4ConvencionalIluminação públicaIluminação pública – B4bNão se aplicaNão se aplicaIntermediário",Mercado_Receita!$L$2:$L$587)+SUMIF(Mercado_Receita!$S$2:$S$587,"44743B4ConvencionalIluminação públicaIluminação pública – B4bNão se aplicaNão se aplicaNão se aplica",Mercado_Receita!$L$2:$L$587)</f>
        <v>335.56099999999998</v>
      </c>
      <c r="T48" s="13">
        <f>SUMIF(Mercado_Receita!$S$2:$S$587,"44774B4ConvencionalIluminação públicaIluminação pública – B4bNão se aplicaNão se aplicaPonta",Mercado_Receita!$L$2:$L$587)+SUMIF(Mercado_Receita!$S$2:$S$587,"44774B4ConvencionalIluminação públicaIluminação pública – B4bNão se aplicaNão se aplicaFora ponta",Mercado_Receita!$L$2:$L$587)+SUMIF(Mercado_Receita!$S$2:$S$587,"44774B4ConvencionalIluminação públicaIluminação pública – B4bNão se aplicaNão se aplicaIntermediário",Mercado_Receita!$L$2:$L$587)+SUMIF(Mercado_Receita!$S$2:$S$587,"44774B4ConvencionalIluminação públicaIluminação pública – B4bNão se aplicaNão se aplicaNão se aplica",Mercado_Receita!$L$2:$L$587)</f>
        <v>316.31</v>
      </c>
      <c r="U48" s="13">
        <f t="shared" si="0"/>
        <v>3807.3310000000001</v>
      </c>
      <c r="V48" s="13"/>
      <c r="W48" s="13"/>
    </row>
    <row r="49" spans="1:23" ht="11.25" customHeight="1" x14ac:dyDescent="0.3">
      <c r="A49" s="77" t="s">
        <v>491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5B40-7F17-4F83-A8AC-220E269C3494}">
  <dimension ref="A1:AD39"/>
  <sheetViews>
    <sheetView showGridLines="0" workbookViewId="0">
      <selection sqref="A1:W39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457</v>
      </c>
      <c r="B1" s="10" t="s">
        <v>458</v>
      </c>
      <c r="C1" s="10" t="s">
        <v>459</v>
      </c>
      <c r="D1" s="10" t="s">
        <v>460</v>
      </c>
      <c r="E1" s="10" t="s">
        <v>461</v>
      </c>
      <c r="F1" s="10" t="s">
        <v>462</v>
      </c>
      <c r="G1" s="10" t="s">
        <v>463</v>
      </c>
      <c r="H1" s="10" t="s">
        <v>464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465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5" t="s">
        <v>39</v>
      </c>
      <c r="B2" s="75" t="s">
        <v>466</v>
      </c>
      <c r="C2" s="75" t="s">
        <v>25</v>
      </c>
      <c r="D2" s="75" t="s">
        <v>25</v>
      </c>
      <c r="E2" s="75" t="s">
        <v>25</v>
      </c>
      <c r="F2" s="75" t="s">
        <v>25</v>
      </c>
      <c r="G2" s="13" t="s">
        <v>468</v>
      </c>
      <c r="H2" s="13" t="s">
        <v>467</v>
      </c>
      <c r="I2" s="13">
        <f>SUMIF(Mercado_Receita!$T$2:$T$587,"44440A4Energia horáriaNão se aplicaNão se aplicaNão se aplicaNão se aplicaPonta",Mercado_Receita!$N$2:$N$587)</f>
        <v>25.713000000000001</v>
      </c>
      <c r="J2" s="13">
        <f>SUMIF(Mercado_Receita!$T$2:$T$587,"44470A4Energia horáriaNão se aplicaNão se aplicaNão se aplicaNão se aplicaPonta",Mercado_Receita!$N$2:$N$587)</f>
        <v>25.624000000000002</v>
      </c>
      <c r="K2" s="13">
        <f>SUMIF(Mercado_Receita!$T$2:$T$587,"44501A4Energia horáriaNão se aplicaNão se aplicaNão se aplicaNão se aplicaPonta",Mercado_Receita!$N$2:$N$587)</f>
        <v>26.216000000000001</v>
      </c>
      <c r="L2" s="13">
        <f>SUMIF(Mercado_Receita!$T$2:$T$587,"44531A4Energia horáriaNão se aplicaNão se aplicaNão se aplicaNão se aplicaPonta",Mercado_Receita!$N$2:$N$587)</f>
        <v>34.843000000000004</v>
      </c>
      <c r="M2" s="13">
        <f>SUMIF(Mercado_Receita!$T$2:$T$587,"44562A4Energia horáriaNão se aplicaNão se aplicaNão se aplicaNão se aplicaPonta",Mercado_Receita!$N$2:$N$587)</f>
        <v>34.314999999999998</v>
      </c>
      <c r="N2" s="13">
        <f>SUMIF(Mercado_Receita!$T$2:$T$587,"44593A4Energia horáriaNão se aplicaNão se aplicaNão se aplicaNão se aplicaPonta",Mercado_Receita!$N$2:$N$587)</f>
        <v>33.337000000000003</v>
      </c>
      <c r="O2" s="13">
        <f>SUMIF(Mercado_Receita!$T$2:$T$587,"44621A4Energia horáriaNão se aplicaNão se aplicaNão se aplicaNão se aplicaPonta",Mercado_Receita!$N$2:$N$587)</f>
        <v>32.018000000000001</v>
      </c>
      <c r="P2" s="13">
        <f>SUMIF(Mercado_Receita!$T$2:$T$587,"44652A4Energia horáriaNão se aplicaNão se aplicaNão se aplicaNão se aplicaPonta",Mercado_Receita!$N$2:$N$587)</f>
        <v>33.244999999999997</v>
      </c>
      <c r="Q2" s="13">
        <f>SUMIF(Mercado_Receita!$T$2:$T$587,"44682A4Energia horáriaNão se aplicaNão se aplicaNão se aplicaNão se aplicaPonta",Mercado_Receita!$N$2:$N$587)</f>
        <v>35.497</v>
      </c>
      <c r="R2" s="13">
        <f>SUMIF(Mercado_Receita!$T$2:$T$587,"44713A4Energia horáriaNão se aplicaNão se aplicaNão se aplicaNão se aplicaPonta",Mercado_Receita!$N$2:$N$587)</f>
        <v>32.503</v>
      </c>
      <c r="S2" s="13">
        <f>SUMIF(Mercado_Receita!$T$2:$T$587,"44743A4Energia horáriaNão se aplicaNão se aplicaNão se aplicaNão se aplicaPonta",Mercado_Receita!$N$2:$N$587)</f>
        <v>34.180999999999997</v>
      </c>
      <c r="T2" s="13">
        <f>SUMIF(Mercado_Receita!$T$2:$T$587,"44774A4Energia horáriaNão se aplicaNão se aplicaNão se aplicaNão se aplicaPonta",Mercado_Receita!$N$2:$N$587)</f>
        <v>33.870000000000005</v>
      </c>
      <c r="U2" s="13">
        <f t="shared" ref="U2:U38" si="0">SUM(I2:T2)</f>
        <v>381.36199999999997</v>
      </c>
      <c r="V2" s="13"/>
      <c r="W2" s="13"/>
    </row>
    <row r="3" spans="1:30" ht="11.25" customHeight="1" x14ac:dyDescent="0.3">
      <c r="A3" s="76"/>
      <c r="B3" s="76"/>
      <c r="C3" s="76"/>
      <c r="D3" s="76"/>
      <c r="E3" s="76"/>
      <c r="F3" s="76"/>
      <c r="G3" s="13" t="s">
        <v>469</v>
      </c>
      <c r="H3" s="13" t="s">
        <v>467</v>
      </c>
      <c r="I3" s="13">
        <f>SUMIF(Mercado_Receita!$T$2:$T$587,"44440A4Energia horáriaNão se aplicaNão se aplicaNão se aplicaNão se aplicaFora ponta",Mercado_Receita!$N$2:$N$587)</f>
        <v>619.18600000000004</v>
      </c>
      <c r="J3" s="13">
        <f>SUMIF(Mercado_Receita!$T$2:$T$587,"44470A4Energia horáriaNão se aplicaNão se aplicaNão se aplicaNão se aplicaFora ponta",Mercado_Receita!$N$2:$N$587)</f>
        <v>559.846</v>
      </c>
      <c r="K3" s="13">
        <f>SUMIF(Mercado_Receita!$T$2:$T$587,"44501A4Energia horáriaNão se aplicaNão se aplicaNão se aplicaNão se aplicaFora ponta",Mercado_Receita!$N$2:$N$587)</f>
        <v>584.44600000000003</v>
      </c>
      <c r="L3" s="13">
        <f>SUMIF(Mercado_Receita!$T$2:$T$587,"44531A4Energia horáriaNão se aplicaNão se aplicaNão se aplicaNão se aplicaFora ponta",Mercado_Receita!$N$2:$N$587)</f>
        <v>655.41100000000006</v>
      </c>
      <c r="M3" s="13">
        <f>SUMIF(Mercado_Receita!$T$2:$T$587,"44562A4Energia horáriaNão se aplicaNão se aplicaNão se aplicaNão se aplicaFora ponta",Mercado_Receita!$N$2:$N$587)</f>
        <v>720.31</v>
      </c>
      <c r="N3" s="13">
        <f>SUMIF(Mercado_Receita!$T$2:$T$587,"44593A4Energia horáriaNão se aplicaNão se aplicaNão se aplicaNão se aplicaFora ponta",Mercado_Receita!$N$2:$N$587)</f>
        <v>709.21600000000001</v>
      </c>
      <c r="O3" s="13">
        <f>SUMIF(Mercado_Receita!$T$2:$T$587,"44621A4Energia horáriaNão se aplicaNão se aplicaNão se aplicaNão se aplicaFora ponta",Mercado_Receita!$N$2:$N$587)</f>
        <v>776.72399999999993</v>
      </c>
      <c r="P3" s="13">
        <f>SUMIF(Mercado_Receita!$T$2:$T$587,"44652A4Energia horáriaNão se aplicaNão se aplicaNão se aplicaNão se aplicaFora ponta",Mercado_Receita!$N$2:$N$587)</f>
        <v>692.17399999999998</v>
      </c>
      <c r="Q3" s="13">
        <f>SUMIF(Mercado_Receita!$T$2:$T$587,"44682A4Energia horáriaNão se aplicaNão se aplicaNão se aplicaNão se aplicaFora ponta",Mercado_Receita!$N$2:$N$587)</f>
        <v>715.37500000000011</v>
      </c>
      <c r="R3" s="13">
        <f>SUMIF(Mercado_Receita!$T$2:$T$587,"44713A4Energia horáriaNão se aplicaNão se aplicaNão se aplicaNão se aplicaFora ponta",Mercado_Receita!$N$2:$N$587)</f>
        <v>661.54899999999998</v>
      </c>
      <c r="S3" s="13">
        <f>SUMIF(Mercado_Receita!$T$2:$T$587,"44743A4Energia horáriaNão se aplicaNão se aplicaNão se aplicaNão se aplicaFora ponta",Mercado_Receita!$N$2:$N$587)</f>
        <v>688.65000000000009</v>
      </c>
      <c r="T3" s="13">
        <f>SUMIF(Mercado_Receita!$T$2:$T$587,"44774A4Energia horáriaNão se aplicaNão se aplicaNão se aplicaNão se aplicaFora ponta",Mercado_Receita!$N$2:$N$587)</f>
        <v>685.82899999999995</v>
      </c>
      <c r="U3" s="13">
        <f t="shared" si="0"/>
        <v>8068.7160000000003</v>
      </c>
      <c r="V3" s="13"/>
      <c r="W3" s="13"/>
    </row>
    <row r="4" spans="1:30" ht="11.25" customHeight="1" x14ac:dyDescent="0.3">
      <c r="A4" s="75" t="s">
        <v>22</v>
      </c>
      <c r="B4" s="75" t="s">
        <v>466</v>
      </c>
      <c r="C4" s="75" t="s">
        <v>24</v>
      </c>
      <c r="D4" s="75" t="s">
        <v>24</v>
      </c>
      <c r="E4" s="75" t="s">
        <v>25</v>
      </c>
      <c r="F4" s="75" t="s">
        <v>25</v>
      </c>
      <c r="G4" s="13" t="s">
        <v>468</v>
      </c>
      <c r="H4" s="13" t="s">
        <v>467</v>
      </c>
      <c r="I4" s="13">
        <f>SUMIF(Mercado_Receita!$T$2:$T$587,"44440B1Energia horáriaResidencialResidencialNão se aplicaNão se aplicaPonta",Mercado_Receita!$N$2:$N$587)</f>
        <v>0.03</v>
      </c>
      <c r="J4" s="13">
        <f>SUMIF(Mercado_Receita!$T$2:$T$587,"44470B1Energia horáriaResidencialResidencialNão se aplicaNão se aplicaPonta",Mercado_Receita!$N$2:$N$587)</f>
        <v>2.1000000000000001E-2</v>
      </c>
      <c r="K4" s="13">
        <f>SUMIF(Mercado_Receita!$T$2:$T$587,"44501B1Energia horáriaResidencialResidencialNão se aplicaNão se aplicaPonta",Mercado_Receita!$N$2:$N$587)</f>
        <v>0.11600000000000001</v>
      </c>
      <c r="L4" s="13">
        <f>SUMIF(Mercado_Receita!$T$2:$T$587,"44531B1Energia horáriaResidencialResidencialNão se aplicaNão se aplicaPonta",Mercado_Receita!$N$2:$N$587)</f>
        <v>0.03</v>
      </c>
      <c r="M4" s="13">
        <f>SUMIF(Mercado_Receita!$T$2:$T$587,"44562B1Energia horáriaResidencialResidencialNão se aplicaNão se aplicaPonta",Mercado_Receita!$N$2:$N$587)</f>
        <v>4.7E-2</v>
      </c>
      <c r="N4" s="13">
        <f>SUMIF(Mercado_Receita!$T$2:$T$587,"44593B1Energia horáriaResidencialResidencialNão se aplicaNão se aplicaPonta",Mercado_Receita!$N$2:$N$587)</f>
        <v>4.2000000000000003E-2</v>
      </c>
      <c r="O4" s="13">
        <f>SUMIF(Mercado_Receita!$T$2:$T$587,"44621B1Energia horáriaResidencialResidencialNão se aplicaNão se aplicaPonta",Mercado_Receita!$N$2:$N$587)</f>
        <v>5.7000000000000002E-2</v>
      </c>
      <c r="P4" s="13">
        <f>SUMIF(Mercado_Receita!$T$2:$T$587,"44652B1Energia horáriaResidencialResidencialNão se aplicaNão se aplicaPonta",Mercado_Receita!$N$2:$N$587)</f>
        <v>3.9E-2</v>
      </c>
      <c r="Q4" s="13">
        <f>SUMIF(Mercado_Receita!$T$2:$T$587,"44682B1Energia horáriaResidencialResidencialNão se aplicaNão se aplicaPonta",Mercado_Receita!$N$2:$N$587)</f>
        <v>2.3E-2</v>
      </c>
      <c r="R4" s="13">
        <f>SUMIF(Mercado_Receita!$T$2:$T$587,"44713B1Energia horáriaResidencialResidencialNão se aplicaNão se aplicaPonta",Mercado_Receita!$N$2:$N$587)</f>
        <v>2.5999999999999999E-2</v>
      </c>
      <c r="S4" s="13">
        <f>SUMIF(Mercado_Receita!$T$2:$T$587,"44743B1Energia horáriaResidencialResidencialNão se aplicaNão se aplicaPonta",Mercado_Receita!$N$2:$N$587)</f>
        <v>2.5000000000000001E-2</v>
      </c>
      <c r="T4" s="13">
        <f>SUMIF(Mercado_Receita!$T$2:$T$587,"44774B1Energia horáriaResidencialResidencialNão se aplicaNão se aplicaPonta",Mercado_Receita!$N$2:$N$587)</f>
        <v>3.9E-2</v>
      </c>
      <c r="U4" s="13">
        <f t="shared" si="0"/>
        <v>0.495</v>
      </c>
      <c r="V4" s="13"/>
      <c r="W4" s="13"/>
    </row>
    <row r="5" spans="1:30" ht="11.25" customHeight="1" x14ac:dyDescent="0.3">
      <c r="A5" s="76"/>
      <c r="B5" s="76"/>
      <c r="C5" s="76"/>
      <c r="D5" s="76"/>
      <c r="E5" s="76"/>
      <c r="F5" s="76"/>
      <c r="G5" s="13" t="s">
        <v>480</v>
      </c>
      <c r="H5" s="13" t="s">
        <v>467</v>
      </c>
      <c r="I5" s="13">
        <f>SUMIF(Mercado_Receita!$T$2:$T$587,"44440B1Energia horáriaResidencialResidencialNão se aplicaNão se aplicaIntermediário",Mercado_Receita!$N$2:$N$587)</f>
        <v>1.9E-2</v>
      </c>
      <c r="J5" s="13">
        <f>SUMIF(Mercado_Receita!$T$2:$T$587,"44470B1Energia horáriaResidencialResidencialNão se aplicaNão se aplicaIntermediário",Mercado_Receita!$N$2:$N$587)</f>
        <v>1.6E-2</v>
      </c>
      <c r="K5" s="13">
        <f>SUMIF(Mercado_Receita!$T$2:$T$587,"44501B1Energia horáriaResidencialResidencialNão se aplicaNão se aplicaIntermediário",Mercado_Receita!$N$2:$N$587)</f>
        <v>2.4E-2</v>
      </c>
      <c r="L5" s="13">
        <f>SUMIF(Mercado_Receita!$T$2:$T$587,"44531B1Energia horáriaResidencialResidencialNão se aplicaNão se aplicaIntermediário",Mercado_Receita!$N$2:$N$587)</f>
        <v>1.4999999999999999E-2</v>
      </c>
      <c r="M5" s="13">
        <f>SUMIF(Mercado_Receita!$T$2:$T$587,"44562B1Energia horáriaResidencialResidencialNão se aplicaNão se aplicaIntermediário",Mercado_Receita!$N$2:$N$587)</f>
        <v>3.4000000000000002E-2</v>
      </c>
      <c r="N5" s="13">
        <f>SUMIF(Mercado_Receita!$T$2:$T$587,"44593B1Energia horáriaResidencialResidencialNão se aplicaNão se aplicaIntermediário",Mercado_Receita!$N$2:$N$587)</f>
        <v>2.1999999999999999E-2</v>
      </c>
      <c r="O5" s="13">
        <f>SUMIF(Mercado_Receita!$T$2:$T$587,"44621B1Energia horáriaResidencialResidencialNão se aplicaNão se aplicaIntermediário",Mercado_Receita!$N$2:$N$587)</f>
        <v>3.6999999999999998E-2</v>
      </c>
      <c r="P5" s="13">
        <f>SUMIF(Mercado_Receita!$T$2:$T$587,"44652B1Energia horáriaResidencialResidencialNão se aplicaNão se aplicaIntermediário",Mercado_Receita!$N$2:$N$587)</f>
        <v>2.1999999999999999E-2</v>
      </c>
      <c r="Q5" s="13">
        <f>SUMIF(Mercado_Receita!$T$2:$T$587,"44682B1Energia horáriaResidencialResidencialNão se aplicaNão se aplicaIntermediário",Mercado_Receita!$N$2:$N$587)</f>
        <v>1.2E-2</v>
      </c>
      <c r="R5" s="13">
        <f>SUMIF(Mercado_Receita!$T$2:$T$587,"44713B1Energia horáriaResidencialResidencialNão se aplicaNão se aplicaIntermediário",Mercado_Receita!$N$2:$N$587)</f>
        <v>1.4999999999999999E-2</v>
      </c>
      <c r="S5" s="13">
        <f>SUMIF(Mercado_Receita!$T$2:$T$587,"44743B1Energia horáriaResidencialResidencialNão se aplicaNão se aplicaIntermediário",Mercado_Receita!$N$2:$N$587)</f>
        <v>1.2999999999999999E-2</v>
      </c>
      <c r="T5" s="13">
        <f>SUMIF(Mercado_Receita!$T$2:$T$587,"44774B1Energia horáriaResidencialResidencialNão se aplicaNão se aplicaIntermediário",Mercado_Receita!$N$2:$N$587)</f>
        <v>1.9E-2</v>
      </c>
      <c r="U5" s="13">
        <f t="shared" si="0"/>
        <v>0.24800000000000003</v>
      </c>
      <c r="V5" s="13"/>
      <c r="W5" s="13"/>
    </row>
    <row r="6" spans="1:30" ht="11.25" customHeight="1" x14ac:dyDescent="0.3">
      <c r="A6" s="76"/>
      <c r="B6" s="76"/>
      <c r="C6" s="76"/>
      <c r="D6" s="76"/>
      <c r="E6" s="76"/>
      <c r="F6" s="76"/>
      <c r="G6" s="13" t="s">
        <v>469</v>
      </c>
      <c r="H6" s="13" t="s">
        <v>467</v>
      </c>
      <c r="I6" s="13">
        <f>SUMIF(Mercado_Receita!$T$2:$T$587,"44440B1Energia horáriaResidencialResidencialNão se aplicaNão se aplicaFora ponta",Mercado_Receita!$N$2:$N$587)</f>
        <v>0.65800000000000003</v>
      </c>
      <c r="J6" s="13">
        <f>SUMIF(Mercado_Receita!$T$2:$T$587,"44470B1Energia horáriaResidencialResidencialNão se aplicaNão se aplicaFora ponta",Mercado_Receita!$N$2:$N$587)</f>
        <v>0.63500000000000001</v>
      </c>
      <c r="K6" s="13">
        <f>SUMIF(Mercado_Receita!$T$2:$T$587,"44501B1Energia horáriaResidencialResidencialNão se aplicaNão se aplicaFora ponta",Mercado_Receita!$N$2:$N$587)</f>
        <v>0.67700000000000005</v>
      </c>
      <c r="L6" s="13">
        <f>SUMIF(Mercado_Receita!$T$2:$T$587,"44531B1Energia horáriaResidencialResidencialNão se aplicaNão se aplicaFora ponta",Mercado_Receita!$N$2:$N$587)</f>
        <v>0.71799999999999997</v>
      </c>
      <c r="M6" s="13">
        <f>SUMIF(Mercado_Receita!$T$2:$T$587,"44562B1Energia horáriaResidencialResidencialNão se aplicaNão se aplicaFora ponta",Mercado_Receita!$N$2:$N$587)</f>
        <v>0.748</v>
      </c>
      <c r="N6" s="13">
        <f>SUMIF(Mercado_Receita!$T$2:$T$587,"44593B1Energia horáriaResidencialResidencialNão se aplicaNão se aplicaFora ponta",Mercado_Receita!$N$2:$N$587)</f>
        <v>0.68100000000000005</v>
      </c>
      <c r="O6" s="13">
        <f>SUMIF(Mercado_Receita!$T$2:$T$587,"44621B1Energia horáriaResidencialResidencialNão se aplicaNão se aplicaFora ponta",Mercado_Receita!$N$2:$N$587)</f>
        <v>0.78400000000000003</v>
      </c>
      <c r="P6" s="13">
        <f>SUMIF(Mercado_Receita!$T$2:$T$587,"44652B1Energia horáriaResidencialResidencialNão se aplicaNão se aplicaFora ponta",Mercado_Receita!$N$2:$N$587)</f>
        <v>0.44600000000000001</v>
      </c>
      <c r="Q6" s="13">
        <f>SUMIF(Mercado_Receita!$T$2:$T$587,"44682B1Energia horáriaResidencialResidencialNão se aplicaNão se aplicaFora ponta",Mercado_Receita!$N$2:$N$587)</f>
        <v>0.29599999999999999</v>
      </c>
      <c r="R6" s="13">
        <f>SUMIF(Mercado_Receita!$T$2:$T$587,"44713B1Energia horáriaResidencialResidencialNão se aplicaNão se aplicaFora ponta",Mercado_Receita!$N$2:$N$587)</f>
        <v>0.28299999999999997</v>
      </c>
      <c r="S6" s="13">
        <f>SUMIF(Mercado_Receita!$T$2:$T$587,"44743B1Energia horáriaResidencialResidencialNão se aplicaNão se aplicaFora ponta",Mercado_Receita!$N$2:$N$587)</f>
        <v>0.26400000000000001</v>
      </c>
      <c r="T6" s="13">
        <f>SUMIF(Mercado_Receita!$T$2:$T$587,"44774B1Energia horáriaResidencialResidencialNão se aplicaNão se aplicaFora ponta",Mercado_Receita!$N$2:$N$587)</f>
        <v>0.35499999999999998</v>
      </c>
      <c r="U6" s="13">
        <f t="shared" si="0"/>
        <v>6.5449999999999999</v>
      </c>
      <c r="V6" s="13"/>
      <c r="W6" s="13"/>
    </row>
    <row r="7" spans="1:30" ht="11.25" customHeight="1" x14ac:dyDescent="0.3">
      <c r="A7" s="76"/>
      <c r="B7" s="75" t="s">
        <v>481</v>
      </c>
      <c r="C7" s="75" t="s">
        <v>24</v>
      </c>
      <c r="D7" s="12" t="s">
        <v>24</v>
      </c>
      <c r="E7" s="12" t="s">
        <v>25</v>
      </c>
      <c r="F7" s="12" t="s">
        <v>25</v>
      </c>
      <c r="G7" s="13" t="s">
        <v>474</v>
      </c>
      <c r="H7" s="13" t="s">
        <v>467</v>
      </c>
      <c r="I7" s="13">
        <f>SUMIF(Mercado_Receita!$T$2:$T$587,"44440B1Energia convencionalResidencialResidencialNão se aplicaNão se aplicaNão se aplica",Mercado_Receita!$N$2:$N$587)</f>
        <v>2247.0259999999998</v>
      </c>
      <c r="J7" s="13">
        <f>SUMIF(Mercado_Receita!$T$2:$T$587,"44470B1Energia convencionalResidencialResidencialNão se aplicaNão se aplicaNão se aplica",Mercado_Receita!$N$2:$N$587)</f>
        <v>2189.7110000000002</v>
      </c>
      <c r="K7" s="13">
        <f>SUMIF(Mercado_Receita!$T$2:$T$587,"44501B1Energia convencionalResidencialResidencialNão se aplicaNão se aplicaNão se aplica",Mercado_Receita!$N$2:$N$587)</f>
        <v>2286.5899999999997</v>
      </c>
      <c r="L7" s="13">
        <f>SUMIF(Mercado_Receita!$T$2:$T$587,"44531B1Energia convencionalResidencialResidencialNão se aplicaNão se aplicaNão se aplica",Mercado_Receita!$N$2:$N$587)</f>
        <v>2152.848</v>
      </c>
      <c r="M7" s="13">
        <f>SUMIF(Mercado_Receita!$T$2:$T$587,"44562B1Energia convencionalResidencialResidencialNão se aplicaNão se aplicaNão se aplica",Mercado_Receita!$N$2:$N$587)</f>
        <v>3158.25</v>
      </c>
      <c r="N7" s="13">
        <f>SUMIF(Mercado_Receita!$T$2:$T$587,"44593B1Energia convencionalResidencialResidencialNão se aplicaNão se aplicaNão se aplica",Mercado_Receita!$N$2:$N$587)</f>
        <v>3249.6979999999999</v>
      </c>
      <c r="O7" s="13">
        <f>SUMIF(Mercado_Receita!$T$2:$T$587,"44621B1Energia convencionalResidencialResidencialNão se aplicaNão se aplicaNão se aplica",Mercado_Receita!$N$2:$N$587)</f>
        <v>3140.4129999999996</v>
      </c>
      <c r="P7" s="13">
        <f>SUMIF(Mercado_Receita!$T$2:$T$587,"44652B1Energia convencionalResidencialResidencialNão se aplicaNão se aplicaNão se aplica",Mercado_Receita!$N$2:$N$587)</f>
        <v>2434.1349999999998</v>
      </c>
      <c r="Q7" s="13">
        <f>SUMIF(Mercado_Receita!$T$2:$T$587,"44682B1Energia convencionalResidencialResidencialNão se aplicaNão se aplicaNão se aplica",Mercado_Receita!$N$2:$N$587)</f>
        <v>2241.8179999999998</v>
      </c>
      <c r="R7" s="13">
        <f>SUMIF(Mercado_Receita!$T$2:$T$587,"44713B1Energia convencionalResidencialResidencialNão se aplicaNão se aplicaNão se aplica",Mercado_Receita!$N$2:$N$587)</f>
        <v>2309.0410000000002</v>
      </c>
      <c r="S7" s="13">
        <f>SUMIF(Mercado_Receita!$T$2:$T$587,"44743B1Energia convencionalResidencialResidencialNão se aplicaNão se aplicaNão se aplica",Mercado_Receita!$N$2:$N$587)</f>
        <v>2024.49</v>
      </c>
      <c r="T7" s="13">
        <f>SUMIF(Mercado_Receita!$T$2:$T$587,"44774B1Energia convencionalResidencialResidencialNão se aplicaNão se aplicaNão se aplica",Mercado_Receita!$N$2:$N$587)</f>
        <v>2303.9659999999999</v>
      </c>
      <c r="U7" s="13">
        <f t="shared" si="0"/>
        <v>29737.986000000001</v>
      </c>
      <c r="V7" s="13"/>
      <c r="W7" s="13"/>
    </row>
    <row r="8" spans="1:30" ht="11.25" customHeight="1" x14ac:dyDescent="0.3">
      <c r="A8" s="76"/>
      <c r="B8" s="76"/>
      <c r="C8" s="76"/>
      <c r="D8" s="12" t="s">
        <v>29</v>
      </c>
      <c r="E8" s="12" t="s">
        <v>25</v>
      </c>
      <c r="F8" s="12" t="s">
        <v>25</v>
      </c>
      <c r="G8" s="13" t="s">
        <v>474</v>
      </c>
      <c r="H8" s="13" t="s">
        <v>467</v>
      </c>
      <c r="I8" s="13">
        <f>SUMIF(Mercado_Receita!$T$2:$T$587,"44440B1Energia convencionalResidencialResidencial baixa renda – faixa 01Não se aplicaNão se aplicaNão se aplica",Mercado_Receita!$N$2:$N$587)</f>
        <v>5.7</v>
      </c>
      <c r="J8" s="13">
        <f>SUMIF(Mercado_Receita!$T$2:$T$587,"44470B1Energia convencionalResidencialResidencial baixa renda – faixa 01Não se aplicaNão se aplicaNão se aplica",Mercado_Receita!$N$2:$N$587)</f>
        <v>5.7</v>
      </c>
      <c r="K8" s="13">
        <f>SUMIF(Mercado_Receita!$T$2:$T$587,"44501B1Energia convencionalResidencialResidencial baixa renda – faixa 01Não se aplicaNão se aplicaNão se aplica",Mercado_Receita!$N$2:$N$587)</f>
        <v>5.82</v>
      </c>
      <c r="L8" s="13">
        <f>SUMIF(Mercado_Receita!$T$2:$T$587,"44531B1Energia convencionalResidencialResidencial baixa renda – faixa 01Não se aplicaNão se aplicaNão se aplica",Mercado_Receita!$N$2:$N$587)</f>
        <v>5.79</v>
      </c>
      <c r="M8" s="13">
        <f>SUMIF(Mercado_Receita!$T$2:$T$587,"44562B1Energia convencionalResidencialResidencial baixa renda – faixa 01Não se aplicaNão se aplicaNão se aplica",Mercado_Receita!$N$2:$N$587)</f>
        <v>5.73</v>
      </c>
      <c r="N8" s="13">
        <f>SUMIF(Mercado_Receita!$T$2:$T$587,"44593B1Energia convencionalResidencialResidencial baixa renda – faixa 01Não se aplicaNão se aplicaNão se aplica",Mercado_Receita!$N$2:$N$587)</f>
        <v>5.85</v>
      </c>
      <c r="O8" s="13">
        <f>SUMIF(Mercado_Receita!$T$2:$T$587,"44621B1Energia convencionalResidencialResidencial baixa renda – faixa 01Não se aplicaNão se aplicaNão se aplica",Mercado_Receita!$N$2:$N$587)</f>
        <v>6</v>
      </c>
      <c r="P8" s="13">
        <f>SUMIF(Mercado_Receita!$T$2:$T$587,"44652B1Energia convencionalResidencialResidencial baixa renda – faixa 01Não se aplicaNão se aplicaNão se aplica",Mercado_Receita!$N$2:$N$587)</f>
        <v>8.82</v>
      </c>
      <c r="Q8" s="13">
        <f>SUMIF(Mercado_Receita!$T$2:$T$587,"44682B1Energia convencionalResidencialResidencial baixa renda – faixa 01Não se aplicaNão se aplicaNão se aplica",Mercado_Receita!$N$2:$N$587)</f>
        <v>8.82</v>
      </c>
      <c r="R8" s="13">
        <f>SUMIF(Mercado_Receita!$T$2:$T$587,"44713B1Energia convencionalResidencialResidencial baixa renda – faixa 01Não se aplicaNão se aplicaNão se aplica",Mercado_Receita!$N$2:$N$587)</f>
        <v>8.58</v>
      </c>
      <c r="S8" s="13">
        <f>SUMIF(Mercado_Receita!$T$2:$T$587,"44743B1Energia convencionalResidencialResidencial baixa renda – faixa 01Não se aplicaNão se aplicaNão se aplica",Mercado_Receita!$N$2:$N$587)</f>
        <v>8.3230000000000004</v>
      </c>
      <c r="T8" s="13">
        <f>SUMIF(Mercado_Receita!$T$2:$T$587,"44774B1Energia convencionalResidencialResidencial baixa renda – faixa 01Não se aplicaNão se aplicaNão se aplica",Mercado_Receita!$N$2:$N$587)</f>
        <v>8.19</v>
      </c>
      <c r="U8" s="13">
        <f t="shared" si="0"/>
        <v>83.323000000000008</v>
      </c>
      <c r="V8" s="13"/>
      <c r="W8" s="13"/>
    </row>
    <row r="9" spans="1:30" ht="11.25" customHeight="1" x14ac:dyDescent="0.3">
      <c r="A9" s="76"/>
      <c r="B9" s="76"/>
      <c r="C9" s="76"/>
      <c r="D9" s="12" t="s">
        <v>30</v>
      </c>
      <c r="E9" s="12" t="s">
        <v>25</v>
      </c>
      <c r="F9" s="12" t="s">
        <v>25</v>
      </c>
      <c r="G9" s="13" t="s">
        <v>474</v>
      </c>
      <c r="H9" s="13" t="s">
        <v>467</v>
      </c>
      <c r="I9" s="13">
        <f>SUMIF(Mercado_Receita!$T$2:$T$587,"44440B1Energia convencionalResidencialResidencial baixa renda – faixa 02Não se aplicaNão se aplicaNão se aplica",Mercado_Receita!$N$2:$N$587)</f>
        <v>11.907999999999999</v>
      </c>
      <c r="J9" s="13">
        <f>SUMIF(Mercado_Receita!$T$2:$T$587,"44470B1Energia convencionalResidencialResidencial baixa renda – faixa 02Não se aplicaNão se aplicaNão se aplica",Mercado_Receita!$N$2:$N$587)</f>
        <v>11.816000000000001</v>
      </c>
      <c r="K9" s="13">
        <f>SUMIF(Mercado_Receita!$T$2:$T$587,"44501B1Energia convencionalResidencialResidencial baixa renda – faixa 02Não se aplicaNão se aplicaNão se aplica",Mercado_Receita!$N$2:$N$587)</f>
        <v>12.362</v>
      </c>
      <c r="L9" s="13">
        <f>SUMIF(Mercado_Receita!$T$2:$T$587,"44531B1Energia convencionalResidencialResidencial baixa renda – faixa 02Não se aplicaNão se aplicaNão se aplica",Mercado_Receita!$N$2:$N$587)</f>
        <v>12.407</v>
      </c>
      <c r="M9" s="13">
        <f>SUMIF(Mercado_Receita!$T$2:$T$587,"44562B1Energia convencionalResidencialResidencial baixa renda – faixa 02Não se aplicaNão se aplicaNão se aplica",Mercado_Receita!$N$2:$N$587)</f>
        <v>12.515000000000001</v>
      </c>
      <c r="N9" s="13">
        <f>SUMIF(Mercado_Receita!$T$2:$T$587,"44593B1Energia convencionalResidencialResidencial baixa renda – faixa 02Não se aplicaNão se aplicaNão se aplica",Mercado_Receita!$N$2:$N$587)</f>
        <v>12.965</v>
      </c>
      <c r="O9" s="13">
        <f>SUMIF(Mercado_Receita!$T$2:$T$587,"44621B1Energia convencionalResidencialResidencial baixa renda – faixa 02Não se aplicaNão se aplicaNão se aplica",Mercado_Receita!$N$2:$N$587)</f>
        <v>13.321999999999999</v>
      </c>
      <c r="P9" s="13">
        <f>SUMIF(Mercado_Receita!$T$2:$T$587,"44652B1Energia convencionalResidencialResidencial baixa renda – faixa 02Não se aplicaNão se aplicaNão se aplica",Mercado_Receita!$N$2:$N$587)</f>
        <v>18.669</v>
      </c>
      <c r="Q9" s="13">
        <f>SUMIF(Mercado_Receita!$T$2:$T$587,"44682B1Energia convencionalResidencialResidencial baixa renda – faixa 02Não se aplicaNão se aplicaNão se aplica",Mercado_Receita!$N$2:$N$587)</f>
        <v>18.667000000000002</v>
      </c>
      <c r="R9" s="13">
        <f>SUMIF(Mercado_Receita!$T$2:$T$587,"44713B1Energia convencionalResidencialResidencial baixa renda – faixa 02Não se aplicaNão se aplicaNão se aplica",Mercado_Receita!$N$2:$N$587)</f>
        <v>17.456</v>
      </c>
      <c r="S9" s="13">
        <f>SUMIF(Mercado_Receita!$T$2:$T$587,"44743B1Energia convencionalResidencialResidencial baixa renda – faixa 02Não se aplicaNão se aplicaNão se aplica",Mercado_Receita!$N$2:$N$587)</f>
        <v>16.745999999999999</v>
      </c>
      <c r="T9" s="13">
        <f>SUMIF(Mercado_Receita!$T$2:$T$587,"44774B1Energia convencionalResidencialResidencial baixa renda – faixa 02Não se aplicaNão se aplicaNão se aplica",Mercado_Receita!$N$2:$N$587)</f>
        <v>17.123000000000001</v>
      </c>
      <c r="U9" s="13">
        <f t="shared" si="0"/>
        <v>175.95599999999999</v>
      </c>
      <c r="V9" s="13"/>
      <c r="W9" s="13"/>
    </row>
    <row r="10" spans="1:30" ht="11.25" customHeight="1" x14ac:dyDescent="0.3">
      <c r="A10" s="76"/>
      <c r="B10" s="76"/>
      <c r="C10" s="76"/>
      <c r="D10" s="12" t="s">
        <v>31</v>
      </c>
      <c r="E10" s="12" t="s">
        <v>25</v>
      </c>
      <c r="F10" s="12" t="s">
        <v>25</v>
      </c>
      <c r="G10" s="13" t="s">
        <v>474</v>
      </c>
      <c r="H10" s="13" t="s">
        <v>467</v>
      </c>
      <c r="I10" s="13">
        <f>SUMIF(Mercado_Receita!$T$2:$T$587,"44440B1Energia convencionalResidencialResidencial baixa renda – faixa 03Não se aplicaNão se aplicaNão se aplica",Mercado_Receita!$N$2:$N$587)</f>
        <v>13.037000000000001</v>
      </c>
      <c r="J10" s="13">
        <f>SUMIF(Mercado_Receita!$T$2:$T$587,"44470B1Energia convencionalResidencialResidencial baixa renda – faixa 03Não se aplicaNão se aplicaNão se aplica",Mercado_Receita!$N$2:$N$587)</f>
        <v>11.964</v>
      </c>
      <c r="K10" s="13">
        <f>SUMIF(Mercado_Receita!$T$2:$T$587,"44501B1Energia convencionalResidencialResidencial baixa renda – faixa 03Não se aplicaNão se aplicaNão se aplica",Mercado_Receita!$N$2:$N$587)</f>
        <v>12.827999999999999</v>
      </c>
      <c r="L10" s="13">
        <f>SUMIF(Mercado_Receita!$T$2:$T$587,"44531B1Energia convencionalResidencialResidencial baixa renda – faixa 03Não se aplicaNão se aplicaNão se aplica",Mercado_Receita!$N$2:$N$587)</f>
        <v>11.624000000000001</v>
      </c>
      <c r="M10" s="13">
        <f>SUMIF(Mercado_Receita!$T$2:$T$587,"44562B1Energia convencionalResidencialResidencial baixa renda – faixa 03Não se aplicaNão se aplicaNão se aplica",Mercado_Receita!$N$2:$N$587)</f>
        <v>13.792999999999999</v>
      </c>
      <c r="N10" s="13">
        <f>SUMIF(Mercado_Receita!$T$2:$T$587,"44593B1Energia convencionalResidencialResidencial baixa renda – faixa 03Não se aplicaNão se aplicaNão se aplica",Mercado_Receita!$N$2:$N$587)</f>
        <v>16.074000000000002</v>
      </c>
      <c r="O10" s="13">
        <f>SUMIF(Mercado_Receita!$T$2:$T$587,"44621B1Energia convencionalResidencialResidencial baixa renda – faixa 03Não se aplicaNão se aplicaNão se aplica",Mercado_Receita!$N$2:$N$587)</f>
        <v>16.405999999999999</v>
      </c>
      <c r="P10" s="13">
        <f>SUMIF(Mercado_Receita!$T$2:$T$587,"44652B1Energia convencionalResidencialResidencial baixa renda – faixa 03Não se aplicaNão se aplicaNão se aplica",Mercado_Receita!$N$2:$N$587)</f>
        <v>20.940999999999999</v>
      </c>
      <c r="Q10" s="13">
        <f>SUMIF(Mercado_Receita!$T$2:$T$587,"44682B1Energia convencionalResidencialResidencial baixa renda – faixa 03Não se aplicaNão se aplicaNão se aplica",Mercado_Receita!$N$2:$N$587)</f>
        <v>20.719000000000001</v>
      </c>
      <c r="R10" s="13">
        <f>SUMIF(Mercado_Receita!$T$2:$T$587,"44713B1Energia convencionalResidencialResidencial baixa renda – faixa 03Não se aplicaNão se aplicaNão se aplica",Mercado_Receita!$N$2:$N$587)</f>
        <v>20.085000000000001</v>
      </c>
      <c r="S10" s="13">
        <f>SUMIF(Mercado_Receita!$T$2:$T$587,"44743B1Energia convencionalResidencialResidencial baixa renda – faixa 03Não se aplicaNão se aplicaNão se aplica",Mercado_Receita!$N$2:$N$587)</f>
        <v>16.491</v>
      </c>
      <c r="T10" s="13">
        <f>SUMIF(Mercado_Receita!$T$2:$T$587,"44774B1Energia convencionalResidencialResidencial baixa renda – faixa 03Não se aplicaNão se aplicaNão se aplica",Mercado_Receita!$N$2:$N$587)</f>
        <v>19.074999999999999</v>
      </c>
      <c r="U10" s="13">
        <f t="shared" si="0"/>
        <v>193.03699999999998</v>
      </c>
      <c r="V10" s="13"/>
      <c r="W10" s="13"/>
    </row>
    <row r="11" spans="1:30" ht="11.25" customHeight="1" x14ac:dyDescent="0.3">
      <c r="A11" s="76"/>
      <c r="B11" s="76"/>
      <c r="C11" s="76"/>
      <c r="D11" s="12" t="s">
        <v>32</v>
      </c>
      <c r="E11" s="12" t="s">
        <v>25</v>
      </c>
      <c r="F11" s="12" t="s">
        <v>25</v>
      </c>
      <c r="G11" s="13" t="s">
        <v>474</v>
      </c>
      <c r="H11" s="13" t="s">
        <v>467</v>
      </c>
      <c r="I11" s="13">
        <f>SUMIF(Mercado_Receita!$T$2:$T$587,"44440B1Energia convencionalResidencialResidencial baixa renda – faixa 04Não se aplicaNão se aplicaNão se aplica",Mercado_Receita!$N$2:$N$587)</f>
        <v>6.2409999999999997</v>
      </c>
      <c r="J11" s="13">
        <f>SUMIF(Mercado_Receita!$T$2:$T$587,"44470B1Energia convencionalResidencialResidencial baixa renda – faixa 04Não se aplicaNão se aplicaNão se aplica",Mercado_Receita!$N$2:$N$587)</f>
        <v>4.742</v>
      </c>
      <c r="K11" s="13">
        <f>SUMIF(Mercado_Receita!$T$2:$T$587,"44501B1Energia convencionalResidencialResidencial baixa renda – faixa 04Não se aplicaNão se aplicaNão se aplica",Mercado_Receita!$N$2:$N$587)</f>
        <v>5.9029999999999996</v>
      </c>
      <c r="L11" s="13">
        <f>SUMIF(Mercado_Receita!$T$2:$T$587,"44531B1Energia convencionalResidencialResidencial baixa renda – faixa 04Não se aplicaNão se aplicaNão se aplica",Mercado_Receita!$N$2:$N$587)</f>
        <v>3.8780000000000001</v>
      </c>
      <c r="M11" s="13">
        <f>SUMIF(Mercado_Receita!$T$2:$T$587,"44562B1Energia convencionalResidencialResidencial baixa renda – faixa 04Não se aplicaNão se aplicaNão se aplica",Mercado_Receita!$N$2:$N$587)</f>
        <v>7.048</v>
      </c>
      <c r="N11" s="13">
        <f>SUMIF(Mercado_Receita!$T$2:$T$587,"44593B1Energia convencionalResidencialResidencial baixa renda – faixa 04Não se aplicaNão se aplicaNão se aplica",Mercado_Receita!$N$2:$N$587)</f>
        <v>10.411</v>
      </c>
      <c r="O11" s="13">
        <f>SUMIF(Mercado_Receita!$T$2:$T$587,"44621B1Energia convencionalResidencialResidencial baixa renda – faixa 04Não se aplicaNão se aplicaNão se aplica",Mercado_Receita!$N$2:$N$587)</f>
        <v>10.984</v>
      </c>
      <c r="P11" s="13">
        <f>SUMIF(Mercado_Receita!$T$2:$T$587,"44652B1Energia convencionalResidencialResidencial baixa renda – faixa 04Não se aplicaNão se aplicaNão se aplica",Mercado_Receita!$N$2:$N$587)</f>
        <v>11.212</v>
      </c>
      <c r="Q11" s="13">
        <f>SUMIF(Mercado_Receita!$T$2:$T$587,"44682B1Energia convencionalResidencialResidencial baixa renda – faixa 04Não se aplicaNão se aplicaNão se aplica",Mercado_Receita!$N$2:$N$587)</f>
        <v>10.695</v>
      </c>
      <c r="R11" s="13">
        <f>SUMIF(Mercado_Receita!$T$2:$T$587,"44713B1Energia convencionalResidencialResidencial baixa renda – faixa 04Não se aplicaNão se aplicaNão se aplica",Mercado_Receita!$N$2:$N$587)</f>
        <v>10.532</v>
      </c>
      <c r="S11" s="13">
        <f>SUMIF(Mercado_Receita!$T$2:$T$587,"44743B1Energia convencionalResidencialResidencial baixa renda – faixa 04Não se aplicaNão se aplicaNão se aplica",Mercado_Receita!$N$2:$N$587)</f>
        <v>6.1269999999999998</v>
      </c>
      <c r="T11" s="13">
        <f>SUMIF(Mercado_Receita!$T$2:$T$587,"44774B1Energia convencionalResidencialResidencial baixa renda – faixa 04Não se aplicaNão se aplicaNão se aplica",Mercado_Receita!$N$2:$N$587)</f>
        <v>10.805999999999999</v>
      </c>
      <c r="U11" s="13">
        <f t="shared" si="0"/>
        <v>98.578999999999994</v>
      </c>
      <c r="V11" s="13"/>
      <c r="W11" s="13"/>
    </row>
    <row r="12" spans="1:30" ht="11.25" customHeight="1" x14ac:dyDescent="0.3">
      <c r="A12" s="76"/>
      <c r="B12" s="75" t="s">
        <v>482</v>
      </c>
      <c r="C12" s="75" t="s">
        <v>24</v>
      </c>
      <c r="D12" s="12" t="s">
        <v>24</v>
      </c>
      <c r="E12" s="12" t="s">
        <v>25</v>
      </c>
      <c r="F12" s="12" t="s">
        <v>25</v>
      </c>
      <c r="G12" s="13" t="s">
        <v>474</v>
      </c>
      <c r="H12" s="13" t="s">
        <v>467</v>
      </c>
      <c r="I12" s="13">
        <f>SUMIF(Mercado_Receita!$T$2:$T$587,"44440B1Energia convencional pré-pagamentoResidencialResidencialNão se aplicaNão se aplicaNão se aplica",Mercado_Receita!$N$2:$N$587)</f>
        <v>0</v>
      </c>
      <c r="J12" s="13">
        <f>SUMIF(Mercado_Receita!$T$2:$T$587,"44470B1Energia convencional pré-pagamentoResidencialResidencialNão se aplicaNão se aplicaNão se aplica",Mercado_Receita!$N$2:$N$587)</f>
        <v>0</v>
      </c>
      <c r="K12" s="13">
        <f>SUMIF(Mercado_Receita!$T$2:$T$587,"44501B1Energia convencional pré-pagamentoResidencialResidencialNão se aplicaNão se aplicaNão se aplica",Mercado_Receita!$N$2:$N$587)</f>
        <v>0</v>
      </c>
      <c r="L12" s="13">
        <f>SUMIF(Mercado_Receita!$T$2:$T$587,"44531B1Energia convencional pré-pagamentoResidencialResidencialNão se aplicaNão se aplicaNão se aplica",Mercado_Receita!$N$2:$N$587)</f>
        <v>0</v>
      </c>
      <c r="M12" s="13">
        <f>SUMIF(Mercado_Receita!$T$2:$T$587,"44562B1Energia convencional pré-pagamentoResidencialResidencialNão se aplicaNão se aplicaNão se aplica",Mercado_Receita!$N$2:$N$587)</f>
        <v>0</v>
      </c>
      <c r="N12" s="13">
        <f>SUMIF(Mercado_Receita!$T$2:$T$587,"44593B1Energia convencional pré-pagamentoResidencialResidencialNão se aplicaNão se aplicaNão se aplica",Mercado_Receita!$N$2:$N$587)</f>
        <v>0</v>
      </c>
      <c r="O12" s="13">
        <f>SUMIF(Mercado_Receita!$T$2:$T$587,"44621B1Energia convencional pré-pagamentoResidencialResidencialNão se aplicaNão se aplicaNão se aplica",Mercado_Receita!$N$2:$N$587)</f>
        <v>0</v>
      </c>
      <c r="P12" s="13">
        <f>SUMIF(Mercado_Receita!$T$2:$T$587,"44652B1Energia convencional pré-pagamentoResidencialResidencialNão se aplicaNão se aplicaNão se aplica",Mercado_Receita!$N$2:$N$587)</f>
        <v>0</v>
      </c>
      <c r="Q12" s="13">
        <f>SUMIF(Mercado_Receita!$T$2:$T$587,"44682B1Energia convencional pré-pagamentoResidencialResidencialNão se aplicaNão se aplicaNão se aplica",Mercado_Receita!$N$2:$N$587)</f>
        <v>0</v>
      </c>
      <c r="R12" s="13">
        <f>SUMIF(Mercado_Receita!$T$2:$T$587,"44713B1Energia convencional pré-pagamentoResidencialResidencialNão se aplicaNão se aplicaNão se aplica",Mercado_Receita!$N$2:$N$587)</f>
        <v>0</v>
      </c>
      <c r="S12" s="13">
        <f>SUMIF(Mercado_Receita!$T$2:$T$587,"44743B1Energia convencional pré-pagamentoResidencialResidencialNão se aplicaNão se aplicaNão se aplica",Mercado_Receita!$N$2:$N$587)</f>
        <v>0</v>
      </c>
      <c r="T12" s="13">
        <f>SUMIF(Mercado_Receita!$T$2:$T$587,"44774B1Energia convencional pré-pagamentoResidencialResidencialNão se aplicaNão se aplicaNão se aplica",Mercado_Receita!$N$2:$N$587)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6"/>
      <c r="B13" s="76"/>
      <c r="C13" s="76"/>
      <c r="D13" s="12" t="s">
        <v>29</v>
      </c>
      <c r="E13" s="12" t="s">
        <v>25</v>
      </c>
      <c r="F13" s="12" t="s">
        <v>25</v>
      </c>
      <c r="G13" s="13" t="s">
        <v>474</v>
      </c>
      <c r="H13" s="13" t="s">
        <v>467</v>
      </c>
      <c r="I13" s="13">
        <f>SUMIF(Mercado_Receita!$T$2:$T$587,"44440B1Energia convencional pré-pagamentoResidencialResidencial baixa renda – faixa 01Não se aplicaNão se aplicaNão se aplica",Mercado_Receita!$N$2:$N$587)</f>
        <v>0</v>
      </c>
      <c r="J13" s="13">
        <f>SUMIF(Mercado_Receita!$T$2:$T$587,"44470B1Energia convencional pré-pagamentoResidencialResidencial baixa renda – faixa 01Não se aplicaNão se aplicaNão se aplica",Mercado_Receita!$N$2:$N$587)</f>
        <v>0</v>
      </c>
      <c r="K13" s="13">
        <f>SUMIF(Mercado_Receita!$T$2:$T$587,"44501B1Energia convencional pré-pagamentoResidencialResidencial baixa renda – faixa 01Não se aplicaNão se aplicaNão se aplica",Mercado_Receita!$N$2:$N$587)</f>
        <v>0</v>
      </c>
      <c r="L13" s="13">
        <f>SUMIF(Mercado_Receita!$T$2:$T$587,"44531B1Energia convencional pré-pagamentoResidencialResidencial baixa renda – faixa 01Não se aplicaNão se aplicaNão se aplica",Mercado_Receita!$N$2:$N$587)</f>
        <v>0</v>
      </c>
      <c r="M13" s="13">
        <f>SUMIF(Mercado_Receita!$T$2:$T$587,"44562B1Energia convencional pré-pagamentoResidencialResidencial baixa renda – faixa 01Não se aplicaNão se aplicaNão se aplica",Mercado_Receita!$N$2:$N$587)</f>
        <v>0</v>
      </c>
      <c r="N13" s="13">
        <f>SUMIF(Mercado_Receita!$T$2:$T$587,"44593B1Energia convencional pré-pagamentoResidencialResidencial baixa renda – faixa 01Não se aplicaNão se aplicaNão se aplica",Mercado_Receita!$N$2:$N$587)</f>
        <v>0</v>
      </c>
      <c r="O13" s="13">
        <f>SUMIF(Mercado_Receita!$T$2:$T$587,"44621B1Energia convencional pré-pagamentoResidencialResidencial baixa renda – faixa 01Não se aplicaNão se aplicaNão se aplica",Mercado_Receita!$N$2:$N$587)</f>
        <v>0</v>
      </c>
      <c r="P13" s="13">
        <f>SUMIF(Mercado_Receita!$T$2:$T$587,"44652B1Energia convencional pré-pagamentoResidencialResidencial baixa renda – faixa 01Não se aplicaNão se aplicaNão se aplica",Mercado_Receita!$N$2:$N$587)</f>
        <v>0</v>
      </c>
      <c r="Q13" s="13">
        <f>SUMIF(Mercado_Receita!$T$2:$T$587,"44682B1Energia convencional pré-pagamentoResidencialResidencial baixa renda – faixa 01Não se aplicaNão se aplicaNão se aplica",Mercado_Receita!$N$2:$N$587)</f>
        <v>0</v>
      </c>
      <c r="R13" s="13">
        <f>SUMIF(Mercado_Receita!$T$2:$T$587,"44713B1Energia convencional pré-pagamentoResidencialResidencial baixa renda – faixa 01Não se aplicaNão se aplicaNão se aplica",Mercado_Receita!$N$2:$N$587)</f>
        <v>0</v>
      </c>
      <c r="S13" s="13">
        <f>SUMIF(Mercado_Receita!$T$2:$T$587,"44743B1Energia convencional pré-pagamentoResidencialResidencial baixa renda – faixa 01Não se aplicaNão se aplicaNão se aplica",Mercado_Receita!$N$2:$N$587)</f>
        <v>0</v>
      </c>
      <c r="T13" s="13">
        <f>SUMIF(Mercado_Receita!$T$2:$T$587,"44774B1Energia convencional pré-pagamentoResidencialResidencial baixa renda – faixa 01Não se aplicaNão se aplicaNão se aplica",Mercado_Receita!$N$2:$N$587)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6"/>
      <c r="B14" s="76"/>
      <c r="C14" s="76"/>
      <c r="D14" s="12" t="s">
        <v>30</v>
      </c>
      <c r="E14" s="12" t="s">
        <v>25</v>
      </c>
      <c r="F14" s="12" t="s">
        <v>25</v>
      </c>
      <c r="G14" s="13" t="s">
        <v>474</v>
      </c>
      <c r="H14" s="13" t="s">
        <v>467</v>
      </c>
      <c r="I14" s="13">
        <f>SUMIF(Mercado_Receita!$T$2:$T$587,"44440B1Energia convencional pré-pagamentoResidencialResidencial baixa renda – faixa 02Não se aplicaNão se aplicaNão se aplica",Mercado_Receita!$N$2:$N$587)</f>
        <v>0</v>
      </c>
      <c r="J14" s="13">
        <f>SUMIF(Mercado_Receita!$T$2:$T$587,"44470B1Energia convencional pré-pagamentoResidencialResidencial baixa renda – faixa 02Não se aplicaNão se aplicaNão se aplica",Mercado_Receita!$N$2:$N$587)</f>
        <v>0</v>
      </c>
      <c r="K14" s="13">
        <f>SUMIF(Mercado_Receita!$T$2:$T$587,"44501B1Energia convencional pré-pagamentoResidencialResidencial baixa renda – faixa 02Não se aplicaNão se aplicaNão se aplica",Mercado_Receita!$N$2:$N$587)</f>
        <v>0</v>
      </c>
      <c r="L14" s="13">
        <f>SUMIF(Mercado_Receita!$T$2:$T$587,"44531B1Energia convencional pré-pagamentoResidencialResidencial baixa renda – faixa 02Não se aplicaNão se aplicaNão se aplica",Mercado_Receita!$N$2:$N$587)</f>
        <v>0</v>
      </c>
      <c r="M14" s="13">
        <f>SUMIF(Mercado_Receita!$T$2:$T$587,"44562B1Energia convencional pré-pagamentoResidencialResidencial baixa renda – faixa 02Não se aplicaNão se aplicaNão se aplica",Mercado_Receita!$N$2:$N$587)</f>
        <v>0</v>
      </c>
      <c r="N14" s="13">
        <f>SUMIF(Mercado_Receita!$T$2:$T$587,"44593B1Energia convencional pré-pagamentoResidencialResidencial baixa renda – faixa 02Não se aplicaNão se aplicaNão se aplica",Mercado_Receita!$N$2:$N$587)</f>
        <v>0</v>
      </c>
      <c r="O14" s="13">
        <f>SUMIF(Mercado_Receita!$T$2:$T$587,"44621B1Energia convencional pré-pagamentoResidencialResidencial baixa renda – faixa 02Não se aplicaNão se aplicaNão se aplica",Mercado_Receita!$N$2:$N$587)</f>
        <v>0</v>
      </c>
      <c r="P14" s="13">
        <f>SUMIF(Mercado_Receita!$T$2:$T$587,"44652B1Energia convencional pré-pagamentoResidencialResidencial baixa renda – faixa 02Não se aplicaNão se aplicaNão se aplica",Mercado_Receita!$N$2:$N$587)</f>
        <v>0</v>
      </c>
      <c r="Q14" s="13">
        <f>SUMIF(Mercado_Receita!$T$2:$T$587,"44682B1Energia convencional pré-pagamentoResidencialResidencial baixa renda – faixa 02Não se aplicaNão se aplicaNão se aplica",Mercado_Receita!$N$2:$N$587)</f>
        <v>0</v>
      </c>
      <c r="R14" s="13">
        <f>SUMIF(Mercado_Receita!$T$2:$T$587,"44713B1Energia convencional pré-pagamentoResidencialResidencial baixa renda – faixa 02Não se aplicaNão se aplicaNão se aplica",Mercado_Receita!$N$2:$N$587)</f>
        <v>0</v>
      </c>
      <c r="S14" s="13">
        <f>SUMIF(Mercado_Receita!$T$2:$T$587,"44743B1Energia convencional pré-pagamentoResidencialResidencial baixa renda – faixa 02Não se aplicaNão se aplicaNão se aplica",Mercado_Receita!$N$2:$N$587)</f>
        <v>0</v>
      </c>
      <c r="T14" s="13">
        <f>SUMIF(Mercado_Receita!$T$2:$T$587,"44774B1Energia convencional pré-pagamentoResidencialResidencial baixa renda – faixa 02Não se aplicaNão se aplicaNão se aplica",Mercado_Receita!$N$2:$N$587)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6"/>
      <c r="B15" s="76"/>
      <c r="C15" s="76"/>
      <c r="D15" s="12" t="s">
        <v>31</v>
      </c>
      <c r="E15" s="12" t="s">
        <v>25</v>
      </c>
      <c r="F15" s="12" t="s">
        <v>25</v>
      </c>
      <c r="G15" s="13" t="s">
        <v>474</v>
      </c>
      <c r="H15" s="13" t="s">
        <v>467</v>
      </c>
      <c r="I15" s="13">
        <f>SUMIF(Mercado_Receita!$T$2:$T$587,"44440B1Energia convencional pré-pagamentoResidencialResidencial baixa renda – faixa 03Não se aplicaNão se aplicaNão se aplica",Mercado_Receita!$N$2:$N$587)</f>
        <v>0</v>
      </c>
      <c r="J15" s="13">
        <f>SUMIF(Mercado_Receita!$T$2:$T$587,"44470B1Energia convencional pré-pagamentoResidencialResidencial baixa renda – faixa 03Não se aplicaNão se aplicaNão se aplica",Mercado_Receita!$N$2:$N$587)</f>
        <v>0</v>
      </c>
      <c r="K15" s="13">
        <f>SUMIF(Mercado_Receita!$T$2:$T$587,"44501B1Energia convencional pré-pagamentoResidencialResidencial baixa renda – faixa 03Não se aplicaNão se aplicaNão se aplica",Mercado_Receita!$N$2:$N$587)</f>
        <v>0</v>
      </c>
      <c r="L15" s="13">
        <f>SUMIF(Mercado_Receita!$T$2:$T$587,"44531B1Energia convencional pré-pagamentoResidencialResidencial baixa renda – faixa 03Não se aplicaNão se aplicaNão se aplica",Mercado_Receita!$N$2:$N$587)</f>
        <v>0</v>
      </c>
      <c r="M15" s="13">
        <f>SUMIF(Mercado_Receita!$T$2:$T$587,"44562B1Energia convencional pré-pagamentoResidencialResidencial baixa renda – faixa 03Não se aplicaNão se aplicaNão se aplica",Mercado_Receita!$N$2:$N$587)</f>
        <v>0</v>
      </c>
      <c r="N15" s="13">
        <f>SUMIF(Mercado_Receita!$T$2:$T$587,"44593B1Energia convencional pré-pagamentoResidencialResidencial baixa renda – faixa 03Não se aplicaNão se aplicaNão se aplica",Mercado_Receita!$N$2:$N$587)</f>
        <v>0</v>
      </c>
      <c r="O15" s="13">
        <f>SUMIF(Mercado_Receita!$T$2:$T$587,"44621B1Energia convencional pré-pagamentoResidencialResidencial baixa renda – faixa 03Não se aplicaNão se aplicaNão se aplica",Mercado_Receita!$N$2:$N$587)</f>
        <v>0</v>
      </c>
      <c r="P15" s="13">
        <f>SUMIF(Mercado_Receita!$T$2:$T$587,"44652B1Energia convencional pré-pagamentoResidencialResidencial baixa renda – faixa 03Não se aplicaNão se aplicaNão se aplica",Mercado_Receita!$N$2:$N$587)</f>
        <v>0</v>
      </c>
      <c r="Q15" s="13">
        <f>SUMIF(Mercado_Receita!$T$2:$T$587,"44682B1Energia convencional pré-pagamentoResidencialResidencial baixa renda – faixa 03Não se aplicaNão se aplicaNão se aplica",Mercado_Receita!$N$2:$N$587)</f>
        <v>0</v>
      </c>
      <c r="R15" s="13">
        <f>SUMIF(Mercado_Receita!$T$2:$T$587,"44713B1Energia convencional pré-pagamentoResidencialResidencial baixa renda – faixa 03Não se aplicaNão se aplicaNão se aplica",Mercado_Receita!$N$2:$N$587)</f>
        <v>0</v>
      </c>
      <c r="S15" s="13">
        <f>SUMIF(Mercado_Receita!$T$2:$T$587,"44743B1Energia convencional pré-pagamentoResidencialResidencial baixa renda – faixa 03Não se aplicaNão se aplicaNão se aplica",Mercado_Receita!$N$2:$N$587)</f>
        <v>0</v>
      </c>
      <c r="T15" s="13">
        <f>SUMIF(Mercado_Receita!$T$2:$T$587,"44774B1Energia convencional pré-pagamentoResidencialResidencial baixa renda – faixa 03Não se aplicaNão se aplicaNão se aplica",Mercado_Receita!$N$2:$N$587)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6"/>
      <c r="B16" s="76"/>
      <c r="C16" s="76"/>
      <c r="D16" s="12" t="s">
        <v>32</v>
      </c>
      <c r="E16" s="12" t="s">
        <v>25</v>
      </c>
      <c r="F16" s="12" t="s">
        <v>25</v>
      </c>
      <c r="G16" s="13" t="s">
        <v>474</v>
      </c>
      <c r="H16" s="13" t="s">
        <v>467</v>
      </c>
      <c r="I16" s="13">
        <f>SUMIF(Mercado_Receita!$T$2:$T$587,"44440B1Energia convencional pré-pagamentoResidencialResidencial baixa renda – faixa 04Não se aplicaNão se aplicaNão se aplica",Mercado_Receita!$N$2:$N$587)</f>
        <v>0</v>
      </c>
      <c r="J16" s="13">
        <f>SUMIF(Mercado_Receita!$T$2:$T$587,"44470B1Energia convencional pré-pagamentoResidencialResidencial baixa renda – faixa 04Não se aplicaNão se aplicaNão se aplica",Mercado_Receita!$N$2:$N$587)</f>
        <v>0</v>
      </c>
      <c r="K16" s="13">
        <f>SUMIF(Mercado_Receita!$T$2:$T$587,"44501B1Energia convencional pré-pagamentoResidencialResidencial baixa renda – faixa 04Não se aplicaNão se aplicaNão se aplica",Mercado_Receita!$N$2:$N$587)</f>
        <v>0</v>
      </c>
      <c r="L16" s="13">
        <f>SUMIF(Mercado_Receita!$T$2:$T$587,"44531B1Energia convencional pré-pagamentoResidencialResidencial baixa renda – faixa 04Não se aplicaNão se aplicaNão se aplica",Mercado_Receita!$N$2:$N$587)</f>
        <v>0</v>
      </c>
      <c r="M16" s="13">
        <f>SUMIF(Mercado_Receita!$T$2:$T$587,"44562B1Energia convencional pré-pagamentoResidencialResidencial baixa renda – faixa 04Não se aplicaNão se aplicaNão se aplica",Mercado_Receita!$N$2:$N$587)</f>
        <v>0</v>
      </c>
      <c r="N16" s="13">
        <f>SUMIF(Mercado_Receita!$T$2:$T$587,"44593B1Energia convencional pré-pagamentoResidencialResidencial baixa renda – faixa 04Não se aplicaNão se aplicaNão se aplica",Mercado_Receita!$N$2:$N$587)</f>
        <v>0</v>
      </c>
      <c r="O16" s="13">
        <f>SUMIF(Mercado_Receita!$T$2:$T$587,"44621B1Energia convencional pré-pagamentoResidencialResidencial baixa renda – faixa 04Não se aplicaNão se aplicaNão se aplica",Mercado_Receita!$N$2:$N$587)</f>
        <v>0</v>
      </c>
      <c r="P16" s="13">
        <f>SUMIF(Mercado_Receita!$T$2:$T$587,"44652B1Energia convencional pré-pagamentoResidencialResidencial baixa renda – faixa 04Não se aplicaNão se aplicaNão se aplica",Mercado_Receita!$N$2:$N$587)</f>
        <v>0</v>
      </c>
      <c r="Q16" s="13">
        <f>SUMIF(Mercado_Receita!$T$2:$T$587,"44682B1Energia convencional pré-pagamentoResidencialResidencial baixa renda – faixa 04Não se aplicaNão se aplicaNão se aplica",Mercado_Receita!$N$2:$N$587)</f>
        <v>0</v>
      </c>
      <c r="R16" s="13">
        <f>SUMIF(Mercado_Receita!$T$2:$T$587,"44713B1Energia convencional pré-pagamentoResidencialResidencial baixa renda – faixa 04Não se aplicaNão se aplicaNão se aplica",Mercado_Receita!$N$2:$N$587)</f>
        <v>0</v>
      </c>
      <c r="S16" s="13">
        <f>SUMIF(Mercado_Receita!$T$2:$T$587,"44743B1Energia convencional pré-pagamentoResidencialResidencial baixa renda – faixa 04Não se aplicaNão se aplicaNão se aplica",Mercado_Receita!$N$2:$N$587)</f>
        <v>0</v>
      </c>
      <c r="T16" s="13">
        <f>SUMIF(Mercado_Receita!$T$2:$T$587,"44774B1Energia convencional pré-pagamentoResidencialResidencial baixa renda – faixa 04Não se aplicaNão se aplicaNão se aplica",Mercado_Receita!$N$2:$N$587)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5" t="s">
        <v>42</v>
      </c>
      <c r="B17" s="75" t="s">
        <v>466</v>
      </c>
      <c r="C17" s="75" t="s">
        <v>43</v>
      </c>
      <c r="D17" s="75" t="s">
        <v>25</v>
      </c>
      <c r="E17" s="75" t="s">
        <v>25</v>
      </c>
      <c r="F17" s="75" t="s">
        <v>25</v>
      </c>
      <c r="G17" s="13" t="s">
        <v>468</v>
      </c>
      <c r="H17" s="13" t="s">
        <v>467</v>
      </c>
      <c r="I17" s="13">
        <f>SUMIF(Mercado_Receita!$T$2:$T$587,"44440B2Energia horáriaRuralNão se aplicaNão se aplicaNão se aplicaPonta",Mercado_Receita!$N$2:$N$587)</f>
        <v>0</v>
      </c>
      <c r="J17" s="13">
        <f>SUMIF(Mercado_Receita!$T$2:$T$587,"44470B2Energia horáriaRuralNão se aplicaNão se aplicaNão se aplicaPonta",Mercado_Receita!$N$2:$N$587)</f>
        <v>0</v>
      </c>
      <c r="K17" s="13">
        <f>SUMIF(Mercado_Receita!$T$2:$T$587,"44501B2Energia horáriaRuralNão se aplicaNão se aplicaNão se aplicaPonta",Mercado_Receita!$N$2:$N$587)</f>
        <v>0</v>
      </c>
      <c r="L17" s="13">
        <f>SUMIF(Mercado_Receita!$T$2:$T$587,"44531B2Energia horáriaRuralNão se aplicaNão se aplicaNão se aplicaPonta",Mercado_Receita!$N$2:$N$587)</f>
        <v>0</v>
      </c>
      <c r="M17" s="13">
        <f>SUMIF(Mercado_Receita!$T$2:$T$587,"44562B2Energia horáriaRuralNão se aplicaNão se aplicaNão se aplicaPonta",Mercado_Receita!$N$2:$N$587)</f>
        <v>0</v>
      </c>
      <c r="N17" s="13">
        <f>SUMIF(Mercado_Receita!$T$2:$T$587,"44593B2Energia horáriaRuralNão se aplicaNão se aplicaNão se aplicaPonta",Mercado_Receita!$N$2:$N$587)</f>
        <v>0</v>
      </c>
      <c r="O17" s="13">
        <f>SUMIF(Mercado_Receita!$T$2:$T$587,"44621B2Energia horáriaRuralNão se aplicaNão se aplicaNão se aplicaPonta",Mercado_Receita!$N$2:$N$587)</f>
        <v>0</v>
      </c>
      <c r="P17" s="13">
        <f>SUMIF(Mercado_Receita!$T$2:$T$587,"44652B2Energia horáriaRuralNão se aplicaNão se aplicaNão se aplicaPonta",Mercado_Receita!$N$2:$N$587)</f>
        <v>0</v>
      </c>
      <c r="Q17" s="13">
        <f>SUMIF(Mercado_Receita!$T$2:$T$587,"44682B2Energia horáriaRuralNão se aplicaNão se aplicaNão se aplicaPonta",Mercado_Receita!$N$2:$N$587)</f>
        <v>0</v>
      </c>
      <c r="R17" s="13">
        <f>SUMIF(Mercado_Receita!$T$2:$T$587,"44713B2Energia horáriaRuralNão se aplicaNão se aplicaNão se aplicaPonta",Mercado_Receita!$N$2:$N$587)</f>
        <v>0</v>
      </c>
      <c r="S17" s="13">
        <f>SUMIF(Mercado_Receita!$T$2:$T$587,"44743B2Energia horáriaRuralNão se aplicaNão se aplicaNão se aplicaPonta",Mercado_Receita!$N$2:$N$587)</f>
        <v>0</v>
      </c>
      <c r="T17" s="13">
        <f>SUMIF(Mercado_Receita!$T$2:$T$587,"44774B2Energia horáriaRuralNão se aplicaNão se aplicaNão se aplicaPonta",Mercado_Receita!$N$2:$N$587)</f>
        <v>0</v>
      </c>
      <c r="U17" s="13">
        <f t="shared" si="0"/>
        <v>0</v>
      </c>
      <c r="V17" s="13"/>
      <c r="W17" s="13"/>
    </row>
    <row r="18" spans="1:23" ht="11.25" customHeight="1" x14ac:dyDescent="0.3">
      <c r="A18" s="76"/>
      <c r="B18" s="76"/>
      <c r="C18" s="76"/>
      <c r="D18" s="76"/>
      <c r="E18" s="76"/>
      <c r="F18" s="76"/>
      <c r="G18" s="13" t="s">
        <v>480</v>
      </c>
      <c r="H18" s="13" t="s">
        <v>467</v>
      </c>
      <c r="I18" s="13">
        <f>SUMIF(Mercado_Receita!$T$2:$T$587,"44440B2Energia horáriaRuralNão se aplicaNão se aplicaNão se aplicaIntermediário",Mercado_Receita!$N$2:$N$587)</f>
        <v>0</v>
      </c>
      <c r="J18" s="13">
        <f>SUMIF(Mercado_Receita!$T$2:$T$587,"44470B2Energia horáriaRuralNão se aplicaNão se aplicaNão se aplicaIntermediário",Mercado_Receita!$N$2:$N$587)</f>
        <v>0</v>
      </c>
      <c r="K18" s="13">
        <f>SUMIF(Mercado_Receita!$T$2:$T$587,"44501B2Energia horáriaRuralNão se aplicaNão se aplicaNão se aplicaIntermediário",Mercado_Receita!$N$2:$N$587)</f>
        <v>0</v>
      </c>
      <c r="L18" s="13">
        <f>SUMIF(Mercado_Receita!$T$2:$T$587,"44531B2Energia horáriaRuralNão se aplicaNão se aplicaNão se aplicaIntermediário",Mercado_Receita!$N$2:$N$587)</f>
        <v>0</v>
      </c>
      <c r="M18" s="13">
        <f>SUMIF(Mercado_Receita!$T$2:$T$587,"44562B2Energia horáriaRuralNão se aplicaNão se aplicaNão se aplicaIntermediário",Mercado_Receita!$N$2:$N$587)</f>
        <v>0</v>
      </c>
      <c r="N18" s="13">
        <f>SUMIF(Mercado_Receita!$T$2:$T$587,"44593B2Energia horáriaRuralNão se aplicaNão se aplicaNão se aplicaIntermediário",Mercado_Receita!$N$2:$N$587)</f>
        <v>0</v>
      </c>
      <c r="O18" s="13">
        <f>SUMIF(Mercado_Receita!$T$2:$T$587,"44621B2Energia horáriaRuralNão se aplicaNão se aplicaNão se aplicaIntermediário",Mercado_Receita!$N$2:$N$587)</f>
        <v>0</v>
      </c>
      <c r="P18" s="13">
        <f>SUMIF(Mercado_Receita!$T$2:$T$587,"44652B2Energia horáriaRuralNão se aplicaNão se aplicaNão se aplicaIntermediário",Mercado_Receita!$N$2:$N$587)</f>
        <v>0</v>
      </c>
      <c r="Q18" s="13">
        <f>SUMIF(Mercado_Receita!$T$2:$T$587,"44682B2Energia horáriaRuralNão se aplicaNão se aplicaNão se aplicaIntermediário",Mercado_Receita!$N$2:$N$587)</f>
        <v>0</v>
      </c>
      <c r="R18" s="13">
        <f>SUMIF(Mercado_Receita!$T$2:$T$587,"44713B2Energia horáriaRuralNão se aplicaNão se aplicaNão se aplicaIntermediário",Mercado_Receita!$N$2:$N$587)</f>
        <v>0</v>
      </c>
      <c r="S18" s="13">
        <f>SUMIF(Mercado_Receita!$T$2:$T$587,"44743B2Energia horáriaRuralNão se aplicaNão se aplicaNão se aplicaIntermediário",Mercado_Receita!$N$2:$N$587)</f>
        <v>0</v>
      </c>
      <c r="T18" s="13">
        <f>SUMIF(Mercado_Receita!$T$2:$T$587,"44774B2Energia horáriaRuralNão se aplicaNão se aplicaNão se aplicaIntermediário",Mercado_Receita!$N$2:$N$587)</f>
        <v>0</v>
      </c>
      <c r="U18" s="13">
        <f t="shared" si="0"/>
        <v>0</v>
      </c>
      <c r="V18" s="13"/>
      <c r="W18" s="13"/>
    </row>
    <row r="19" spans="1:23" ht="11.25" customHeight="1" x14ac:dyDescent="0.3">
      <c r="A19" s="76"/>
      <c r="B19" s="76"/>
      <c r="C19" s="76"/>
      <c r="D19" s="76"/>
      <c r="E19" s="76"/>
      <c r="F19" s="76"/>
      <c r="G19" s="13" t="s">
        <v>469</v>
      </c>
      <c r="H19" s="13" t="s">
        <v>467</v>
      </c>
      <c r="I19" s="13">
        <f>SUMIF(Mercado_Receita!$T$2:$T$587,"44440B2Energia horáriaRuralNão se aplicaNão se aplicaNão se aplicaFora ponta",Mercado_Receita!$N$2:$N$587)</f>
        <v>0</v>
      </c>
      <c r="J19" s="13">
        <f>SUMIF(Mercado_Receita!$T$2:$T$587,"44470B2Energia horáriaRuralNão se aplicaNão se aplicaNão se aplicaFora ponta",Mercado_Receita!$N$2:$N$587)</f>
        <v>0</v>
      </c>
      <c r="K19" s="13">
        <f>SUMIF(Mercado_Receita!$T$2:$T$587,"44501B2Energia horáriaRuralNão se aplicaNão se aplicaNão se aplicaFora ponta",Mercado_Receita!$N$2:$N$587)</f>
        <v>0</v>
      </c>
      <c r="L19" s="13">
        <f>SUMIF(Mercado_Receita!$T$2:$T$587,"44531B2Energia horáriaRuralNão se aplicaNão se aplicaNão se aplicaFora ponta",Mercado_Receita!$N$2:$N$587)</f>
        <v>0</v>
      </c>
      <c r="M19" s="13">
        <f>SUMIF(Mercado_Receita!$T$2:$T$587,"44562B2Energia horáriaRuralNão se aplicaNão se aplicaNão se aplicaFora ponta",Mercado_Receita!$N$2:$N$587)</f>
        <v>0</v>
      </c>
      <c r="N19" s="13">
        <f>SUMIF(Mercado_Receita!$T$2:$T$587,"44593B2Energia horáriaRuralNão se aplicaNão se aplicaNão se aplicaFora ponta",Mercado_Receita!$N$2:$N$587)</f>
        <v>0</v>
      </c>
      <c r="O19" s="13">
        <f>SUMIF(Mercado_Receita!$T$2:$T$587,"44621B2Energia horáriaRuralNão se aplicaNão se aplicaNão se aplicaFora ponta",Mercado_Receita!$N$2:$N$587)</f>
        <v>0</v>
      </c>
      <c r="P19" s="13">
        <f>SUMIF(Mercado_Receita!$T$2:$T$587,"44652B2Energia horáriaRuralNão se aplicaNão se aplicaNão se aplicaFora ponta",Mercado_Receita!$N$2:$N$587)</f>
        <v>0</v>
      </c>
      <c r="Q19" s="13">
        <f>SUMIF(Mercado_Receita!$T$2:$T$587,"44682B2Energia horáriaRuralNão se aplicaNão se aplicaNão se aplicaFora ponta",Mercado_Receita!$N$2:$N$587)</f>
        <v>0</v>
      </c>
      <c r="R19" s="13">
        <f>SUMIF(Mercado_Receita!$T$2:$T$587,"44713B2Energia horáriaRuralNão se aplicaNão se aplicaNão se aplicaFora ponta",Mercado_Receita!$N$2:$N$587)</f>
        <v>0</v>
      </c>
      <c r="S19" s="13">
        <f>SUMIF(Mercado_Receita!$T$2:$T$587,"44743B2Energia horáriaRuralNão se aplicaNão se aplicaNão se aplicaFora ponta",Mercado_Receita!$N$2:$N$587)</f>
        <v>0</v>
      </c>
      <c r="T19" s="13">
        <f>SUMIF(Mercado_Receita!$T$2:$T$587,"44774B2Energia horáriaRuralNão se aplicaNão se aplicaNão se aplicaFora ponta",Mercado_Receita!$N$2:$N$587)</f>
        <v>0</v>
      </c>
      <c r="U19" s="13">
        <f t="shared" si="0"/>
        <v>0</v>
      </c>
      <c r="V19" s="13"/>
      <c r="W19" s="13"/>
    </row>
    <row r="20" spans="1:23" ht="11.25" customHeight="1" x14ac:dyDescent="0.3">
      <c r="A20" s="76"/>
      <c r="B20" s="12" t="s">
        <v>481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474</v>
      </c>
      <c r="H20" s="13" t="s">
        <v>467</v>
      </c>
      <c r="I20" s="13">
        <f>SUMIF(Mercado_Receita!$T$2:$T$587,"44440B2Energia convencionalRuralNão se aplicaNão se aplicaNão se aplicaNão se aplica",Mercado_Receita!$N$2:$N$587)</f>
        <v>39.858000000000004</v>
      </c>
      <c r="J20" s="13">
        <f>SUMIF(Mercado_Receita!$T$2:$T$587,"44470B2Energia convencionalRuralNão se aplicaNão se aplicaNão se aplicaNão se aplica",Mercado_Receita!$N$2:$N$587)</f>
        <v>40.295000000000002</v>
      </c>
      <c r="K20" s="13">
        <f>SUMIF(Mercado_Receita!$T$2:$T$587,"44501B2Energia convencionalRuralNão se aplicaNão se aplicaNão se aplicaNão se aplica",Mercado_Receita!$N$2:$N$587)</f>
        <v>41.336999999999996</v>
      </c>
      <c r="L20" s="13">
        <f>SUMIF(Mercado_Receita!$T$2:$T$587,"44531B2Energia convencionalRuralNão se aplicaNão se aplicaNão se aplicaNão se aplica",Mercado_Receita!$N$2:$N$587)</f>
        <v>47.161999999999999</v>
      </c>
      <c r="M20" s="13">
        <f>SUMIF(Mercado_Receita!$T$2:$T$587,"44562B2Energia convencionalRuralNão se aplicaNão se aplicaNão se aplicaNão se aplica",Mercado_Receita!$N$2:$N$587)</f>
        <v>51.375999999999998</v>
      </c>
      <c r="N20" s="13">
        <f>SUMIF(Mercado_Receita!$T$2:$T$587,"44593B2Energia convencionalRuralNão se aplicaNão se aplicaNão se aplicaNão se aplica",Mercado_Receita!$N$2:$N$587)</f>
        <v>61.805999999999997</v>
      </c>
      <c r="O20" s="13">
        <f>SUMIF(Mercado_Receita!$T$2:$T$587,"44621B2Energia convencionalRuralNão se aplicaNão se aplicaNão se aplicaNão se aplica",Mercado_Receita!$N$2:$N$587)</f>
        <v>47.792999999999999</v>
      </c>
      <c r="P20" s="13">
        <f>SUMIF(Mercado_Receita!$T$2:$T$587,"44652B2Energia convencionalRuralNão se aplicaNão se aplicaNão se aplicaNão se aplica",Mercado_Receita!$N$2:$N$587)</f>
        <v>40.559999999999995</v>
      </c>
      <c r="Q20" s="13">
        <f>SUMIF(Mercado_Receita!$T$2:$T$587,"44682B2Energia convencionalRuralNão se aplicaNão se aplicaNão se aplicaNão se aplica",Mercado_Receita!$N$2:$N$587)</f>
        <v>36.631999999999998</v>
      </c>
      <c r="R20" s="13">
        <f>SUMIF(Mercado_Receita!$T$2:$T$587,"44713B2Energia convencionalRuralNão se aplicaNão se aplicaNão se aplicaNão se aplica",Mercado_Receita!$N$2:$N$587)</f>
        <v>39.387999999999998</v>
      </c>
      <c r="S20" s="13">
        <f>SUMIF(Mercado_Receita!$T$2:$T$587,"44743B2Energia convencionalRuralNão se aplicaNão se aplicaNão se aplicaNão se aplica",Mercado_Receita!$N$2:$N$587)</f>
        <v>31.72</v>
      </c>
      <c r="T20" s="13">
        <f>SUMIF(Mercado_Receita!$T$2:$T$587,"44774B2Energia convencionalRuralNão se aplicaNão se aplicaNão se aplicaNão se aplica",Mercado_Receita!$N$2:$N$587)</f>
        <v>35.651000000000003</v>
      </c>
      <c r="U20" s="13">
        <f t="shared" si="0"/>
        <v>513.57799999999997</v>
      </c>
      <c r="V20" s="13"/>
      <c r="W20" s="13"/>
    </row>
    <row r="21" spans="1:23" ht="11.25" customHeight="1" x14ac:dyDescent="0.3">
      <c r="A21" s="76"/>
      <c r="B21" s="75" t="s">
        <v>466</v>
      </c>
      <c r="C21" s="75" t="s">
        <v>43</v>
      </c>
      <c r="D21" s="75" t="s">
        <v>484</v>
      </c>
      <c r="E21" s="75" t="s">
        <v>25</v>
      </c>
      <c r="F21" s="75" t="s">
        <v>25</v>
      </c>
      <c r="G21" s="13" t="s">
        <v>468</v>
      </c>
      <c r="H21" s="13" t="s">
        <v>467</v>
      </c>
      <c r="I21" s="13">
        <f>SUMIF(Mercado_Receita!$T$2:$T$587,"44440B2Energia horáriaRuralCooperativa de eletrificação ruralNão se aplicaNão se aplicaPonta",Mercado_Receita!$N$2:$N$587)</f>
        <v>0</v>
      </c>
      <c r="J21" s="13">
        <f>SUMIF(Mercado_Receita!$T$2:$T$587,"44470B2Energia horáriaRuralCooperativa de eletrificação ruralNão se aplicaNão se aplicaPonta",Mercado_Receita!$N$2:$N$587)</f>
        <v>0</v>
      </c>
      <c r="K21" s="13">
        <f>SUMIF(Mercado_Receita!$T$2:$T$587,"44501B2Energia horáriaRuralCooperativa de eletrificação ruralNão se aplicaNão se aplicaPonta",Mercado_Receita!$N$2:$N$587)</f>
        <v>0</v>
      </c>
      <c r="L21" s="13">
        <f>SUMIF(Mercado_Receita!$T$2:$T$587,"44531B2Energia horáriaRuralCooperativa de eletrificação ruralNão se aplicaNão se aplicaPonta",Mercado_Receita!$N$2:$N$587)</f>
        <v>0</v>
      </c>
      <c r="M21" s="13">
        <f>SUMIF(Mercado_Receita!$T$2:$T$587,"44562B2Energia horáriaRuralCooperativa de eletrificação ruralNão se aplicaNão se aplicaPonta",Mercado_Receita!$N$2:$N$587)</f>
        <v>0</v>
      </c>
      <c r="N21" s="13">
        <f>SUMIF(Mercado_Receita!$T$2:$T$587,"44593B2Energia horáriaRuralCooperativa de eletrificação ruralNão se aplicaNão se aplicaPonta",Mercado_Receita!$N$2:$N$587)</f>
        <v>0</v>
      </c>
      <c r="O21" s="13">
        <f>SUMIF(Mercado_Receita!$T$2:$T$587,"44621B2Energia horáriaRuralCooperativa de eletrificação ruralNão se aplicaNão se aplicaPonta",Mercado_Receita!$N$2:$N$587)</f>
        <v>0</v>
      </c>
      <c r="P21" s="13">
        <f>SUMIF(Mercado_Receita!$T$2:$T$587,"44652B2Energia horáriaRuralCooperativa de eletrificação ruralNão se aplicaNão se aplicaPonta",Mercado_Receita!$N$2:$N$587)</f>
        <v>0</v>
      </c>
      <c r="Q21" s="13">
        <f>SUMIF(Mercado_Receita!$T$2:$T$587,"44682B2Energia horáriaRuralCooperativa de eletrificação ruralNão se aplicaNão se aplicaPonta",Mercado_Receita!$N$2:$N$587)</f>
        <v>0</v>
      </c>
      <c r="R21" s="13">
        <f>SUMIF(Mercado_Receita!$T$2:$T$587,"44713B2Energia horáriaRuralCooperativa de eletrificação ruralNão se aplicaNão se aplicaPonta",Mercado_Receita!$N$2:$N$587)</f>
        <v>0</v>
      </c>
      <c r="S21" s="13">
        <f>SUMIF(Mercado_Receita!$T$2:$T$587,"44743B2Energia horáriaRuralCooperativa de eletrificação ruralNão se aplicaNão se aplicaPonta",Mercado_Receita!$N$2:$N$587)</f>
        <v>0</v>
      </c>
      <c r="T21" s="13">
        <f>SUMIF(Mercado_Receita!$T$2:$T$587,"44774B2Energia horáriaRuralCooperativa de eletrificação ruralNão se aplicaNão se aplicaPonta",Mercado_Receita!$N$2:$N$587)</f>
        <v>0</v>
      </c>
      <c r="U21" s="13">
        <f t="shared" si="0"/>
        <v>0</v>
      </c>
      <c r="V21" s="13"/>
      <c r="W21" s="13"/>
    </row>
    <row r="22" spans="1:23" ht="11.25" customHeight="1" x14ac:dyDescent="0.3">
      <c r="A22" s="76"/>
      <c r="B22" s="76"/>
      <c r="C22" s="76"/>
      <c r="D22" s="76"/>
      <c r="E22" s="76"/>
      <c r="F22" s="76"/>
      <c r="G22" s="13" t="s">
        <v>480</v>
      </c>
      <c r="H22" s="13" t="s">
        <v>467</v>
      </c>
      <c r="I22" s="13">
        <f>SUMIF(Mercado_Receita!$T$2:$T$587,"44440B2Energia horáriaRuralCooperativa de eletrificação ruralNão se aplicaNão se aplicaIntermediário",Mercado_Receita!$N$2:$N$587)</f>
        <v>0</v>
      </c>
      <c r="J22" s="13">
        <f>SUMIF(Mercado_Receita!$T$2:$T$587,"44470B2Energia horáriaRuralCooperativa de eletrificação ruralNão se aplicaNão se aplicaIntermediário",Mercado_Receita!$N$2:$N$587)</f>
        <v>0</v>
      </c>
      <c r="K22" s="13">
        <f>SUMIF(Mercado_Receita!$T$2:$T$587,"44501B2Energia horáriaRuralCooperativa de eletrificação ruralNão se aplicaNão se aplicaIntermediário",Mercado_Receita!$N$2:$N$587)</f>
        <v>0</v>
      </c>
      <c r="L22" s="13">
        <f>SUMIF(Mercado_Receita!$T$2:$T$587,"44531B2Energia horáriaRuralCooperativa de eletrificação ruralNão se aplicaNão se aplicaIntermediário",Mercado_Receita!$N$2:$N$587)</f>
        <v>0</v>
      </c>
      <c r="M22" s="13">
        <f>SUMIF(Mercado_Receita!$T$2:$T$587,"44562B2Energia horáriaRuralCooperativa de eletrificação ruralNão se aplicaNão se aplicaIntermediário",Mercado_Receita!$N$2:$N$587)</f>
        <v>0</v>
      </c>
      <c r="N22" s="13">
        <f>SUMIF(Mercado_Receita!$T$2:$T$587,"44593B2Energia horáriaRuralCooperativa de eletrificação ruralNão se aplicaNão se aplicaIntermediário",Mercado_Receita!$N$2:$N$587)</f>
        <v>0</v>
      </c>
      <c r="O22" s="13">
        <f>SUMIF(Mercado_Receita!$T$2:$T$587,"44621B2Energia horáriaRuralCooperativa de eletrificação ruralNão se aplicaNão se aplicaIntermediário",Mercado_Receita!$N$2:$N$587)</f>
        <v>0</v>
      </c>
      <c r="P22" s="13">
        <f>SUMIF(Mercado_Receita!$T$2:$T$587,"44652B2Energia horáriaRuralCooperativa de eletrificação ruralNão se aplicaNão se aplicaIntermediário",Mercado_Receita!$N$2:$N$587)</f>
        <v>0</v>
      </c>
      <c r="Q22" s="13">
        <f>SUMIF(Mercado_Receita!$T$2:$T$587,"44682B2Energia horáriaRuralCooperativa de eletrificação ruralNão se aplicaNão se aplicaIntermediário",Mercado_Receita!$N$2:$N$587)</f>
        <v>0</v>
      </c>
      <c r="R22" s="13">
        <f>SUMIF(Mercado_Receita!$T$2:$T$587,"44713B2Energia horáriaRuralCooperativa de eletrificação ruralNão se aplicaNão se aplicaIntermediário",Mercado_Receita!$N$2:$N$587)</f>
        <v>0</v>
      </c>
      <c r="S22" s="13">
        <f>SUMIF(Mercado_Receita!$T$2:$T$587,"44743B2Energia horáriaRuralCooperativa de eletrificação ruralNão se aplicaNão se aplicaIntermediário",Mercado_Receita!$N$2:$N$587)</f>
        <v>0</v>
      </c>
      <c r="T22" s="13">
        <f>SUMIF(Mercado_Receita!$T$2:$T$587,"44774B2Energia horáriaRuralCooperativa de eletrificação ruralNão se aplicaNão se aplicaIntermediário",Mercado_Receita!$N$2:$N$587)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6"/>
      <c r="B23" s="76"/>
      <c r="C23" s="76"/>
      <c r="D23" s="76"/>
      <c r="E23" s="76"/>
      <c r="F23" s="76"/>
      <c r="G23" s="13" t="s">
        <v>469</v>
      </c>
      <c r="H23" s="13" t="s">
        <v>467</v>
      </c>
      <c r="I23" s="13">
        <f>SUMIF(Mercado_Receita!$T$2:$T$587,"44440B2Energia horáriaRuralCooperativa de eletrificação ruralNão se aplicaNão se aplicaFora ponta",Mercado_Receita!$N$2:$N$587)</f>
        <v>0</v>
      </c>
      <c r="J23" s="13">
        <f>SUMIF(Mercado_Receita!$T$2:$T$587,"44470B2Energia horáriaRuralCooperativa de eletrificação ruralNão se aplicaNão se aplicaFora ponta",Mercado_Receita!$N$2:$N$587)</f>
        <v>0</v>
      </c>
      <c r="K23" s="13">
        <f>SUMIF(Mercado_Receita!$T$2:$T$587,"44501B2Energia horáriaRuralCooperativa de eletrificação ruralNão se aplicaNão se aplicaFora ponta",Mercado_Receita!$N$2:$N$587)</f>
        <v>0</v>
      </c>
      <c r="L23" s="13">
        <f>SUMIF(Mercado_Receita!$T$2:$T$587,"44531B2Energia horáriaRuralCooperativa de eletrificação ruralNão se aplicaNão se aplicaFora ponta",Mercado_Receita!$N$2:$N$587)</f>
        <v>0</v>
      </c>
      <c r="M23" s="13">
        <f>SUMIF(Mercado_Receita!$T$2:$T$587,"44562B2Energia horáriaRuralCooperativa de eletrificação ruralNão se aplicaNão se aplicaFora ponta",Mercado_Receita!$N$2:$N$587)</f>
        <v>0</v>
      </c>
      <c r="N23" s="13">
        <f>SUMIF(Mercado_Receita!$T$2:$T$587,"44593B2Energia horáriaRuralCooperativa de eletrificação ruralNão se aplicaNão se aplicaFora ponta",Mercado_Receita!$N$2:$N$587)</f>
        <v>0</v>
      </c>
      <c r="O23" s="13">
        <f>SUMIF(Mercado_Receita!$T$2:$T$587,"44621B2Energia horáriaRuralCooperativa de eletrificação ruralNão se aplicaNão se aplicaFora ponta",Mercado_Receita!$N$2:$N$587)</f>
        <v>0</v>
      </c>
      <c r="P23" s="13">
        <f>SUMIF(Mercado_Receita!$T$2:$T$587,"44652B2Energia horáriaRuralCooperativa de eletrificação ruralNão se aplicaNão se aplicaFora ponta",Mercado_Receita!$N$2:$N$587)</f>
        <v>0</v>
      </c>
      <c r="Q23" s="13">
        <f>SUMIF(Mercado_Receita!$T$2:$T$587,"44682B2Energia horáriaRuralCooperativa de eletrificação ruralNão se aplicaNão se aplicaFora ponta",Mercado_Receita!$N$2:$N$587)</f>
        <v>0</v>
      </c>
      <c r="R23" s="13">
        <f>SUMIF(Mercado_Receita!$T$2:$T$587,"44713B2Energia horáriaRuralCooperativa de eletrificação ruralNão se aplicaNão se aplicaFora ponta",Mercado_Receita!$N$2:$N$587)</f>
        <v>0</v>
      </c>
      <c r="S23" s="13">
        <f>SUMIF(Mercado_Receita!$T$2:$T$587,"44743B2Energia horáriaRuralCooperativa de eletrificação ruralNão se aplicaNão se aplicaFora ponta",Mercado_Receita!$N$2:$N$587)</f>
        <v>0</v>
      </c>
      <c r="T23" s="13">
        <f>SUMIF(Mercado_Receita!$T$2:$T$587,"44774B2Energia horáriaRuralCooperativa de eletrificação ruralNão se aplicaNão se aplicaFora ponta",Mercado_Receita!$N$2:$N$587)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6"/>
      <c r="B24" s="12" t="s">
        <v>481</v>
      </c>
      <c r="C24" s="12" t="s">
        <v>43</v>
      </c>
      <c r="D24" s="12" t="s">
        <v>484</v>
      </c>
      <c r="E24" s="12" t="s">
        <v>25</v>
      </c>
      <c r="F24" s="12" t="s">
        <v>25</v>
      </c>
      <c r="G24" s="13" t="s">
        <v>474</v>
      </c>
      <c r="H24" s="13" t="s">
        <v>467</v>
      </c>
      <c r="I24" s="13">
        <f>SUMIF(Mercado_Receita!$T$2:$T$587,"44440B2Energia convencionalRuralCooperativa de eletrificação ruralNão se aplicaNão se aplicaNão se aplica",Mercado_Receita!$N$2:$N$587)</f>
        <v>0</v>
      </c>
      <c r="J24" s="13">
        <f>SUMIF(Mercado_Receita!$T$2:$T$587,"44470B2Energia convencionalRuralCooperativa de eletrificação ruralNão se aplicaNão se aplicaNão se aplica",Mercado_Receita!$N$2:$N$587)</f>
        <v>0</v>
      </c>
      <c r="K24" s="13">
        <f>SUMIF(Mercado_Receita!$T$2:$T$587,"44501B2Energia convencionalRuralCooperativa de eletrificação ruralNão se aplicaNão se aplicaNão se aplica",Mercado_Receita!$N$2:$N$587)</f>
        <v>0</v>
      </c>
      <c r="L24" s="13">
        <f>SUMIF(Mercado_Receita!$T$2:$T$587,"44531B2Energia convencionalRuralCooperativa de eletrificação ruralNão se aplicaNão se aplicaNão se aplica",Mercado_Receita!$N$2:$N$587)</f>
        <v>0</v>
      </c>
      <c r="M24" s="13">
        <f>SUMIF(Mercado_Receita!$T$2:$T$587,"44562B2Energia convencionalRuralCooperativa de eletrificação ruralNão se aplicaNão se aplicaNão se aplica",Mercado_Receita!$N$2:$N$587)</f>
        <v>0</v>
      </c>
      <c r="N24" s="13">
        <f>SUMIF(Mercado_Receita!$T$2:$T$587,"44593B2Energia convencionalRuralCooperativa de eletrificação ruralNão se aplicaNão se aplicaNão se aplica",Mercado_Receita!$N$2:$N$587)</f>
        <v>0</v>
      </c>
      <c r="O24" s="13">
        <f>SUMIF(Mercado_Receita!$T$2:$T$587,"44621B2Energia convencionalRuralCooperativa de eletrificação ruralNão se aplicaNão se aplicaNão se aplica",Mercado_Receita!$N$2:$N$587)</f>
        <v>0</v>
      </c>
      <c r="P24" s="13">
        <f>SUMIF(Mercado_Receita!$T$2:$T$587,"44652B2Energia convencionalRuralCooperativa de eletrificação ruralNão se aplicaNão se aplicaNão se aplica",Mercado_Receita!$N$2:$N$587)</f>
        <v>0</v>
      </c>
      <c r="Q24" s="13">
        <f>SUMIF(Mercado_Receita!$T$2:$T$587,"44682B2Energia convencionalRuralCooperativa de eletrificação ruralNão se aplicaNão se aplicaNão se aplica",Mercado_Receita!$N$2:$N$587)</f>
        <v>0</v>
      </c>
      <c r="R24" s="13">
        <f>SUMIF(Mercado_Receita!$T$2:$T$587,"44713B2Energia convencionalRuralCooperativa de eletrificação ruralNão se aplicaNão se aplicaNão se aplica",Mercado_Receita!$N$2:$N$587)</f>
        <v>0</v>
      </c>
      <c r="S24" s="13">
        <f>SUMIF(Mercado_Receita!$T$2:$T$587,"44743B2Energia convencionalRuralCooperativa de eletrificação ruralNão se aplicaNão se aplicaNão se aplica",Mercado_Receita!$N$2:$N$587)</f>
        <v>0</v>
      </c>
      <c r="T24" s="13">
        <f>SUMIF(Mercado_Receita!$T$2:$T$587,"44774B2Energia convencionalRuralCooperativa de eletrificação ruralNão se aplicaNão se aplicaNão se aplica",Mercado_Receita!$N$2:$N$587)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6"/>
      <c r="B25" s="75" t="s">
        <v>466</v>
      </c>
      <c r="C25" s="75" t="s">
        <v>43</v>
      </c>
      <c r="D25" s="75" t="s">
        <v>485</v>
      </c>
      <c r="E25" s="75" t="s">
        <v>25</v>
      </c>
      <c r="F25" s="75" t="s">
        <v>25</v>
      </c>
      <c r="G25" s="13" t="s">
        <v>468</v>
      </c>
      <c r="H25" s="13" t="s">
        <v>467</v>
      </c>
      <c r="I25" s="13">
        <f>SUMIF(Mercado_Receita!$T$2:$T$587,"44440B2Energia horáriaRuralServiço público de irrigação ruralNão se aplicaNão se aplicaPonta",Mercado_Receita!$N$2:$N$587)</f>
        <v>0</v>
      </c>
      <c r="J25" s="13">
        <f>SUMIF(Mercado_Receita!$T$2:$T$587,"44470B2Energia horáriaRuralServiço público de irrigação ruralNão se aplicaNão se aplicaPonta",Mercado_Receita!$N$2:$N$587)</f>
        <v>0</v>
      </c>
      <c r="K25" s="13">
        <f>SUMIF(Mercado_Receita!$T$2:$T$587,"44501B2Energia horáriaRuralServiço público de irrigação ruralNão se aplicaNão se aplicaPonta",Mercado_Receita!$N$2:$N$587)</f>
        <v>0</v>
      </c>
      <c r="L25" s="13">
        <f>SUMIF(Mercado_Receita!$T$2:$T$587,"44531B2Energia horáriaRuralServiço público de irrigação ruralNão se aplicaNão se aplicaPonta",Mercado_Receita!$N$2:$N$587)</f>
        <v>0</v>
      </c>
      <c r="M25" s="13">
        <f>SUMIF(Mercado_Receita!$T$2:$T$587,"44562B2Energia horáriaRuralServiço público de irrigação ruralNão se aplicaNão se aplicaPonta",Mercado_Receita!$N$2:$N$587)</f>
        <v>0</v>
      </c>
      <c r="N25" s="13">
        <f>SUMIF(Mercado_Receita!$T$2:$T$587,"44593B2Energia horáriaRuralServiço público de irrigação ruralNão se aplicaNão se aplicaPonta",Mercado_Receita!$N$2:$N$587)</f>
        <v>0</v>
      </c>
      <c r="O25" s="13">
        <f>SUMIF(Mercado_Receita!$T$2:$T$587,"44621B2Energia horáriaRuralServiço público de irrigação ruralNão se aplicaNão se aplicaPonta",Mercado_Receita!$N$2:$N$587)</f>
        <v>0</v>
      </c>
      <c r="P25" s="13">
        <f>SUMIF(Mercado_Receita!$T$2:$T$587,"44652B2Energia horáriaRuralServiço público de irrigação ruralNão se aplicaNão se aplicaPonta",Mercado_Receita!$N$2:$N$587)</f>
        <v>0</v>
      </c>
      <c r="Q25" s="13">
        <f>SUMIF(Mercado_Receita!$T$2:$T$587,"44682B2Energia horáriaRuralServiço público de irrigação ruralNão se aplicaNão se aplicaPonta",Mercado_Receita!$N$2:$N$587)</f>
        <v>0</v>
      </c>
      <c r="R25" s="13">
        <f>SUMIF(Mercado_Receita!$T$2:$T$587,"44713B2Energia horáriaRuralServiço público de irrigação ruralNão se aplicaNão se aplicaPonta",Mercado_Receita!$N$2:$N$587)</f>
        <v>0</v>
      </c>
      <c r="S25" s="13">
        <f>SUMIF(Mercado_Receita!$T$2:$T$587,"44743B2Energia horáriaRuralServiço público de irrigação ruralNão se aplicaNão se aplicaPonta",Mercado_Receita!$N$2:$N$587)</f>
        <v>0</v>
      </c>
      <c r="T25" s="13">
        <f>SUMIF(Mercado_Receita!$T$2:$T$587,"44774B2Energia horáriaRuralServiço público de irrigação ruralNão se aplicaNão se aplicaPonta",Mercado_Receita!$N$2:$N$587)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6"/>
      <c r="B26" s="76"/>
      <c r="C26" s="76"/>
      <c r="D26" s="76"/>
      <c r="E26" s="76"/>
      <c r="F26" s="76"/>
      <c r="G26" s="13" t="s">
        <v>480</v>
      </c>
      <c r="H26" s="13" t="s">
        <v>467</v>
      </c>
      <c r="I26" s="13">
        <f>SUMIF(Mercado_Receita!$T$2:$T$587,"44440B2Energia horáriaRuralServiço público de irrigação ruralNão se aplicaNão se aplicaIntermediário",Mercado_Receita!$N$2:$N$587)</f>
        <v>0</v>
      </c>
      <c r="J26" s="13">
        <f>SUMIF(Mercado_Receita!$T$2:$T$587,"44470B2Energia horáriaRuralServiço público de irrigação ruralNão se aplicaNão se aplicaIntermediário",Mercado_Receita!$N$2:$N$587)</f>
        <v>0</v>
      </c>
      <c r="K26" s="13">
        <f>SUMIF(Mercado_Receita!$T$2:$T$587,"44501B2Energia horáriaRuralServiço público de irrigação ruralNão se aplicaNão se aplicaIntermediário",Mercado_Receita!$N$2:$N$587)</f>
        <v>0</v>
      </c>
      <c r="L26" s="13">
        <f>SUMIF(Mercado_Receita!$T$2:$T$587,"44531B2Energia horáriaRuralServiço público de irrigação ruralNão se aplicaNão se aplicaIntermediário",Mercado_Receita!$N$2:$N$587)</f>
        <v>0</v>
      </c>
      <c r="M26" s="13">
        <f>SUMIF(Mercado_Receita!$T$2:$T$587,"44562B2Energia horáriaRuralServiço público de irrigação ruralNão se aplicaNão se aplicaIntermediário",Mercado_Receita!$N$2:$N$587)</f>
        <v>0</v>
      </c>
      <c r="N26" s="13">
        <f>SUMIF(Mercado_Receita!$T$2:$T$587,"44593B2Energia horáriaRuralServiço público de irrigação ruralNão se aplicaNão se aplicaIntermediário",Mercado_Receita!$N$2:$N$587)</f>
        <v>0</v>
      </c>
      <c r="O26" s="13">
        <f>SUMIF(Mercado_Receita!$T$2:$T$587,"44621B2Energia horáriaRuralServiço público de irrigação ruralNão se aplicaNão se aplicaIntermediário",Mercado_Receita!$N$2:$N$587)</f>
        <v>0</v>
      </c>
      <c r="P26" s="13">
        <f>SUMIF(Mercado_Receita!$T$2:$T$587,"44652B2Energia horáriaRuralServiço público de irrigação ruralNão se aplicaNão se aplicaIntermediário",Mercado_Receita!$N$2:$N$587)</f>
        <v>0</v>
      </c>
      <c r="Q26" s="13">
        <f>SUMIF(Mercado_Receita!$T$2:$T$587,"44682B2Energia horáriaRuralServiço público de irrigação ruralNão se aplicaNão se aplicaIntermediário",Mercado_Receita!$N$2:$N$587)</f>
        <v>0</v>
      </c>
      <c r="R26" s="13">
        <f>SUMIF(Mercado_Receita!$T$2:$T$587,"44713B2Energia horáriaRuralServiço público de irrigação ruralNão se aplicaNão se aplicaIntermediário",Mercado_Receita!$N$2:$N$587)</f>
        <v>0</v>
      </c>
      <c r="S26" s="13">
        <f>SUMIF(Mercado_Receita!$T$2:$T$587,"44743B2Energia horáriaRuralServiço público de irrigação ruralNão se aplicaNão se aplicaIntermediário",Mercado_Receita!$N$2:$N$587)</f>
        <v>0</v>
      </c>
      <c r="T26" s="13">
        <f>SUMIF(Mercado_Receita!$T$2:$T$587,"44774B2Energia horáriaRuralServiço público de irrigação ruralNão se aplicaNão se aplicaIntermediário",Mercado_Receita!$N$2:$N$587)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6"/>
      <c r="B27" s="76"/>
      <c r="C27" s="76"/>
      <c r="D27" s="76"/>
      <c r="E27" s="76"/>
      <c r="F27" s="76"/>
      <c r="G27" s="13" t="s">
        <v>469</v>
      </c>
      <c r="H27" s="13" t="s">
        <v>467</v>
      </c>
      <c r="I27" s="13">
        <f>SUMIF(Mercado_Receita!$T$2:$T$587,"44440B2Energia horáriaRuralServiço público de irrigação ruralNão se aplicaNão se aplicaFora ponta",Mercado_Receita!$N$2:$N$587)</f>
        <v>0</v>
      </c>
      <c r="J27" s="13">
        <f>SUMIF(Mercado_Receita!$T$2:$T$587,"44470B2Energia horáriaRuralServiço público de irrigação ruralNão se aplicaNão se aplicaFora ponta",Mercado_Receita!$N$2:$N$587)</f>
        <v>0</v>
      </c>
      <c r="K27" s="13">
        <f>SUMIF(Mercado_Receita!$T$2:$T$587,"44501B2Energia horáriaRuralServiço público de irrigação ruralNão se aplicaNão se aplicaFora ponta",Mercado_Receita!$N$2:$N$587)</f>
        <v>0</v>
      </c>
      <c r="L27" s="13">
        <f>SUMIF(Mercado_Receita!$T$2:$T$587,"44531B2Energia horáriaRuralServiço público de irrigação ruralNão se aplicaNão se aplicaFora ponta",Mercado_Receita!$N$2:$N$587)</f>
        <v>0</v>
      </c>
      <c r="M27" s="13">
        <f>SUMIF(Mercado_Receita!$T$2:$T$587,"44562B2Energia horáriaRuralServiço público de irrigação ruralNão se aplicaNão se aplicaFora ponta",Mercado_Receita!$N$2:$N$587)</f>
        <v>0</v>
      </c>
      <c r="N27" s="13">
        <f>SUMIF(Mercado_Receita!$T$2:$T$587,"44593B2Energia horáriaRuralServiço público de irrigação ruralNão se aplicaNão se aplicaFora ponta",Mercado_Receita!$N$2:$N$587)</f>
        <v>0</v>
      </c>
      <c r="O27" s="13">
        <f>SUMIF(Mercado_Receita!$T$2:$T$587,"44621B2Energia horáriaRuralServiço público de irrigação ruralNão se aplicaNão se aplicaFora ponta",Mercado_Receita!$N$2:$N$587)</f>
        <v>0</v>
      </c>
      <c r="P27" s="13">
        <f>SUMIF(Mercado_Receita!$T$2:$T$587,"44652B2Energia horáriaRuralServiço público de irrigação ruralNão se aplicaNão se aplicaFora ponta",Mercado_Receita!$N$2:$N$587)</f>
        <v>0</v>
      </c>
      <c r="Q27" s="13">
        <f>SUMIF(Mercado_Receita!$T$2:$T$587,"44682B2Energia horáriaRuralServiço público de irrigação ruralNão se aplicaNão se aplicaFora ponta",Mercado_Receita!$N$2:$N$587)</f>
        <v>0</v>
      </c>
      <c r="R27" s="13">
        <f>SUMIF(Mercado_Receita!$T$2:$T$587,"44713B2Energia horáriaRuralServiço público de irrigação ruralNão se aplicaNão se aplicaFora ponta",Mercado_Receita!$N$2:$N$587)</f>
        <v>0</v>
      </c>
      <c r="S27" s="13">
        <f>SUMIF(Mercado_Receita!$T$2:$T$587,"44743B2Energia horáriaRuralServiço público de irrigação ruralNão se aplicaNão se aplicaFora ponta",Mercado_Receita!$N$2:$N$587)</f>
        <v>0</v>
      </c>
      <c r="T27" s="13">
        <f>SUMIF(Mercado_Receita!$T$2:$T$587,"44774B2Energia horáriaRuralServiço público de irrigação ruralNão se aplicaNão se aplicaFora ponta",Mercado_Receita!$N$2:$N$587)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6"/>
      <c r="B28" s="12" t="s">
        <v>481</v>
      </c>
      <c r="C28" s="12" t="s">
        <v>43</v>
      </c>
      <c r="D28" s="12" t="s">
        <v>485</v>
      </c>
      <c r="E28" s="12" t="s">
        <v>25</v>
      </c>
      <c r="F28" s="12" t="s">
        <v>25</v>
      </c>
      <c r="G28" s="13" t="s">
        <v>474</v>
      </c>
      <c r="H28" s="13" t="s">
        <v>467</v>
      </c>
      <c r="I28" s="13">
        <f>SUMIF(Mercado_Receita!$T$2:$T$587,"44440B2Energia convencionalRuralServiço público de irrigação ruralNão se aplicaNão se aplicaNão se aplica",Mercado_Receita!$N$2:$N$587)</f>
        <v>0</v>
      </c>
      <c r="J28" s="13">
        <f>SUMIF(Mercado_Receita!$T$2:$T$587,"44470B2Energia convencionalRuralServiço público de irrigação ruralNão se aplicaNão se aplicaNão se aplica",Mercado_Receita!$N$2:$N$587)</f>
        <v>0</v>
      </c>
      <c r="K28" s="13">
        <f>SUMIF(Mercado_Receita!$T$2:$T$587,"44501B2Energia convencionalRuralServiço público de irrigação ruralNão se aplicaNão se aplicaNão se aplica",Mercado_Receita!$N$2:$N$587)</f>
        <v>0</v>
      </c>
      <c r="L28" s="13">
        <f>SUMIF(Mercado_Receita!$T$2:$T$587,"44531B2Energia convencionalRuralServiço público de irrigação ruralNão se aplicaNão se aplicaNão se aplica",Mercado_Receita!$N$2:$N$587)</f>
        <v>0</v>
      </c>
      <c r="M28" s="13">
        <f>SUMIF(Mercado_Receita!$T$2:$T$587,"44562B2Energia convencionalRuralServiço público de irrigação ruralNão se aplicaNão se aplicaNão se aplica",Mercado_Receita!$N$2:$N$587)</f>
        <v>0</v>
      </c>
      <c r="N28" s="13">
        <f>SUMIF(Mercado_Receita!$T$2:$T$587,"44593B2Energia convencionalRuralServiço público de irrigação ruralNão se aplicaNão se aplicaNão se aplica",Mercado_Receita!$N$2:$N$587)</f>
        <v>0</v>
      </c>
      <c r="O28" s="13">
        <f>SUMIF(Mercado_Receita!$T$2:$T$587,"44621B2Energia convencionalRuralServiço público de irrigação ruralNão se aplicaNão se aplicaNão se aplica",Mercado_Receita!$N$2:$N$587)</f>
        <v>0</v>
      </c>
      <c r="P28" s="13">
        <f>SUMIF(Mercado_Receita!$T$2:$T$587,"44652B2Energia convencionalRuralServiço público de irrigação ruralNão se aplicaNão se aplicaNão se aplica",Mercado_Receita!$N$2:$N$587)</f>
        <v>0</v>
      </c>
      <c r="Q28" s="13">
        <f>SUMIF(Mercado_Receita!$T$2:$T$587,"44682B2Energia convencionalRuralServiço público de irrigação ruralNão se aplicaNão se aplicaNão se aplica",Mercado_Receita!$N$2:$N$587)</f>
        <v>0</v>
      </c>
      <c r="R28" s="13">
        <f>SUMIF(Mercado_Receita!$T$2:$T$587,"44713B2Energia convencionalRuralServiço público de irrigação ruralNão se aplicaNão se aplicaNão se aplica",Mercado_Receita!$N$2:$N$587)</f>
        <v>0</v>
      </c>
      <c r="S28" s="13">
        <f>SUMIF(Mercado_Receita!$T$2:$T$587,"44743B2Energia convencionalRuralServiço público de irrigação ruralNão se aplicaNão se aplicaNão se aplica",Mercado_Receita!$N$2:$N$587)</f>
        <v>0</v>
      </c>
      <c r="T28" s="13">
        <f>SUMIF(Mercado_Receita!$T$2:$T$587,"44774B2Energia convencionalRuralServiço público de irrigação ruralNão se aplicaNão se aplicaNão se aplica",Mercado_Receita!$N$2:$N$587)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6"/>
      <c r="B29" s="75" t="s">
        <v>482</v>
      </c>
      <c r="C29" s="75" t="s">
        <v>43</v>
      </c>
      <c r="D29" s="12" t="s">
        <v>25</v>
      </c>
      <c r="E29" s="12" t="s">
        <v>25</v>
      </c>
      <c r="F29" s="12" t="s">
        <v>25</v>
      </c>
      <c r="G29" s="13" t="s">
        <v>474</v>
      </c>
      <c r="H29" s="13" t="s">
        <v>467</v>
      </c>
      <c r="I29" s="13">
        <f>SUMIF(Mercado_Receita!$T$2:$T$587,"44440B2Energia convencional pré-pagamentoRuralNão se aplicaNão se aplicaNão se aplicaNão se aplica",Mercado_Receita!$N$2:$N$587)</f>
        <v>0</v>
      </c>
      <c r="J29" s="13">
        <f>SUMIF(Mercado_Receita!$T$2:$T$587,"44470B2Energia convencional pré-pagamentoRuralNão se aplicaNão se aplicaNão se aplicaNão se aplica",Mercado_Receita!$N$2:$N$587)</f>
        <v>0</v>
      </c>
      <c r="K29" s="13">
        <f>SUMIF(Mercado_Receita!$T$2:$T$587,"44501B2Energia convencional pré-pagamentoRuralNão se aplicaNão se aplicaNão se aplicaNão se aplica",Mercado_Receita!$N$2:$N$587)</f>
        <v>0</v>
      </c>
      <c r="L29" s="13">
        <f>SUMIF(Mercado_Receita!$T$2:$T$587,"44531B2Energia convencional pré-pagamentoRuralNão se aplicaNão se aplicaNão se aplicaNão se aplica",Mercado_Receita!$N$2:$N$587)</f>
        <v>0</v>
      </c>
      <c r="M29" s="13">
        <f>SUMIF(Mercado_Receita!$T$2:$T$587,"44562B2Energia convencional pré-pagamentoRuralNão se aplicaNão se aplicaNão se aplicaNão se aplica",Mercado_Receita!$N$2:$N$587)</f>
        <v>0</v>
      </c>
      <c r="N29" s="13">
        <f>SUMIF(Mercado_Receita!$T$2:$T$587,"44593B2Energia convencional pré-pagamentoRuralNão se aplicaNão se aplicaNão se aplicaNão se aplica",Mercado_Receita!$N$2:$N$587)</f>
        <v>0</v>
      </c>
      <c r="O29" s="13">
        <f>SUMIF(Mercado_Receita!$T$2:$T$587,"44621B2Energia convencional pré-pagamentoRuralNão se aplicaNão se aplicaNão se aplicaNão se aplica",Mercado_Receita!$N$2:$N$587)</f>
        <v>0</v>
      </c>
      <c r="P29" s="13">
        <f>SUMIF(Mercado_Receita!$T$2:$T$587,"44652B2Energia convencional pré-pagamentoRuralNão se aplicaNão se aplicaNão se aplicaNão se aplica",Mercado_Receita!$N$2:$N$587)</f>
        <v>0</v>
      </c>
      <c r="Q29" s="13">
        <f>SUMIF(Mercado_Receita!$T$2:$T$587,"44682B2Energia convencional pré-pagamentoRuralNão se aplicaNão se aplicaNão se aplicaNão se aplica",Mercado_Receita!$N$2:$N$587)</f>
        <v>0</v>
      </c>
      <c r="R29" s="13">
        <f>SUMIF(Mercado_Receita!$T$2:$T$587,"44713B2Energia convencional pré-pagamentoRuralNão se aplicaNão se aplicaNão se aplicaNão se aplica",Mercado_Receita!$N$2:$N$587)</f>
        <v>0</v>
      </c>
      <c r="S29" s="13">
        <f>SUMIF(Mercado_Receita!$T$2:$T$587,"44743B2Energia convencional pré-pagamentoRuralNão se aplicaNão se aplicaNão se aplicaNão se aplica",Mercado_Receita!$N$2:$N$587)</f>
        <v>0</v>
      </c>
      <c r="T29" s="13">
        <f>SUMIF(Mercado_Receita!$T$2:$T$587,"44774B2Energia convencional pré-pagamentoRuralNão se aplicaNão se aplicaNão se aplicaNão se aplica",Mercado_Receita!$N$2:$N$587)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6"/>
      <c r="B30" s="76"/>
      <c r="C30" s="76"/>
      <c r="D30" s="12" t="s">
        <v>484</v>
      </c>
      <c r="E30" s="12" t="s">
        <v>25</v>
      </c>
      <c r="F30" s="12" t="s">
        <v>25</v>
      </c>
      <c r="G30" s="13" t="s">
        <v>474</v>
      </c>
      <c r="H30" s="13" t="s">
        <v>467</v>
      </c>
      <c r="I30" s="13">
        <f>SUMIF(Mercado_Receita!$T$2:$T$587,"44440B2Energia convencional pré-pagamentoRuralCooperativa de eletrificação ruralNão se aplicaNão se aplicaNão se aplica",Mercado_Receita!$N$2:$N$587)</f>
        <v>0</v>
      </c>
      <c r="J30" s="13">
        <f>SUMIF(Mercado_Receita!$T$2:$T$587,"44470B2Energia convencional pré-pagamentoRuralCooperativa de eletrificação ruralNão se aplicaNão se aplicaNão se aplica",Mercado_Receita!$N$2:$N$587)</f>
        <v>0</v>
      </c>
      <c r="K30" s="13">
        <f>SUMIF(Mercado_Receita!$T$2:$T$587,"44501B2Energia convencional pré-pagamentoRuralCooperativa de eletrificação ruralNão se aplicaNão se aplicaNão se aplica",Mercado_Receita!$N$2:$N$587)</f>
        <v>0</v>
      </c>
      <c r="L30" s="13">
        <f>SUMIF(Mercado_Receita!$T$2:$T$587,"44531B2Energia convencional pré-pagamentoRuralCooperativa de eletrificação ruralNão se aplicaNão se aplicaNão se aplica",Mercado_Receita!$N$2:$N$587)</f>
        <v>0</v>
      </c>
      <c r="M30" s="13">
        <f>SUMIF(Mercado_Receita!$T$2:$T$587,"44562B2Energia convencional pré-pagamentoRuralCooperativa de eletrificação ruralNão se aplicaNão se aplicaNão se aplica",Mercado_Receita!$N$2:$N$587)</f>
        <v>0</v>
      </c>
      <c r="N30" s="13">
        <f>SUMIF(Mercado_Receita!$T$2:$T$587,"44593B2Energia convencional pré-pagamentoRuralCooperativa de eletrificação ruralNão se aplicaNão se aplicaNão se aplica",Mercado_Receita!$N$2:$N$587)</f>
        <v>0</v>
      </c>
      <c r="O30" s="13">
        <f>SUMIF(Mercado_Receita!$T$2:$T$587,"44621B2Energia convencional pré-pagamentoRuralCooperativa de eletrificação ruralNão se aplicaNão se aplicaNão se aplica",Mercado_Receita!$N$2:$N$587)</f>
        <v>0</v>
      </c>
      <c r="P30" s="13">
        <f>SUMIF(Mercado_Receita!$T$2:$T$587,"44652B2Energia convencional pré-pagamentoRuralCooperativa de eletrificação ruralNão se aplicaNão se aplicaNão se aplica",Mercado_Receita!$N$2:$N$587)</f>
        <v>0</v>
      </c>
      <c r="Q30" s="13">
        <f>SUMIF(Mercado_Receita!$T$2:$T$587,"44682B2Energia convencional pré-pagamentoRuralCooperativa de eletrificação ruralNão se aplicaNão se aplicaNão se aplica",Mercado_Receita!$N$2:$N$587)</f>
        <v>0</v>
      </c>
      <c r="R30" s="13">
        <f>SUMIF(Mercado_Receita!$T$2:$T$587,"44713B2Energia convencional pré-pagamentoRuralCooperativa de eletrificação ruralNão se aplicaNão se aplicaNão se aplica",Mercado_Receita!$N$2:$N$587)</f>
        <v>0</v>
      </c>
      <c r="S30" s="13">
        <f>SUMIF(Mercado_Receita!$T$2:$T$587,"44743B2Energia convencional pré-pagamentoRuralCooperativa de eletrificação ruralNão se aplicaNão se aplicaNão se aplica",Mercado_Receita!$N$2:$N$587)</f>
        <v>0</v>
      </c>
      <c r="T30" s="13">
        <f>SUMIF(Mercado_Receita!$T$2:$T$587,"44774B2Energia convencional pré-pagamentoRuralCooperativa de eletrificação ruralNão se aplicaNão se aplicaNão se aplica",Mercado_Receita!$N$2:$N$587)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76"/>
      <c r="B31" s="76"/>
      <c r="C31" s="76"/>
      <c r="D31" s="12" t="s">
        <v>485</v>
      </c>
      <c r="E31" s="12" t="s">
        <v>25</v>
      </c>
      <c r="F31" s="12" t="s">
        <v>25</v>
      </c>
      <c r="G31" s="13" t="s">
        <v>474</v>
      </c>
      <c r="H31" s="13" t="s">
        <v>467</v>
      </c>
      <c r="I31" s="13">
        <f>SUMIF(Mercado_Receita!$T$2:$T$587,"44440B2Energia convencional pré-pagamentoRuralServiço público de irrigação ruralNão se aplicaNão se aplicaNão se aplica",Mercado_Receita!$N$2:$N$587)</f>
        <v>0</v>
      </c>
      <c r="J31" s="13">
        <f>SUMIF(Mercado_Receita!$T$2:$T$587,"44470B2Energia convencional pré-pagamentoRuralServiço público de irrigação ruralNão se aplicaNão se aplicaNão se aplica",Mercado_Receita!$N$2:$N$587)</f>
        <v>0</v>
      </c>
      <c r="K31" s="13">
        <f>SUMIF(Mercado_Receita!$T$2:$T$587,"44501B2Energia convencional pré-pagamentoRuralServiço público de irrigação ruralNão se aplicaNão se aplicaNão se aplica",Mercado_Receita!$N$2:$N$587)</f>
        <v>0</v>
      </c>
      <c r="L31" s="13">
        <f>SUMIF(Mercado_Receita!$T$2:$T$587,"44531B2Energia convencional pré-pagamentoRuralServiço público de irrigação ruralNão se aplicaNão se aplicaNão se aplica",Mercado_Receita!$N$2:$N$587)</f>
        <v>0</v>
      </c>
      <c r="M31" s="13">
        <f>SUMIF(Mercado_Receita!$T$2:$T$587,"44562B2Energia convencional pré-pagamentoRuralServiço público de irrigação ruralNão se aplicaNão se aplicaNão se aplica",Mercado_Receita!$N$2:$N$587)</f>
        <v>0</v>
      </c>
      <c r="N31" s="13">
        <f>SUMIF(Mercado_Receita!$T$2:$T$587,"44593B2Energia convencional pré-pagamentoRuralServiço público de irrigação ruralNão se aplicaNão se aplicaNão se aplica",Mercado_Receita!$N$2:$N$587)</f>
        <v>0</v>
      </c>
      <c r="O31" s="13">
        <f>SUMIF(Mercado_Receita!$T$2:$T$587,"44621B2Energia convencional pré-pagamentoRuralServiço público de irrigação ruralNão se aplicaNão se aplicaNão se aplica",Mercado_Receita!$N$2:$N$587)</f>
        <v>0</v>
      </c>
      <c r="P31" s="13">
        <f>SUMIF(Mercado_Receita!$T$2:$T$587,"44652B2Energia convencional pré-pagamentoRuralServiço público de irrigação ruralNão se aplicaNão se aplicaNão se aplica",Mercado_Receita!$N$2:$N$587)</f>
        <v>0</v>
      </c>
      <c r="Q31" s="13">
        <f>SUMIF(Mercado_Receita!$T$2:$T$587,"44682B2Energia convencional pré-pagamentoRuralServiço público de irrigação ruralNão se aplicaNão se aplicaNão se aplica",Mercado_Receita!$N$2:$N$587)</f>
        <v>0</v>
      </c>
      <c r="R31" s="13">
        <f>SUMIF(Mercado_Receita!$T$2:$T$587,"44713B2Energia convencional pré-pagamentoRuralServiço público de irrigação ruralNão se aplicaNão se aplicaNão se aplica",Mercado_Receita!$N$2:$N$587)</f>
        <v>0</v>
      </c>
      <c r="S31" s="13">
        <f>SUMIF(Mercado_Receita!$T$2:$T$587,"44743B2Energia convencional pré-pagamentoRuralServiço público de irrigação ruralNão se aplicaNão se aplicaNão se aplica",Mercado_Receita!$N$2:$N$587)</f>
        <v>0</v>
      </c>
      <c r="T31" s="13">
        <f>SUMIF(Mercado_Receita!$T$2:$T$587,"44774B2Energia convencional pré-pagamentoRuralServiço público de irrigação ruralNão se aplicaNão se aplicaNão se aplica",Mercado_Receita!$N$2:$N$587)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5" t="s">
        <v>37</v>
      </c>
      <c r="B32" s="75" t="s">
        <v>466</v>
      </c>
      <c r="C32" s="75" t="s">
        <v>25</v>
      </c>
      <c r="D32" s="75" t="s">
        <v>25</v>
      </c>
      <c r="E32" s="75" t="s">
        <v>25</v>
      </c>
      <c r="F32" s="75" t="s">
        <v>25</v>
      </c>
      <c r="G32" s="13" t="s">
        <v>468</v>
      </c>
      <c r="H32" s="13" t="s">
        <v>467</v>
      </c>
      <c r="I32" s="13">
        <f>SUMIF(Mercado_Receita!$T$2:$T$587,"44440B3Energia horáriaNão se aplicaNão se aplicaNão se aplicaNão se aplicaPonta",Mercado_Receita!$N$2:$N$587)</f>
        <v>0.18</v>
      </c>
      <c r="J32" s="13">
        <f>SUMIF(Mercado_Receita!$T$2:$T$587,"44470B3Energia horáriaNão se aplicaNão se aplicaNão se aplicaNão se aplicaPonta",Mercado_Receita!$N$2:$N$587)</f>
        <v>0.22499999999999998</v>
      </c>
      <c r="K32" s="13">
        <f>SUMIF(Mercado_Receita!$T$2:$T$587,"44501B3Energia horáriaNão se aplicaNão se aplicaNão se aplicaNão se aplicaPonta",Mercado_Receita!$N$2:$N$587)</f>
        <v>0.20100000000000001</v>
      </c>
      <c r="L32" s="13">
        <f>SUMIF(Mercado_Receita!$T$2:$T$587,"44531B3Energia horáriaNão se aplicaNão se aplicaNão se aplicaNão se aplicaPonta",Mercado_Receita!$N$2:$N$587)</f>
        <v>0.33499999999999996</v>
      </c>
      <c r="M32" s="13">
        <f>SUMIF(Mercado_Receita!$T$2:$T$587,"44562B3Energia horáriaNão se aplicaNão se aplicaNão se aplicaNão se aplicaPonta",Mercado_Receita!$N$2:$N$587)</f>
        <v>0.32500000000000001</v>
      </c>
      <c r="N32" s="13">
        <f>SUMIF(Mercado_Receita!$T$2:$T$587,"44593B3Energia horáriaNão se aplicaNão se aplicaNão se aplicaNão se aplicaPonta",Mercado_Receita!$N$2:$N$587)</f>
        <v>0.33</v>
      </c>
      <c r="O32" s="13">
        <f>SUMIF(Mercado_Receita!$T$2:$T$587,"44621B3Energia horáriaNão se aplicaNão se aplicaNão se aplicaNão se aplicaPonta",Mercado_Receita!$N$2:$N$587)</f>
        <v>0.36399999999999999</v>
      </c>
      <c r="P32" s="13">
        <f>SUMIF(Mercado_Receita!$T$2:$T$587,"44652B3Energia horáriaNão se aplicaNão se aplicaNão se aplicaNão se aplicaPonta",Mercado_Receita!$N$2:$N$587)</f>
        <v>0.30599999999999999</v>
      </c>
      <c r="Q32" s="13">
        <f>SUMIF(Mercado_Receita!$T$2:$T$587,"44682B3Energia horáriaNão se aplicaNão se aplicaNão se aplicaNão se aplicaPonta",Mercado_Receita!$N$2:$N$587)</f>
        <v>0.27900000000000003</v>
      </c>
      <c r="R32" s="13">
        <f>SUMIF(Mercado_Receita!$T$2:$T$587,"44713B3Energia horáriaNão se aplicaNão se aplicaNão se aplicaNão se aplicaPonta",Mercado_Receita!$N$2:$N$587)</f>
        <v>0.22999999999999998</v>
      </c>
      <c r="S32" s="13">
        <f>SUMIF(Mercado_Receita!$T$2:$T$587,"44743B3Energia horáriaNão se aplicaNão se aplicaNão se aplicaNão se aplicaPonta",Mercado_Receita!$N$2:$N$587)</f>
        <v>0.107</v>
      </c>
      <c r="T32" s="13">
        <f>SUMIF(Mercado_Receita!$T$2:$T$587,"44774B3Energia horáriaNão se aplicaNão se aplicaNão se aplicaNão se aplicaPonta",Mercado_Receita!$N$2:$N$587)</f>
        <v>0.157</v>
      </c>
      <c r="U32" s="13">
        <f t="shared" si="0"/>
        <v>3.0390000000000001</v>
      </c>
      <c r="V32" s="13"/>
      <c r="W32" s="13"/>
    </row>
    <row r="33" spans="1:23" ht="11.25" customHeight="1" x14ac:dyDescent="0.3">
      <c r="A33" s="76"/>
      <c r="B33" s="76"/>
      <c r="C33" s="76"/>
      <c r="D33" s="76"/>
      <c r="E33" s="76"/>
      <c r="F33" s="76"/>
      <c r="G33" s="13" t="s">
        <v>480</v>
      </c>
      <c r="H33" s="13" t="s">
        <v>467</v>
      </c>
      <c r="I33" s="13">
        <f>SUMIF(Mercado_Receita!$T$2:$T$587,"44440B3Energia horáriaNão se aplicaNão se aplicaNão se aplicaNão se aplicaIntermediário",Mercado_Receita!$N$2:$N$587)</f>
        <v>0.52500000000000002</v>
      </c>
      <c r="J33" s="13">
        <f>SUMIF(Mercado_Receita!$T$2:$T$587,"44470B3Energia horáriaNão se aplicaNão se aplicaNão se aplicaNão se aplicaIntermediário",Mercado_Receita!$N$2:$N$587)</f>
        <v>0.54299999999999993</v>
      </c>
      <c r="K33" s="13">
        <f>SUMIF(Mercado_Receita!$T$2:$T$587,"44501B3Energia horáriaNão se aplicaNão se aplicaNão se aplicaNão se aplicaIntermediário",Mercado_Receita!$N$2:$N$587)</f>
        <v>0.39400000000000002</v>
      </c>
      <c r="L33" s="13">
        <f>SUMIF(Mercado_Receita!$T$2:$T$587,"44531B3Energia horáriaNão se aplicaNão se aplicaNão se aplicaNão se aplicaIntermediário",Mercado_Receita!$N$2:$N$587)</f>
        <v>0.45399999999999996</v>
      </c>
      <c r="M33" s="13">
        <f>SUMIF(Mercado_Receita!$T$2:$T$587,"44562B3Energia horáriaNão se aplicaNão se aplicaNão se aplicaNão se aplicaIntermediário",Mercado_Receita!$N$2:$N$587)</f>
        <v>0.48199999999999998</v>
      </c>
      <c r="N33" s="13">
        <f>SUMIF(Mercado_Receita!$T$2:$T$587,"44593B3Energia horáriaNão se aplicaNão se aplicaNão se aplicaNão se aplicaIntermediário",Mercado_Receita!$N$2:$N$587)</f>
        <v>0.61699999999999999</v>
      </c>
      <c r="O33" s="13">
        <f>SUMIF(Mercado_Receita!$T$2:$T$587,"44621B3Energia horáriaNão se aplicaNão se aplicaNão se aplicaNão se aplicaIntermediário",Mercado_Receita!$N$2:$N$587)</f>
        <v>0.66599999999999993</v>
      </c>
      <c r="P33" s="13">
        <f>SUMIF(Mercado_Receita!$T$2:$T$587,"44652B3Energia horáriaNão se aplicaNão se aplicaNão se aplicaNão se aplicaIntermediário",Mercado_Receita!$N$2:$N$587)</f>
        <v>0.39700000000000002</v>
      </c>
      <c r="Q33" s="13">
        <f>SUMIF(Mercado_Receita!$T$2:$T$587,"44682B3Energia horáriaNão se aplicaNão se aplicaNão se aplicaNão se aplicaIntermediário",Mercado_Receita!$N$2:$N$587)</f>
        <v>0.38200000000000001</v>
      </c>
      <c r="R33" s="13">
        <f>SUMIF(Mercado_Receita!$T$2:$T$587,"44713B3Energia horáriaNão se aplicaNão se aplicaNão se aplicaNão se aplicaIntermediário",Mercado_Receita!$N$2:$N$587)</f>
        <v>0.32700000000000001</v>
      </c>
      <c r="S33" s="13">
        <f>SUMIF(Mercado_Receita!$T$2:$T$587,"44743B3Energia horáriaNão se aplicaNão se aplicaNão se aplicaNão se aplicaIntermediário",Mercado_Receita!$N$2:$N$587)</f>
        <v>0.13400000000000001</v>
      </c>
      <c r="T33" s="13">
        <f>SUMIF(Mercado_Receita!$T$2:$T$587,"44774B3Energia horáriaNão se aplicaNão se aplicaNão se aplicaNão se aplicaIntermediário",Mercado_Receita!$N$2:$N$587)</f>
        <v>0.254</v>
      </c>
      <c r="U33" s="13">
        <f t="shared" si="0"/>
        <v>5.1750000000000007</v>
      </c>
      <c r="V33" s="13"/>
      <c r="W33" s="13"/>
    </row>
    <row r="34" spans="1:23" ht="11.25" customHeight="1" x14ac:dyDescent="0.3">
      <c r="A34" s="76"/>
      <c r="B34" s="76"/>
      <c r="C34" s="76"/>
      <c r="D34" s="76"/>
      <c r="E34" s="76"/>
      <c r="F34" s="76"/>
      <c r="G34" s="13" t="s">
        <v>469</v>
      </c>
      <c r="H34" s="13" t="s">
        <v>467</v>
      </c>
      <c r="I34" s="13">
        <f>SUMIF(Mercado_Receita!$T$2:$T$587,"44440B3Energia horáriaNão se aplicaNão se aplicaNão se aplicaNão se aplicaFora ponta",Mercado_Receita!$N$2:$N$587)</f>
        <v>16.059999999999999</v>
      </c>
      <c r="J34" s="13">
        <f>SUMIF(Mercado_Receita!$T$2:$T$587,"44470B3Energia horáriaNão se aplicaNão se aplicaNão se aplicaNão se aplicaFora ponta",Mercado_Receita!$N$2:$N$587)</f>
        <v>12.482999999999999</v>
      </c>
      <c r="K34" s="13">
        <f>SUMIF(Mercado_Receita!$T$2:$T$587,"44501B3Energia horáriaNão se aplicaNão se aplicaNão se aplicaNão se aplicaFora ponta",Mercado_Receita!$N$2:$N$587)</f>
        <v>13.654</v>
      </c>
      <c r="L34" s="13">
        <f>SUMIF(Mercado_Receita!$T$2:$T$587,"44531B3Energia horáriaNão se aplicaNão se aplicaNão se aplicaNão se aplicaFora ponta",Mercado_Receita!$N$2:$N$587)</f>
        <v>14.408999999999999</v>
      </c>
      <c r="M34" s="13">
        <f>SUMIF(Mercado_Receita!$T$2:$T$587,"44562B3Energia horáriaNão se aplicaNão se aplicaNão se aplicaNão se aplicaFora ponta",Mercado_Receita!$N$2:$N$587)</f>
        <v>15.879999999999999</v>
      </c>
      <c r="N34" s="13">
        <f>SUMIF(Mercado_Receita!$T$2:$T$587,"44593B3Energia horáriaNão se aplicaNão se aplicaNão se aplicaNão se aplicaFora ponta",Mercado_Receita!$N$2:$N$587)</f>
        <v>18.974</v>
      </c>
      <c r="O34" s="13">
        <f>SUMIF(Mercado_Receita!$T$2:$T$587,"44621B3Energia horáriaNão se aplicaNão se aplicaNão se aplicaNão se aplicaFora ponta",Mercado_Receita!$N$2:$N$587)</f>
        <v>20.300999999999998</v>
      </c>
      <c r="P34" s="13">
        <f>SUMIF(Mercado_Receita!$T$2:$T$587,"44652B3Energia horáriaNão se aplicaNão se aplicaNão se aplicaNão se aplicaFora ponta",Mercado_Receita!$N$2:$N$587)</f>
        <v>17.934000000000001</v>
      </c>
      <c r="Q34" s="13">
        <f>SUMIF(Mercado_Receita!$T$2:$T$587,"44682B3Energia horáriaNão se aplicaNão se aplicaNão se aplicaNão se aplicaFora ponta",Mercado_Receita!$N$2:$N$587)</f>
        <v>19.629000000000001</v>
      </c>
      <c r="R34" s="13">
        <f>SUMIF(Mercado_Receita!$T$2:$T$587,"44713B3Energia horáriaNão se aplicaNão se aplicaNão se aplicaNão se aplicaFora ponta",Mercado_Receita!$N$2:$N$587)</f>
        <v>14.854000000000003</v>
      </c>
      <c r="S34" s="13">
        <f>SUMIF(Mercado_Receita!$T$2:$T$587,"44743B3Energia horáriaNão se aplicaNão se aplicaNão se aplicaNão se aplicaFora ponta",Mercado_Receita!$N$2:$N$587)</f>
        <v>10.196999999999999</v>
      </c>
      <c r="T34" s="13">
        <f>SUMIF(Mercado_Receita!$T$2:$T$587,"44774B3Energia horáriaNão se aplicaNão se aplicaNão se aplicaNão se aplicaFora ponta",Mercado_Receita!$N$2:$N$587)</f>
        <v>16.158000000000001</v>
      </c>
      <c r="U34" s="13">
        <f t="shared" si="0"/>
        <v>190.53300000000002</v>
      </c>
      <c r="V34" s="13"/>
      <c r="W34" s="13"/>
    </row>
    <row r="35" spans="1:23" ht="11.25" customHeight="1" x14ac:dyDescent="0.3">
      <c r="A35" s="76"/>
      <c r="B35" s="12" t="s">
        <v>481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474</v>
      </c>
      <c r="H35" s="13" t="s">
        <v>467</v>
      </c>
      <c r="I35" s="13">
        <f>SUMIF(Mercado_Receita!$T$2:$T$587,"44440B3Energia convencionalNão se aplicaNão se aplicaNão se aplicaNão se aplicaNão se aplica",Mercado_Receita!$N$2:$N$587)</f>
        <v>1021.977</v>
      </c>
      <c r="J35" s="13">
        <f>SUMIF(Mercado_Receita!$T$2:$T$587,"44470B3Energia convencionalNão se aplicaNão se aplicaNão se aplicaNão se aplicaNão se aplica",Mercado_Receita!$N$2:$N$587)</f>
        <v>996.745</v>
      </c>
      <c r="K35" s="13">
        <f>SUMIF(Mercado_Receita!$T$2:$T$587,"44501B3Energia convencionalNão se aplicaNão se aplicaNão se aplicaNão se aplicaNão se aplica",Mercado_Receita!$N$2:$N$587)</f>
        <v>1052.8919999999998</v>
      </c>
      <c r="L35" s="13">
        <f>SUMIF(Mercado_Receita!$T$2:$T$587,"44531B3Energia convencionalNão se aplicaNão se aplicaNão se aplicaNão se aplicaNão se aplica",Mercado_Receita!$N$2:$N$587)</f>
        <v>1034.1560000000002</v>
      </c>
      <c r="M35" s="13">
        <f>SUMIF(Mercado_Receita!$T$2:$T$587,"44562B3Energia convencionalNão se aplicaNão se aplicaNão se aplicaNão se aplicaNão se aplica",Mercado_Receita!$N$2:$N$587)</f>
        <v>1484.4280000000001</v>
      </c>
      <c r="N35" s="13">
        <f>SUMIF(Mercado_Receita!$T$2:$T$587,"44593B3Energia convencionalNão se aplicaNão se aplicaNão se aplicaNão se aplicaNão se aplica",Mercado_Receita!$N$2:$N$587)</f>
        <v>1489.6690000000001</v>
      </c>
      <c r="O35" s="13">
        <f>SUMIF(Mercado_Receita!$T$2:$T$587,"44621B3Energia convencionalNão se aplicaNão se aplicaNão se aplicaNão se aplicaNão se aplica",Mercado_Receita!$N$2:$N$587)</f>
        <v>1604.4040000000002</v>
      </c>
      <c r="P35" s="13">
        <f>SUMIF(Mercado_Receita!$T$2:$T$587,"44652B3Energia convencionalNão se aplicaNão se aplicaNão se aplicaNão se aplicaNão se aplica",Mercado_Receita!$N$2:$N$587)</f>
        <v>1210.4449999999997</v>
      </c>
      <c r="Q35" s="13">
        <f>SUMIF(Mercado_Receita!$T$2:$T$587,"44682B3Energia convencionalNão se aplicaNão se aplicaNão se aplicaNão se aplicaNão se aplica",Mercado_Receita!$N$2:$N$587)</f>
        <v>1030.2939999999999</v>
      </c>
      <c r="R35" s="13">
        <f>SUMIF(Mercado_Receita!$T$2:$T$587,"44713B3Energia convencionalNão se aplicaNão se aplicaNão se aplicaNão se aplicaNão se aplica",Mercado_Receita!$N$2:$N$587)</f>
        <v>1003.4220000000003</v>
      </c>
      <c r="S35" s="13">
        <f>SUMIF(Mercado_Receita!$T$2:$T$587,"44743B3Energia convencionalNão se aplicaNão se aplicaNão se aplicaNão se aplicaNão se aplica",Mercado_Receita!$N$2:$N$587)</f>
        <v>904.34699999999998</v>
      </c>
      <c r="T35" s="13">
        <f>SUMIF(Mercado_Receita!$T$2:$T$587,"44774B3Energia convencionalNão se aplicaNão se aplicaNão se aplicaNão se aplicaNão se aplica",Mercado_Receita!$N$2:$N$587)</f>
        <v>1006.256</v>
      </c>
      <c r="U35" s="13">
        <f t="shared" si="0"/>
        <v>13839.034999999998</v>
      </c>
      <c r="V35" s="13"/>
      <c r="W35" s="13"/>
    </row>
    <row r="36" spans="1:23" ht="11.25" customHeight="1" x14ac:dyDescent="0.3">
      <c r="A36" s="76"/>
      <c r="B36" s="12" t="s">
        <v>482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474</v>
      </c>
      <c r="H36" s="13" t="s">
        <v>467</v>
      </c>
      <c r="I36" s="13">
        <f>SUMIF(Mercado_Receita!$T$2:$T$587,"44440B3Energia convencional pré-pagamentoNão se aplicaNão se aplicaNão se aplicaNão se aplicaNão se aplica",Mercado_Receita!$N$2:$N$587)</f>
        <v>0</v>
      </c>
      <c r="J36" s="13">
        <f>SUMIF(Mercado_Receita!$T$2:$T$587,"44470B3Energia convencional pré-pagamentoNão se aplicaNão se aplicaNão se aplicaNão se aplicaNão se aplica",Mercado_Receita!$N$2:$N$587)</f>
        <v>0</v>
      </c>
      <c r="K36" s="13">
        <f>SUMIF(Mercado_Receita!$T$2:$T$587,"44501B3Energia convencional pré-pagamentoNão se aplicaNão se aplicaNão se aplicaNão se aplicaNão se aplica",Mercado_Receita!$N$2:$N$587)</f>
        <v>0</v>
      </c>
      <c r="L36" s="13">
        <f>SUMIF(Mercado_Receita!$T$2:$T$587,"44531B3Energia convencional pré-pagamentoNão se aplicaNão se aplicaNão se aplicaNão se aplicaNão se aplica",Mercado_Receita!$N$2:$N$587)</f>
        <v>0</v>
      </c>
      <c r="M36" s="13">
        <f>SUMIF(Mercado_Receita!$T$2:$T$587,"44562B3Energia convencional pré-pagamentoNão se aplicaNão se aplicaNão se aplicaNão se aplicaNão se aplica",Mercado_Receita!$N$2:$N$587)</f>
        <v>0</v>
      </c>
      <c r="N36" s="13">
        <f>SUMIF(Mercado_Receita!$T$2:$T$587,"44593B3Energia convencional pré-pagamentoNão se aplicaNão se aplicaNão se aplicaNão se aplicaNão se aplica",Mercado_Receita!$N$2:$N$587)</f>
        <v>0</v>
      </c>
      <c r="O36" s="13">
        <f>SUMIF(Mercado_Receita!$T$2:$T$587,"44621B3Energia convencional pré-pagamentoNão se aplicaNão se aplicaNão se aplicaNão se aplicaNão se aplica",Mercado_Receita!$N$2:$N$587)</f>
        <v>0</v>
      </c>
      <c r="P36" s="13">
        <f>SUMIF(Mercado_Receita!$T$2:$T$587,"44652B3Energia convencional pré-pagamentoNão se aplicaNão se aplicaNão se aplicaNão se aplicaNão se aplica",Mercado_Receita!$N$2:$N$587)</f>
        <v>0</v>
      </c>
      <c r="Q36" s="13">
        <f>SUMIF(Mercado_Receita!$T$2:$T$587,"44682B3Energia convencional pré-pagamentoNão se aplicaNão se aplicaNão se aplicaNão se aplicaNão se aplica",Mercado_Receita!$N$2:$N$587)</f>
        <v>0</v>
      </c>
      <c r="R36" s="13">
        <f>SUMIF(Mercado_Receita!$T$2:$T$587,"44713B3Energia convencional pré-pagamentoNão se aplicaNão se aplicaNão se aplicaNão se aplicaNão se aplica",Mercado_Receita!$N$2:$N$587)</f>
        <v>0</v>
      </c>
      <c r="S36" s="13">
        <f>SUMIF(Mercado_Receita!$T$2:$T$587,"44743B3Energia convencional pré-pagamentoNão se aplicaNão se aplicaNão se aplicaNão se aplicaNão se aplica",Mercado_Receita!$N$2:$N$587)</f>
        <v>0</v>
      </c>
      <c r="T36" s="13">
        <f>SUMIF(Mercado_Receita!$T$2:$T$587,"44774B3Energia convencional pré-pagamentoNão se aplicaNão se aplicaNão se aplicaNão se aplicaNão se aplica",Mercado_Receita!$N$2:$N$587)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5" t="s">
        <v>45</v>
      </c>
      <c r="B37" s="75" t="s">
        <v>481</v>
      </c>
      <c r="C37" s="75" t="s">
        <v>46</v>
      </c>
      <c r="D37" s="12" t="s">
        <v>486</v>
      </c>
      <c r="E37" s="12" t="s">
        <v>25</v>
      </c>
      <c r="F37" s="12" t="s">
        <v>25</v>
      </c>
      <c r="G37" s="13" t="s">
        <v>474</v>
      </c>
      <c r="H37" s="13" t="s">
        <v>467</v>
      </c>
      <c r="I37" s="13">
        <f>SUMIF(Mercado_Receita!$T$2:$T$587,"44440B4Energia convencionalIluminação públicaIluminação pública – B4aNão se aplicaNão se aplicaNão se aplica",Mercado_Receita!$N$2:$N$587)</f>
        <v>0</v>
      </c>
      <c r="J37" s="13">
        <f>SUMIF(Mercado_Receita!$T$2:$T$587,"44470B4Energia convencionalIluminação públicaIluminação pública – B4aNão se aplicaNão se aplicaNão se aplica",Mercado_Receita!$N$2:$N$587)</f>
        <v>0</v>
      </c>
      <c r="K37" s="13">
        <f>SUMIF(Mercado_Receita!$T$2:$T$587,"44501B4Energia convencionalIluminação públicaIluminação pública – B4aNão se aplicaNão se aplicaNão se aplica",Mercado_Receita!$N$2:$N$587)</f>
        <v>0</v>
      </c>
      <c r="L37" s="13">
        <f>SUMIF(Mercado_Receita!$T$2:$T$587,"44531B4Energia convencionalIluminação públicaIluminação pública – B4aNão se aplicaNão se aplicaNão se aplica",Mercado_Receita!$N$2:$N$587)</f>
        <v>0</v>
      </c>
      <c r="M37" s="13">
        <f>SUMIF(Mercado_Receita!$T$2:$T$587,"44562B4Energia convencionalIluminação públicaIluminação pública – B4aNão se aplicaNão se aplicaNão se aplica",Mercado_Receita!$N$2:$N$587)</f>
        <v>0</v>
      </c>
      <c r="N37" s="13">
        <f>SUMIF(Mercado_Receita!$T$2:$T$587,"44593B4Energia convencionalIluminação públicaIluminação pública – B4aNão se aplicaNão se aplicaNão se aplica",Mercado_Receita!$N$2:$N$587)</f>
        <v>0</v>
      </c>
      <c r="O37" s="13">
        <f>SUMIF(Mercado_Receita!$T$2:$T$587,"44621B4Energia convencionalIluminação públicaIluminação pública – B4aNão se aplicaNão se aplicaNão se aplica",Mercado_Receita!$N$2:$N$587)</f>
        <v>0</v>
      </c>
      <c r="P37" s="13">
        <f>SUMIF(Mercado_Receita!$T$2:$T$587,"44652B4Energia convencionalIluminação públicaIluminação pública – B4aNão se aplicaNão se aplicaNão se aplica",Mercado_Receita!$N$2:$N$587)</f>
        <v>0</v>
      </c>
      <c r="Q37" s="13">
        <f>SUMIF(Mercado_Receita!$T$2:$T$587,"44682B4Energia convencionalIluminação públicaIluminação pública – B4aNão se aplicaNão se aplicaNão se aplica",Mercado_Receita!$N$2:$N$587)</f>
        <v>0</v>
      </c>
      <c r="R37" s="13">
        <f>SUMIF(Mercado_Receita!$T$2:$T$587,"44713B4Energia convencionalIluminação públicaIluminação pública – B4aNão se aplicaNão se aplicaNão se aplica",Mercado_Receita!$N$2:$N$587)</f>
        <v>0</v>
      </c>
      <c r="S37" s="13">
        <f>SUMIF(Mercado_Receita!$T$2:$T$587,"44743B4Energia convencionalIluminação públicaIluminação pública – B4aNão se aplicaNão se aplicaNão se aplica",Mercado_Receita!$N$2:$N$587)</f>
        <v>0</v>
      </c>
      <c r="T37" s="13">
        <f>SUMIF(Mercado_Receita!$T$2:$T$587,"44774B4Energia convencionalIluminação públicaIluminação pública – B4aNão se aplicaNão se aplicaNão se aplica",Mercado_Receita!$N$2:$N$587)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6"/>
      <c r="B38" s="76"/>
      <c r="C38" s="76"/>
      <c r="D38" s="13" t="s">
        <v>47</v>
      </c>
      <c r="E38" s="13" t="s">
        <v>25</v>
      </c>
      <c r="F38" s="13" t="s">
        <v>25</v>
      </c>
      <c r="G38" s="13" t="s">
        <v>474</v>
      </c>
      <c r="H38" s="13" t="s">
        <v>467</v>
      </c>
      <c r="I38" s="13">
        <f>SUMIF(Mercado_Receita!$T$2:$T$587,"44440B4Energia convencionalIluminação públicaIluminação pública – B4bNão se aplicaNão se aplicaNão se aplica",Mercado_Receita!$N$2:$N$587)</f>
        <v>308.06400000000002</v>
      </c>
      <c r="J38" s="13">
        <f>SUMIF(Mercado_Receita!$T$2:$T$587,"44470B4Energia convencionalIluminação públicaIluminação pública – B4bNão se aplicaNão se aplicaNão se aplica",Mercado_Receita!$N$2:$N$587)</f>
        <v>308.262</v>
      </c>
      <c r="K38" s="13">
        <f>SUMIF(Mercado_Receita!$T$2:$T$587,"44501B4Energia convencionalIluminação públicaIluminação pública – B4bNão se aplicaNão se aplicaNão se aplica",Mercado_Receita!$N$2:$N$587)</f>
        <v>308.76900000000001</v>
      </c>
      <c r="L38" s="13">
        <f>SUMIF(Mercado_Receita!$T$2:$T$587,"44531B4Energia convencionalIluminação públicaIluminação pública – B4bNão se aplicaNão se aplicaNão se aplica",Mercado_Receita!$N$2:$N$587)</f>
        <v>315.70699999999999</v>
      </c>
      <c r="M38" s="13">
        <f>SUMIF(Mercado_Receita!$T$2:$T$587,"44562B4Energia convencionalIluminação públicaIluminação pública – B4bNão se aplicaNão se aplicaNão se aplica",Mercado_Receita!$N$2:$N$587)</f>
        <v>317.30099999999999</v>
      </c>
      <c r="N38" s="13">
        <f>SUMIF(Mercado_Receita!$T$2:$T$587,"44593B4Energia convencionalIluminação públicaIluminação pública – B4bNão se aplicaNão se aplicaNão se aplica",Mercado_Receita!$N$2:$N$587)</f>
        <v>317.30099999999999</v>
      </c>
      <c r="O38" s="13">
        <f>SUMIF(Mercado_Receita!$T$2:$T$587,"44621B4Energia convencionalIluminação públicaIluminação pública – B4bNão se aplicaNão se aplicaNão se aplica",Mercado_Receita!$N$2:$N$587)</f>
        <v>318.34800000000001</v>
      </c>
      <c r="P38" s="13">
        <f>SUMIF(Mercado_Receita!$T$2:$T$587,"44652B4Energia convencionalIluminação públicaIluminação pública – B4bNão se aplicaNão se aplicaNão se aplica",Mercado_Receita!$N$2:$N$587)</f>
        <v>318.91899999999998</v>
      </c>
      <c r="Q38" s="13">
        <f>SUMIF(Mercado_Receita!$T$2:$T$587,"44682B4Energia convencionalIluminação públicaIluminação pública – B4bNão se aplicaNão se aplicaNão se aplica",Mercado_Receita!$N$2:$N$587)</f>
        <v>320.483</v>
      </c>
      <c r="R38" s="13">
        <f>SUMIF(Mercado_Receita!$T$2:$T$587,"44713B4Energia convencionalIluminação públicaIluminação pública – B4bNão se aplicaNão se aplicaNão se aplica",Mercado_Receita!$N$2:$N$587)</f>
        <v>322.30599999999998</v>
      </c>
      <c r="S38" s="13">
        <f>SUMIF(Mercado_Receita!$T$2:$T$587,"44743B4Energia convencionalIluminação públicaIluminação pública – B4bNão se aplicaNão se aplicaNão se aplica",Mercado_Receita!$N$2:$N$587)</f>
        <v>335.56099999999998</v>
      </c>
      <c r="T38" s="13">
        <f>SUMIF(Mercado_Receita!$T$2:$T$587,"44774B4Energia convencionalIluminação públicaIluminação pública – B4bNão se aplicaNão se aplicaNão se aplica",Mercado_Receita!$N$2:$N$587)</f>
        <v>316.31</v>
      </c>
      <c r="U38" s="13">
        <f t="shared" si="0"/>
        <v>3807.3310000000001</v>
      </c>
      <c r="V38" s="13"/>
      <c r="W38" s="13"/>
    </row>
    <row r="39" spans="1:23" ht="11.25" customHeight="1" x14ac:dyDescent="0.3">
      <c r="A39" s="77" t="s">
        <v>491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EC7E-3197-468D-808E-C87837E89563}">
  <dimension ref="A1:AD200"/>
  <sheetViews>
    <sheetView showGridLines="0" topLeftCell="A31" workbookViewId="0">
      <selection activeCell="F55" sqref="F55"/>
    </sheetView>
  </sheetViews>
  <sheetFormatPr defaultRowHeight="12" customHeight="1" x14ac:dyDescent="0.2"/>
  <cols>
    <col min="1" max="1" width="9.88671875" style="14" bestFit="1" customWidth="1"/>
    <col min="2" max="2" width="13.88671875" style="14" bestFit="1" customWidth="1"/>
    <col min="3" max="3" width="18.109375" style="14" bestFit="1" customWidth="1"/>
    <col min="4" max="4" width="14" style="14" bestFit="1" customWidth="1"/>
    <col min="5" max="5" width="13.88671875" style="14" bestFit="1" customWidth="1"/>
    <col min="6" max="6" width="3.77734375" style="14" bestFit="1" customWidth="1"/>
    <col min="7" max="7" width="10.33203125" style="14" bestFit="1" customWidth="1"/>
    <col min="8" max="11" width="8.88671875" style="14"/>
    <col min="12" max="12" width="31.44140625" style="14" bestFit="1" customWidth="1"/>
    <col min="13" max="13" width="9.88671875" style="14" bestFit="1" customWidth="1"/>
    <col min="14" max="14" width="33.21875" style="14" bestFit="1" customWidth="1"/>
    <col min="15" max="15" width="30.77734375" style="14" customWidth="1"/>
    <col min="16" max="16" width="12" style="14" bestFit="1" customWidth="1"/>
    <col min="17" max="17" width="8.44140625" style="14" bestFit="1" customWidth="1"/>
    <col min="18" max="18" width="9.109375" style="14" bestFit="1" customWidth="1"/>
    <col min="19" max="19" width="11.88671875" style="14" bestFit="1" customWidth="1"/>
    <col min="20" max="20" width="14.33203125" style="14" bestFit="1" customWidth="1"/>
    <col min="21" max="21" width="10.21875" style="14" bestFit="1" customWidth="1"/>
    <col min="22" max="22" width="12.5546875" style="14" bestFit="1" customWidth="1"/>
    <col min="23" max="23" width="5" style="14" bestFit="1" customWidth="1"/>
    <col min="24" max="24" width="51.88671875" style="14" bestFit="1" customWidth="1"/>
    <col min="25" max="26" width="5" style="14" bestFit="1" customWidth="1"/>
    <col min="27" max="27" width="2" style="14" bestFit="1" customWidth="1"/>
    <col min="28" max="16384" width="8.88671875" style="14"/>
  </cols>
  <sheetData>
    <row r="1" spans="1:30" ht="12" customHeight="1" x14ac:dyDescent="0.2">
      <c r="A1" s="10" t="s">
        <v>531</v>
      </c>
      <c r="B1" s="10" t="s">
        <v>532</v>
      </c>
      <c r="C1" s="10" t="s">
        <v>533</v>
      </c>
      <c r="D1" s="10" t="s">
        <v>534</v>
      </c>
      <c r="E1" s="10" t="s">
        <v>535</v>
      </c>
      <c r="F1" s="10" t="s">
        <v>536</v>
      </c>
      <c r="G1" s="7"/>
      <c r="H1" s="7"/>
      <c r="I1" s="7"/>
      <c r="J1" s="7"/>
      <c r="K1" s="7"/>
      <c r="L1" s="89" t="s">
        <v>537</v>
      </c>
      <c r="M1" s="89"/>
      <c r="N1" s="7"/>
      <c r="O1" s="84" t="s">
        <v>624</v>
      </c>
      <c r="P1" s="85"/>
      <c r="Q1" s="85"/>
      <c r="R1" s="85"/>
      <c r="S1" s="85"/>
      <c r="T1" s="85"/>
      <c r="U1" s="85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79" t="s">
        <v>492</v>
      </c>
      <c r="B2" s="79" t="s">
        <v>493</v>
      </c>
      <c r="C2" s="16" t="s">
        <v>578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538</v>
      </c>
      <c r="M2" s="61">
        <v>7.1499999999999994E-2</v>
      </c>
      <c r="N2" s="15"/>
      <c r="O2" s="28" t="s">
        <v>625</v>
      </c>
      <c r="P2" s="28" t="s">
        <v>626</v>
      </c>
      <c r="Q2" s="28" t="s">
        <v>627</v>
      </c>
      <c r="R2" s="28" t="s">
        <v>39</v>
      </c>
      <c r="S2" s="28" t="s">
        <v>628</v>
      </c>
      <c r="T2" s="28" t="s">
        <v>477</v>
      </c>
      <c r="U2" s="28"/>
      <c r="V2" s="15"/>
      <c r="W2" s="15"/>
      <c r="X2" s="23" t="s">
        <v>591</v>
      </c>
      <c r="Y2" s="15"/>
      <c r="Z2" s="15"/>
      <c r="AA2" s="15" t="s">
        <v>636</v>
      </c>
      <c r="AB2" s="15"/>
      <c r="AC2" s="15"/>
      <c r="AD2" s="15"/>
    </row>
    <row r="3" spans="1:30" ht="12" customHeight="1" x14ac:dyDescent="0.2">
      <c r="A3" s="80"/>
      <c r="B3" s="80"/>
      <c r="C3" s="16" t="s">
        <v>494</v>
      </c>
      <c r="D3" s="13">
        <v>101171.40779676361</v>
      </c>
      <c r="E3" s="13">
        <v>-4434.423121813832</v>
      </c>
      <c r="F3" s="13">
        <v>0</v>
      </c>
      <c r="G3" s="15"/>
      <c r="H3" s="15"/>
      <c r="I3" s="15"/>
      <c r="J3" s="15"/>
      <c r="K3" s="15"/>
      <c r="L3" s="23" t="s">
        <v>539</v>
      </c>
      <c r="M3" s="61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629</v>
      </c>
      <c r="V3" s="15"/>
      <c r="W3" s="15"/>
      <c r="X3" s="23" t="s">
        <v>592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0"/>
      <c r="B4" s="80"/>
      <c r="C4" s="16" t="s">
        <v>495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540</v>
      </c>
      <c r="M4" s="61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476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0"/>
      <c r="B5" s="80"/>
      <c r="C5" s="16" t="s">
        <v>496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541</v>
      </c>
      <c r="M5" s="61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0"/>
      <c r="B6" s="80"/>
      <c r="C6" s="16" t="s">
        <v>497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542</v>
      </c>
      <c r="M6" s="61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0"/>
      <c r="B7" s="80"/>
      <c r="C7" s="16" t="s">
        <v>498</v>
      </c>
      <c r="D7" s="13">
        <v>5176461.8090699986</v>
      </c>
      <c r="E7" s="13">
        <v>-175355.2708544028</v>
      </c>
      <c r="F7" s="13">
        <v>0</v>
      </c>
      <c r="G7" s="15"/>
      <c r="H7" s="15"/>
      <c r="I7" s="15"/>
      <c r="J7" s="15"/>
      <c r="K7" s="15"/>
      <c r="L7" s="23" t="s">
        <v>543</v>
      </c>
      <c r="M7" s="23">
        <f>M8+M9+M10+M11</f>
        <v>5176.3581099999938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0"/>
      <c r="B8" s="80"/>
      <c r="C8" s="16" t="s">
        <v>499</v>
      </c>
      <c r="D8" s="13">
        <v>845062.12880999979</v>
      </c>
      <c r="E8" s="13">
        <v>-28095.056381815815</v>
      </c>
      <c r="F8" s="13">
        <v>0</v>
      </c>
      <c r="G8" s="15"/>
      <c r="H8" s="15"/>
      <c r="I8" s="15"/>
      <c r="J8" s="15"/>
      <c r="K8" s="15"/>
      <c r="L8" s="62" t="s">
        <v>544</v>
      </c>
      <c r="M8" s="23">
        <v>5176.3581099999938</v>
      </c>
      <c r="N8" s="15"/>
      <c r="O8" s="23" t="s">
        <v>577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0"/>
      <c r="B9" s="80"/>
      <c r="C9" s="16" t="s">
        <v>500</v>
      </c>
      <c r="D9" s="13"/>
      <c r="E9" s="13"/>
      <c r="F9" s="13"/>
      <c r="G9" s="15"/>
      <c r="H9" s="15"/>
      <c r="I9" s="15"/>
      <c r="J9" s="15"/>
      <c r="K9" s="15"/>
      <c r="L9" s="63" t="s">
        <v>545</v>
      </c>
      <c r="M9" s="23">
        <v>0</v>
      </c>
      <c r="N9" s="15"/>
      <c r="O9" s="23" t="s">
        <v>582</v>
      </c>
      <c r="P9" s="29">
        <f>SUM(Mercado_Receita!$J$2:$J$587)</f>
        <v>63475</v>
      </c>
      <c r="Q9" s="29">
        <v>63475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0"/>
      <c r="B10" s="81"/>
      <c r="C10" s="16" t="s">
        <v>501</v>
      </c>
      <c r="D10" s="13">
        <f>SUM(D$2:D9)</f>
        <v>6122695.3456767621</v>
      </c>
      <c r="E10" s="13">
        <f>SUM(E$2:E9)</f>
        <v>-207884.75035803244</v>
      </c>
      <c r="F10" s="13">
        <f>SUM(F$2:F9)</f>
        <v>0</v>
      </c>
      <c r="G10" s="15"/>
      <c r="H10" s="15"/>
      <c r="I10" s="15"/>
      <c r="J10" s="15"/>
      <c r="K10" s="15"/>
      <c r="L10" s="62" t="s">
        <v>546</v>
      </c>
      <c r="M10" s="23">
        <v>0</v>
      </c>
      <c r="N10" s="15"/>
      <c r="O10" s="23" t="s">
        <v>583</v>
      </c>
      <c r="P10" s="29">
        <f>SUM(Mercado_Receita!$L$2:$L$587)</f>
        <v>60357.131999999969</v>
      </c>
      <c r="Q10" s="29">
        <v>60357.131999999998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0"/>
      <c r="B11" s="79" t="s">
        <v>502</v>
      </c>
      <c r="C11" s="16" t="s">
        <v>503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2" t="s">
        <v>547</v>
      </c>
      <c r="M11" s="23">
        <v>0</v>
      </c>
      <c r="N11" s="15"/>
      <c r="O11" s="23" t="s">
        <v>584</v>
      </c>
      <c r="P11" s="29">
        <f>SUM(Mercado_Receita!$N$2:$N$587)</f>
        <v>57104.937999999958</v>
      </c>
      <c r="Q11" s="29">
        <v>57104.938000000002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0"/>
      <c r="B12" s="80"/>
      <c r="C12" s="16" t="s">
        <v>504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548</v>
      </c>
      <c r="M12" s="23">
        <v>62281.296109999974</v>
      </c>
      <c r="N12" s="15"/>
      <c r="O12" s="23" t="s">
        <v>585</v>
      </c>
      <c r="P12" s="29">
        <f>SUMIF('MERCADO TUSD'!$H$2:$H$48,"kW",'MERCADO TUSD'!$U$2:$U$48)</f>
        <v>63475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0"/>
      <c r="B13" s="80"/>
      <c r="C13" s="16" t="s">
        <v>505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549</v>
      </c>
      <c r="M13" s="23">
        <v>961.81609956123668</v>
      </c>
      <c r="N13" s="15"/>
      <c r="O13" s="23" t="s">
        <v>586</v>
      </c>
      <c r="P13" s="29">
        <f>SUMIF('MERCADO TUSD'!$H$2:$H$48,"MWh",'MERCADO TUSD'!$U$2:$U$48)</f>
        <v>60357.131999999991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0"/>
      <c r="B14" s="80"/>
      <c r="C14" s="16" t="s">
        <v>506</v>
      </c>
      <c r="D14" s="13"/>
      <c r="E14" s="13"/>
      <c r="F14" s="13"/>
      <c r="G14" s="15"/>
      <c r="H14" s="15"/>
      <c r="I14" s="15"/>
      <c r="J14" s="15"/>
      <c r="K14" s="15"/>
      <c r="L14" s="23" t="s">
        <v>550</v>
      </c>
      <c r="M14" s="23">
        <v>191.53557565088988</v>
      </c>
      <c r="N14" s="15"/>
      <c r="O14" s="23" t="s">
        <v>587</v>
      </c>
      <c r="P14" s="29">
        <f>SUMIF('MERCADO TE'!$H$2:$H$38,"MWh",'MERCADO TE'!$U$2:$U$38)</f>
        <v>57104.937999999987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0"/>
      <c r="B15" s="80"/>
      <c r="C15" s="16" t="s">
        <v>507</v>
      </c>
      <c r="D15" s="13">
        <v>7916132.6110183997</v>
      </c>
      <c r="E15" s="13">
        <v>221553.17760410844</v>
      </c>
      <c r="F15" s="13">
        <v>0</v>
      </c>
      <c r="G15" s="15"/>
      <c r="H15" s="15"/>
      <c r="I15" s="15"/>
      <c r="J15" s="15"/>
      <c r="K15" s="15"/>
      <c r="L15" s="23" t="s">
        <v>551</v>
      </c>
      <c r="M15" s="23">
        <f>M14*M12</f>
        <v>11929083.902712373</v>
      </c>
      <c r="N15" s="15"/>
      <c r="O15" s="23" t="s">
        <v>588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0"/>
      <c r="B16" s="80"/>
      <c r="C16" s="16" t="s">
        <v>508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552</v>
      </c>
      <c r="M16" s="23">
        <v>-7071614.0732077817</v>
      </c>
      <c r="N16" s="15"/>
      <c r="O16" s="23" t="s">
        <v>589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0"/>
      <c r="B17" s="80"/>
      <c r="C17" s="16" t="s">
        <v>509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553</v>
      </c>
      <c r="M17" s="23">
        <v>0</v>
      </c>
      <c r="N17" s="15"/>
      <c r="O17" s="23" t="s">
        <v>590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0"/>
      <c r="B18" s="81"/>
      <c r="C18" s="16" t="s">
        <v>501</v>
      </c>
      <c r="D18" s="13">
        <f>SUM(D$11:D17)</f>
        <v>7916132.6110183997</v>
      </c>
      <c r="E18" s="13">
        <f>SUM(E$11:E17)</f>
        <v>221553.17760410844</v>
      </c>
      <c r="F18" s="13">
        <f>SUM(F$11:F17)</f>
        <v>0</v>
      </c>
      <c r="G18" s="15"/>
      <c r="H18" s="15"/>
      <c r="I18" s="15"/>
      <c r="J18" s="15"/>
      <c r="K18" s="15"/>
      <c r="L18" s="23" t="s">
        <v>554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0"/>
      <c r="B19" s="79" t="s">
        <v>510</v>
      </c>
      <c r="C19" s="16" t="s">
        <v>511</v>
      </c>
      <c r="D19" s="13">
        <v>23425104.43</v>
      </c>
      <c r="E19" s="13">
        <v>-96886.197785623372</v>
      </c>
      <c r="F19" s="13">
        <v>0</v>
      </c>
      <c r="G19" s="15"/>
      <c r="H19" s="15"/>
      <c r="I19" s="15"/>
      <c r="J19" s="15"/>
      <c r="K19" s="15"/>
      <c r="L19" s="23" t="s">
        <v>555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0"/>
      <c r="B20" s="81"/>
      <c r="C20" s="16" t="s">
        <v>501</v>
      </c>
      <c r="D20" s="13">
        <f>SUM(D$19:D19)</f>
        <v>23425104.43</v>
      </c>
      <c r="E20" s="13">
        <f>SUM(E$19:E19)</f>
        <v>-96886.197785623372</v>
      </c>
      <c r="F20" s="13">
        <f>SUM(F$19:F19)</f>
        <v>0</v>
      </c>
      <c r="G20" s="15"/>
      <c r="H20" s="15"/>
      <c r="I20" s="15"/>
      <c r="J20" s="15"/>
      <c r="K20" s="15"/>
      <c r="L20" s="23" t="s">
        <v>556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0"/>
      <c r="B21" s="79" t="s">
        <v>512</v>
      </c>
      <c r="C21" s="16" t="s">
        <v>513</v>
      </c>
      <c r="D21" s="13"/>
      <c r="E21" s="13">
        <f>IF($D$47&lt;&gt;0,(1-$D$46/$D$47)*-544935.04,0)+0</f>
        <v>-424264.20941657806</v>
      </c>
      <c r="F21" s="13"/>
      <c r="G21" s="15"/>
      <c r="H21" s="15"/>
      <c r="I21" s="15"/>
      <c r="J21" s="15"/>
      <c r="K21" s="15"/>
      <c r="L21" s="23" t="s">
        <v>557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0"/>
      <c r="B22" s="80"/>
      <c r="C22" s="16" t="s">
        <v>514</v>
      </c>
      <c r="D22" s="13"/>
      <c r="E22" s="13"/>
      <c r="F22" s="13"/>
      <c r="G22" s="15"/>
      <c r="H22" s="15"/>
      <c r="I22" s="15"/>
      <c r="J22" s="15"/>
      <c r="K22" s="15"/>
      <c r="L22" s="23" t="s">
        <v>579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0"/>
      <c r="B23" s="81"/>
      <c r="C23" s="16" t="s">
        <v>501</v>
      </c>
      <c r="D23" s="13">
        <f>SUM(D$21:D22)</f>
        <v>0</v>
      </c>
      <c r="E23" s="13">
        <f>SUM(E$21:E22)</f>
        <v>-424264.20941657806</v>
      </c>
      <c r="F23" s="13">
        <f>SUM(F$21:F22)</f>
        <v>0</v>
      </c>
      <c r="G23" s="15"/>
      <c r="H23" s="15"/>
      <c r="I23" s="15"/>
      <c r="J23" s="15"/>
      <c r="K23" s="15"/>
      <c r="L23" s="23" t="s">
        <v>558</v>
      </c>
      <c r="M23" s="23">
        <v>12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0"/>
      <c r="B24" s="79" t="s">
        <v>515</v>
      </c>
      <c r="C24" s="16" t="s">
        <v>516</v>
      </c>
      <c r="D24" s="13">
        <f>$M$14*$M$8</f>
        <v>991456.7303740012</v>
      </c>
      <c r="E24" s="13">
        <f>$M$16*$M$8/$M$12</f>
        <v>-587739.9660082187</v>
      </c>
      <c r="F24" s="13">
        <f>$M$17*$M$8/$M$12</f>
        <v>0</v>
      </c>
      <c r="G24" s="15"/>
      <c r="H24" s="15"/>
      <c r="I24" s="15"/>
      <c r="J24" s="15"/>
      <c r="K24" s="15"/>
      <c r="L24" s="23" t="s">
        <v>559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0"/>
      <c r="B25" s="80"/>
      <c r="C25" s="16" t="s">
        <v>517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560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0"/>
      <c r="B26" s="80"/>
      <c r="C26" s="16" t="s">
        <v>518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561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0"/>
      <c r="B27" s="80"/>
      <c r="C27" s="16" t="s">
        <v>519</v>
      </c>
      <c r="D27" s="13"/>
      <c r="E27" s="13"/>
      <c r="F27" s="13"/>
      <c r="G27" s="15"/>
      <c r="H27" s="15"/>
      <c r="I27" s="15"/>
      <c r="J27" s="15"/>
      <c r="K27" s="15"/>
      <c r="L27" s="23" t="s">
        <v>562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0"/>
      <c r="B28" s="81"/>
      <c r="C28" s="16" t="s">
        <v>501</v>
      </c>
      <c r="D28" s="13">
        <f>SUM(D$24:D27)</f>
        <v>991456.7303740012</v>
      </c>
      <c r="E28" s="13">
        <f>SUM(E$24:E27)</f>
        <v>-587739.9660082187</v>
      </c>
      <c r="F28" s="13">
        <f>SUM(F$24:F27)</f>
        <v>0</v>
      </c>
      <c r="G28" s="15"/>
      <c r="H28" s="15"/>
      <c r="I28" s="15"/>
      <c r="J28" s="15"/>
      <c r="K28" s="15"/>
      <c r="L28" s="23" t="s">
        <v>563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1"/>
      <c r="B29" s="82" t="s">
        <v>501</v>
      </c>
      <c r="C29" s="83"/>
      <c r="D29" s="13">
        <f>SUMIF(C$2:C28,"SUBTOTAL",D$2:D28)</f>
        <v>38455389.117069162</v>
      </c>
      <c r="E29" s="13">
        <f>SUMIF(C$2:C28,"SUBTOTAL",E$2:E28)</f>
        <v>-1095221.9459643441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564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79" t="s">
        <v>520</v>
      </c>
      <c r="B30" s="79" t="s">
        <v>493</v>
      </c>
      <c r="C30" s="16" t="s">
        <v>495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565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0"/>
      <c r="B31" s="80"/>
      <c r="C31" s="16" t="s">
        <v>521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566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0"/>
      <c r="B32" s="80"/>
      <c r="C32" s="16" t="s">
        <v>522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567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0"/>
      <c r="B33" s="80"/>
      <c r="C33" s="16" t="s">
        <v>581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568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0"/>
      <c r="B34" s="80"/>
      <c r="C34" s="16" t="s">
        <v>523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569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0"/>
      <c r="B35" s="81"/>
      <c r="C35" s="16" t="s">
        <v>501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3" t="s">
        <v>570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0"/>
      <c r="B36" s="79" t="s">
        <v>524</v>
      </c>
      <c r="C36" s="16" t="s">
        <v>525</v>
      </c>
      <c r="D36" s="13">
        <f>$M$14*($M$12-$M$7)</f>
        <v>10937627.172338372</v>
      </c>
      <c r="E36" s="13">
        <f>$M$16*($M$12-$M$7)/$M$12</f>
        <v>-6483874.1071995627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571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0"/>
      <c r="B37" s="81"/>
      <c r="C37" s="16" t="s">
        <v>501</v>
      </c>
      <c r="D37" s="13">
        <f>SUM(D$36:D36)</f>
        <v>10937627.172338372</v>
      </c>
      <c r="E37" s="13">
        <f>SUM(E$36:E36)</f>
        <v>-6483874.1071995627</v>
      </c>
      <c r="F37" s="13">
        <f>SUM(F$36:F36)</f>
        <v>0</v>
      </c>
      <c r="G37" s="15"/>
      <c r="H37" s="15"/>
      <c r="I37" s="15"/>
      <c r="J37" s="15"/>
      <c r="K37" s="15"/>
      <c r="L37" s="23" t="s">
        <v>572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0"/>
      <c r="B38" s="79" t="s">
        <v>502</v>
      </c>
      <c r="C38" s="16" t="s">
        <v>526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573</v>
      </c>
      <c r="M38" s="23">
        <f>IFERROR(VLOOKUP("Convencional1RuralNão se aplicaRURALB2",Descontos!B1:U88,VLOOKUP("Convencional1RuralNão se aplicaRURALB2",Descontos!B1:U88,20,FALSE)+12,FALSE),100)</f>
        <v>7.0000000000000007E-2</v>
      </c>
      <c r="N38" s="15" t="s">
        <v>630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0"/>
      <c r="B39" s="80"/>
      <c r="C39" s="16" t="s">
        <v>527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574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5.9999999999999984E-2</v>
      </c>
      <c r="N39" s="15">
        <v>0.3</v>
      </c>
      <c r="O39" s="15" t="s">
        <v>647</v>
      </c>
      <c r="P39" s="15" t="s">
        <v>648</v>
      </c>
      <c r="Q39" s="15" t="s">
        <v>649</v>
      </c>
      <c r="R39" s="15" t="s">
        <v>650</v>
      </c>
      <c r="S39" s="15" t="s">
        <v>1</v>
      </c>
      <c r="T39" s="15" t="s">
        <v>651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80"/>
      <c r="B40" s="80"/>
      <c r="C40" s="16" t="s">
        <v>528</v>
      </c>
      <c r="D40" s="13"/>
      <c r="E40" s="13"/>
      <c r="F40" s="13"/>
      <c r="G40" s="15"/>
      <c r="H40" s="15"/>
      <c r="I40" s="15"/>
      <c r="J40" s="15"/>
      <c r="K40" s="15"/>
      <c r="L40" s="23" t="s">
        <v>575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7.9999999999999988E-2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80"/>
      <c r="B41" s="81"/>
      <c r="C41" s="16" t="s">
        <v>501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80"/>
      <c r="B42" s="79" t="s">
        <v>512</v>
      </c>
      <c r="C42" s="16" t="s">
        <v>513</v>
      </c>
      <c r="D42" s="13"/>
      <c r="E42" s="13">
        <f>IF($D$47&lt;&gt;0,($D$46/$D$47)* -544935.04,0)+0</f>
        <v>-120670.83058342196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80"/>
      <c r="B43" s="81"/>
      <c r="C43" s="16" t="s">
        <v>501</v>
      </c>
      <c r="D43" s="13">
        <f>SUM(D$42:D42)</f>
        <v>0</v>
      </c>
      <c r="E43" s="13">
        <f>SUM(E$42:E42)</f>
        <v>-120670.83058342196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80"/>
      <c r="B44" s="79" t="s">
        <v>515</v>
      </c>
      <c r="C44" s="16" t="s">
        <v>529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80"/>
      <c r="B45" s="81"/>
      <c r="C45" s="16" t="s">
        <v>501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81"/>
      <c r="B46" s="82" t="s">
        <v>501</v>
      </c>
      <c r="C46" s="83"/>
      <c r="D46" s="13">
        <f>SUMIF(C$30:C45,"SUBTOTAL",D$30:D45)</f>
        <v>10937627.172338372</v>
      </c>
      <c r="E46" s="13">
        <f>SUMIF(C$30:C45,"SUBTOTAL",E$30:E45)</f>
        <v>-6604544.9377829842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82" t="s">
        <v>530</v>
      </c>
      <c r="B47" s="88"/>
      <c r="C47" s="83"/>
      <c r="D47" s="13">
        <f>SUMIF(C$2:C46,"SUBTOTAL",D$2:D46)</f>
        <v>49393016.289407536</v>
      </c>
      <c r="E47" s="13">
        <f>SUMIF(C$2:C46,"SUBTOTAL",E$2:E46)</f>
        <v>-7699766.8837473281</v>
      </c>
      <c r="F47" s="13">
        <f>SUMIF(C$2:C46,"SUBTOTAL",F$2:F46)</f>
        <v>0</v>
      </c>
      <c r="G47" s="15">
        <f>D47+E47</f>
        <v>41693249.405660212</v>
      </c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86" t="s">
        <v>622</v>
      </c>
      <c r="B48" s="87"/>
      <c r="C48" s="87"/>
      <c r="D48" s="26">
        <f ca="1">'TUSD BE'!$AM$53+'TUSD BE'!$AM$57+'TE BE'!$AB$43</f>
        <v>49393016.289407544</v>
      </c>
      <c r="E48" s="26">
        <f ca="1">'TUSD BF'!$AM$53+'TE BF'!$AB$43</f>
        <v>-7699766.8837473299</v>
      </c>
      <c r="F48" s="26">
        <f ca="1">'TUSD CVA'!$AM$53+'TE CVA'!$AB$43</f>
        <v>0</v>
      </c>
      <c r="G48" s="60">
        <f ca="1">EFEITO!AU9+SUBSIDIO!AJ2+SUBSIDIO!AJ5+SUBSIDIO!AJ6+SUBSIDIO!AJ8</f>
        <v>41693249.405659795</v>
      </c>
      <c r="L48" s="59"/>
      <c r="M48" s="23"/>
      <c r="O48" s="33"/>
      <c r="P48" s="33"/>
      <c r="Q48" s="33"/>
      <c r="R48" s="33"/>
      <c r="S48" s="33"/>
      <c r="T48" s="33"/>
    </row>
    <row r="49" spans="1:20" ht="12" customHeight="1" x14ac:dyDescent="0.3">
      <c r="A49" s="86" t="s">
        <v>623</v>
      </c>
      <c r="B49" s="87"/>
      <c r="C49" s="87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G49" s="60">
        <f ca="1">G47-G48</f>
        <v>4.1723251342773438E-7</v>
      </c>
      <c r="L49" s="59"/>
      <c r="M49" s="23"/>
      <c r="O49" s="33"/>
      <c r="P49" s="33"/>
      <c r="Q49" s="33"/>
      <c r="R49" s="33"/>
      <c r="S49" s="33"/>
      <c r="T49" s="33"/>
    </row>
    <row r="50" spans="1:20" ht="12" customHeight="1" x14ac:dyDescent="0.3">
      <c r="L50" s="59"/>
      <c r="M50" s="23"/>
      <c r="O50" s="33"/>
      <c r="P50" s="33"/>
      <c r="Q50" s="33"/>
      <c r="R50" s="33"/>
      <c r="S50" s="33"/>
      <c r="T50" s="33"/>
    </row>
    <row r="51" spans="1:20" ht="12" customHeight="1" x14ac:dyDescent="0.3">
      <c r="D51" s="14">
        <v>49393016.289407536</v>
      </c>
      <c r="E51" s="14">
        <v>-7699766.883747329</v>
      </c>
      <c r="L51" s="50" t="s">
        <v>576</v>
      </c>
      <c r="M51" s="56">
        <v>0</v>
      </c>
      <c r="O51" s="33"/>
      <c r="P51" s="33"/>
      <c r="Q51" s="33"/>
      <c r="R51" s="33"/>
      <c r="S51" s="33"/>
      <c r="T51" s="33"/>
    </row>
    <row r="52" spans="1:20" ht="12" customHeight="1" x14ac:dyDescent="0.3">
      <c r="D52" s="60">
        <f ca="1">D48-D51</f>
        <v>0</v>
      </c>
      <c r="E52" s="60">
        <f ca="1">E48-E51</f>
        <v>0</v>
      </c>
      <c r="O52" s="33"/>
      <c r="P52" s="33"/>
      <c r="Q52" s="33"/>
      <c r="R52" s="33"/>
      <c r="S52" s="33"/>
      <c r="T52" s="33"/>
    </row>
    <row r="53" spans="1:20" ht="12" customHeight="1" x14ac:dyDescent="0.3">
      <c r="O53" s="33"/>
      <c r="P53" s="33"/>
      <c r="Q53" s="33"/>
      <c r="R53" s="33"/>
      <c r="S53" s="33"/>
      <c r="T53" s="33"/>
    </row>
    <row r="54" spans="1:20" ht="12" customHeight="1" x14ac:dyDescent="0.3">
      <c r="O54" s="33"/>
      <c r="P54" s="33"/>
      <c r="Q54" s="33"/>
      <c r="R54" s="33"/>
      <c r="S54" s="33"/>
      <c r="T54" s="33"/>
    </row>
    <row r="55" spans="1:20" ht="12" customHeight="1" x14ac:dyDescent="0.3">
      <c r="O55" s="33"/>
      <c r="P55" s="33"/>
      <c r="Q55" s="33"/>
      <c r="R55" s="33"/>
      <c r="S55" s="33"/>
      <c r="T55" s="33"/>
    </row>
    <row r="56" spans="1:20" ht="12" customHeight="1" x14ac:dyDescent="0.3">
      <c r="O56" s="33"/>
      <c r="P56" s="33"/>
      <c r="Q56" s="33"/>
      <c r="R56" s="33"/>
      <c r="S56" s="33"/>
      <c r="T56" s="33"/>
    </row>
    <row r="57" spans="1:20" ht="12" customHeight="1" x14ac:dyDescent="0.3">
      <c r="O57" s="33"/>
      <c r="P57" s="33"/>
      <c r="Q57" s="33"/>
      <c r="R57" s="33"/>
      <c r="S57" s="33"/>
      <c r="T57" s="33"/>
    </row>
    <row r="58" spans="1:20" ht="12" customHeight="1" x14ac:dyDescent="0.3">
      <c r="O58" s="33"/>
      <c r="P58" s="33"/>
      <c r="Q58" s="33"/>
      <c r="R58" s="33"/>
      <c r="S58" s="33"/>
      <c r="T58" s="33"/>
    </row>
    <row r="59" spans="1:20" ht="12" customHeight="1" x14ac:dyDescent="0.3">
      <c r="O59" s="33"/>
      <c r="P59" s="33"/>
      <c r="Q59" s="33"/>
      <c r="R59" s="33"/>
      <c r="S59" s="33"/>
      <c r="T59" s="33"/>
    </row>
    <row r="60" spans="1:20" ht="12" customHeight="1" x14ac:dyDescent="0.3">
      <c r="O60" s="33"/>
      <c r="P60" s="33"/>
      <c r="Q60" s="33"/>
      <c r="R60" s="33"/>
      <c r="S60" s="33"/>
      <c r="T60" s="33"/>
    </row>
    <row r="61" spans="1:20" ht="12" customHeight="1" x14ac:dyDescent="0.3">
      <c r="O61" s="33"/>
      <c r="P61" s="33"/>
      <c r="Q61" s="33"/>
      <c r="R61" s="33"/>
      <c r="S61" s="33"/>
      <c r="T61" s="33"/>
    </row>
    <row r="62" spans="1:20" ht="12" customHeight="1" x14ac:dyDescent="0.3">
      <c r="O62" s="33"/>
      <c r="P62" s="33"/>
      <c r="Q62" s="33"/>
      <c r="R62" s="33"/>
      <c r="S62" s="33"/>
      <c r="T62" s="33"/>
    </row>
    <row r="63" spans="1:20" ht="12" customHeight="1" x14ac:dyDescent="0.3">
      <c r="O63" s="33"/>
      <c r="P63" s="33"/>
      <c r="Q63" s="33"/>
      <c r="R63" s="33"/>
      <c r="S63" s="33"/>
      <c r="T63" s="33"/>
    </row>
    <row r="64" spans="1:20" ht="12" customHeight="1" x14ac:dyDescent="0.3">
      <c r="O64" s="33"/>
      <c r="P64" s="33"/>
      <c r="Q64" s="33"/>
      <c r="R64" s="33"/>
      <c r="S64" s="33"/>
      <c r="T64" s="33"/>
    </row>
    <row r="65" spans="15:20" ht="12" customHeight="1" x14ac:dyDescent="0.3">
      <c r="O65" s="33"/>
      <c r="P65" s="33"/>
      <c r="Q65" s="33"/>
      <c r="R65" s="33"/>
      <c r="S65" s="33"/>
      <c r="T65" s="33"/>
    </row>
    <row r="66" spans="15:20" ht="12" customHeight="1" x14ac:dyDescent="0.3">
      <c r="O66" s="33"/>
      <c r="P66" s="33"/>
      <c r="Q66" s="33"/>
      <c r="R66" s="33"/>
      <c r="S66" s="33"/>
      <c r="T66" s="33"/>
    </row>
    <row r="67" spans="15:20" ht="12" customHeight="1" x14ac:dyDescent="0.3">
      <c r="O67" s="33"/>
      <c r="P67" s="33"/>
      <c r="Q67" s="33"/>
      <c r="R67" s="33"/>
      <c r="S67" s="33"/>
      <c r="T67" s="33"/>
    </row>
    <row r="68" spans="15:20" ht="12" customHeight="1" x14ac:dyDescent="0.3">
      <c r="O68" s="33"/>
      <c r="P68" s="33"/>
      <c r="Q68" s="33"/>
      <c r="R68" s="33"/>
      <c r="S68" s="33"/>
      <c r="T68" s="33"/>
    </row>
    <row r="69" spans="15:20" ht="12" customHeight="1" x14ac:dyDescent="0.3">
      <c r="O69" s="33"/>
      <c r="P69" s="33"/>
      <c r="Q69" s="33"/>
      <c r="R69" s="33"/>
      <c r="S69" s="33"/>
      <c r="T69" s="33"/>
    </row>
    <row r="70" spans="15:20" ht="12" customHeight="1" x14ac:dyDescent="0.3">
      <c r="O70" s="33"/>
      <c r="P70" s="33"/>
      <c r="Q70" s="33"/>
      <c r="R70" s="33"/>
      <c r="S70" s="33"/>
      <c r="T70" s="33"/>
    </row>
    <row r="71" spans="15:20" ht="12" customHeight="1" x14ac:dyDescent="0.3">
      <c r="O71" s="33"/>
      <c r="P71" s="33"/>
      <c r="Q71" s="33"/>
      <c r="R71" s="33"/>
      <c r="S71" s="33"/>
      <c r="T71" s="33"/>
    </row>
    <row r="72" spans="15:20" ht="12" customHeight="1" x14ac:dyDescent="0.3">
      <c r="O72" s="33"/>
      <c r="P72" s="33"/>
      <c r="Q72" s="33"/>
      <c r="R72" s="33"/>
      <c r="S72" s="33"/>
      <c r="T72" s="33"/>
    </row>
    <row r="73" spans="15:20" ht="12" customHeight="1" x14ac:dyDescent="0.3">
      <c r="O73" s="33"/>
      <c r="P73" s="33"/>
      <c r="Q73" s="33"/>
      <c r="R73" s="33"/>
      <c r="S73" s="33"/>
      <c r="T73" s="33"/>
    </row>
    <row r="74" spans="15:20" ht="12" customHeight="1" x14ac:dyDescent="0.3">
      <c r="O74" s="33"/>
      <c r="P74" s="33"/>
      <c r="Q74" s="33"/>
      <c r="R74" s="33"/>
      <c r="S74" s="33"/>
      <c r="T74" s="33"/>
    </row>
    <row r="75" spans="15:20" ht="12" customHeight="1" x14ac:dyDescent="0.3">
      <c r="O75" s="33"/>
      <c r="P75" s="33"/>
      <c r="Q75" s="33"/>
      <c r="R75" s="33"/>
      <c r="S75" s="33"/>
      <c r="T75" s="33"/>
    </row>
    <row r="76" spans="15:20" ht="12" customHeight="1" x14ac:dyDescent="0.3">
      <c r="O76" s="33"/>
      <c r="P76" s="33"/>
      <c r="Q76" s="33"/>
      <c r="R76" s="33"/>
      <c r="S76" s="33"/>
      <c r="T76" s="33"/>
    </row>
    <row r="77" spans="15:20" ht="12" customHeight="1" x14ac:dyDescent="0.3">
      <c r="O77" s="33"/>
      <c r="P77" s="33"/>
      <c r="Q77" s="33"/>
      <c r="R77" s="33"/>
      <c r="S77" s="33"/>
      <c r="T77" s="33"/>
    </row>
    <row r="78" spans="15:20" ht="12" customHeight="1" x14ac:dyDescent="0.3">
      <c r="O78" s="33"/>
      <c r="P78" s="33"/>
      <c r="Q78" s="33"/>
      <c r="R78" s="33"/>
      <c r="S78" s="33"/>
      <c r="T78" s="33"/>
    </row>
    <row r="79" spans="15:20" ht="12" customHeight="1" x14ac:dyDescent="0.3">
      <c r="O79" s="33"/>
      <c r="P79" s="33"/>
      <c r="Q79" s="33"/>
      <c r="R79" s="33"/>
      <c r="S79" s="33"/>
      <c r="T79" s="33"/>
    </row>
    <row r="80" spans="15:20" ht="12" customHeight="1" x14ac:dyDescent="0.3">
      <c r="O80" s="33"/>
      <c r="P80" s="33"/>
      <c r="Q80" s="33"/>
      <c r="R80" s="33"/>
      <c r="S80" s="33"/>
      <c r="T80" s="33"/>
    </row>
    <row r="81" spans="15:20" ht="12" customHeight="1" x14ac:dyDescent="0.3">
      <c r="O81" s="33"/>
      <c r="P81" s="33"/>
      <c r="Q81" s="33"/>
      <c r="R81" s="33"/>
      <c r="S81" s="33"/>
      <c r="T81" s="33"/>
    </row>
    <row r="82" spans="15:20" ht="12" customHeight="1" x14ac:dyDescent="0.3">
      <c r="O82" s="33"/>
      <c r="P82" s="33"/>
      <c r="Q82" s="33"/>
      <c r="R82" s="33"/>
      <c r="S82" s="33"/>
      <c r="T82" s="33"/>
    </row>
    <row r="83" spans="15:20" ht="12" customHeight="1" x14ac:dyDescent="0.3">
      <c r="O83" s="33"/>
      <c r="P83" s="33"/>
      <c r="Q83" s="33"/>
      <c r="R83" s="33"/>
      <c r="S83" s="33"/>
      <c r="T83" s="33"/>
    </row>
    <row r="84" spans="15:20" ht="12" customHeight="1" x14ac:dyDescent="0.3">
      <c r="O84" s="33"/>
      <c r="P84" s="33"/>
      <c r="Q84" s="33"/>
      <c r="R84" s="33"/>
      <c r="S84" s="33"/>
      <c r="T84" s="33"/>
    </row>
    <row r="85" spans="15:20" ht="12" customHeight="1" x14ac:dyDescent="0.3">
      <c r="O85" s="33"/>
      <c r="P85" s="33"/>
      <c r="Q85" s="33"/>
      <c r="R85" s="33"/>
      <c r="S85" s="33"/>
      <c r="T85" s="33"/>
    </row>
    <row r="86" spans="15:20" ht="12" customHeight="1" x14ac:dyDescent="0.3">
      <c r="O86" s="33"/>
      <c r="P86" s="33"/>
      <c r="Q86" s="33"/>
      <c r="R86" s="33"/>
      <c r="S86" s="33"/>
      <c r="T86" s="33"/>
    </row>
    <row r="87" spans="15:20" ht="12" customHeight="1" x14ac:dyDescent="0.3">
      <c r="O87" s="33"/>
      <c r="P87" s="33"/>
      <c r="Q87" s="33"/>
      <c r="R87" s="33"/>
      <c r="S87" s="33"/>
      <c r="T87" s="33"/>
    </row>
    <row r="88" spans="15:20" ht="12" customHeight="1" x14ac:dyDescent="0.3">
      <c r="O88" s="33"/>
      <c r="P88" s="33"/>
      <c r="Q88" s="33"/>
      <c r="R88" s="33"/>
      <c r="S88" s="33"/>
      <c r="T88" s="33"/>
    </row>
    <row r="89" spans="15:20" ht="12" customHeight="1" x14ac:dyDescent="0.3">
      <c r="O89" s="33"/>
      <c r="P89" s="33"/>
      <c r="Q89" s="33"/>
      <c r="R89" s="33"/>
      <c r="S89" s="33"/>
      <c r="T89" s="33"/>
    </row>
    <row r="90" spans="15:20" ht="12" customHeight="1" x14ac:dyDescent="0.3">
      <c r="O90" s="33"/>
      <c r="P90" s="33"/>
      <c r="Q90" s="33"/>
      <c r="R90" s="33"/>
      <c r="S90" s="33"/>
      <c r="T90" s="33"/>
    </row>
    <row r="91" spans="15:20" ht="12" customHeight="1" x14ac:dyDescent="0.3">
      <c r="O91" s="33"/>
      <c r="P91" s="33"/>
      <c r="Q91" s="33"/>
      <c r="R91" s="33"/>
      <c r="S91" s="33"/>
      <c r="T91" s="33"/>
    </row>
    <row r="92" spans="15:20" ht="12" customHeight="1" x14ac:dyDescent="0.3">
      <c r="O92" s="33"/>
      <c r="P92" s="33"/>
      <c r="Q92" s="33"/>
      <c r="R92" s="33"/>
      <c r="S92" s="33"/>
      <c r="T92" s="33"/>
    </row>
    <row r="93" spans="15:20" ht="12" customHeight="1" x14ac:dyDescent="0.3">
      <c r="O93" s="33"/>
      <c r="P93" s="33"/>
      <c r="Q93" s="33"/>
      <c r="R93" s="33"/>
      <c r="S93" s="33"/>
      <c r="T93" s="33"/>
    </row>
    <row r="94" spans="15:20" ht="12" customHeight="1" x14ac:dyDescent="0.3">
      <c r="O94" s="33"/>
      <c r="P94" s="33"/>
      <c r="Q94" s="33"/>
      <c r="R94" s="33"/>
      <c r="S94" s="33"/>
      <c r="T94" s="33"/>
    </row>
    <row r="95" spans="15:20" ht="12" customHeight="1" x14ac:dyDescent="0.3">
      <c r="O95" s="33"/>
      <c r="P95" s="33"/>
      <c r="Q95" s="33"/>
      <c r="R95" s="33"/>
      <c r="S95" s="33"/>
      <c r="T95" s="33"/>
    </row>
    <row r="96" spans="15:20" ht="12" customHeight="1" x14ac:dyDescent="0.3">
      <c r="O96" s="33"/>
      <c r="P96" s="33"/>
      <c r="Q96" s="33"/>
      <c r="R96" s="33"/>
      <c r="S96" s="33"/>
      <c r="T96" s="33"/>
    </row>
    <row r="97" spans="15:30" ht="12" customHeight="1" x14ac:dyDescent="0.3">
      <c r="O97" s="33"/>
      <c r="P97" s="33"/>
      <c r="Q97" s="33"/>
      <c r="R97" s="33"/>
      <c r="S97" s="33"/>
      <c r="T97" s="33"/>
    </row>
    <row r="98" spans="15:30" ht="12" customHeight="1" x14ac:dyDescent="0.3">
      <c r="O98" s="33"/>
      <c r="P98" s="33"/>
      <c r="Q98" s="33"/>
      <c r="R98" s="33"/>
      <c r="S98" s="33"/>
      <c r="T98" s="33"/>
    </row>
    <row r="99" spans="15:30" ht="12" customHeight="1" x14ac:dyDescent="0.3">
      <c r="O99" s="32"/>
      <c r="P99" s="32"/>
      <c r="Q99" s="32"/>
      <c r="R99" s="32"/>
      <c r="S99" s="32"/>
      <c r="T99" s="32"/>
    </row>
    <row r="100" spans="15:30" ht="12" customHeight="1" x14ac:dyDescent="0.3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3">
      <c r="O101" s="33" t="s">
        <v>647</v>
      </c>
      <c r="P101" s="33" t="s">
        <v>652</v>
      </c>
      <c r="Q101" s="33" t="s">
        <v>653</v>
      </c>
      <c r="R101" s="33" t="s">
        <v>654</v>
      </c>
      <c r="S101" s="33" t="s">
        <v>655</v>
      </c>
      <c r="T101" s="33" t="s">
        <v>656</v>
      </c>
      <c r="U101" s="33" t="s">
        <v>657</v>
      </c>
      <c r="V101" s="33" t="s">
        <v>658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3">
      <c r="O102" s="33" t="s">
        <v>38</v>
      </c>
      <c r="P102" s="33" t="s">
        <v>23</v>
      </c>
      <c r="Q102" s="33" t="s">
        <v>42</v>
      </c>
      <c r="R102" s="33" t="s">
        <v>43</v>
      </c>
      <c r="S102" s="33" t="s">
        <v>25</v>
      </c>
      <c r="T102" s="33" t="s">
        <v>43</v>
      </c>
      <c r="U102" s="33">
        <v>4</v>
      </c>
      <c r="V102" s="33">
        <v>0.35</v>
      </c>
      <c r="W102" s="33">
        <v>0.28000000000000003</v>
      </c>
      <c r="X102" s="33">
        <v>0.21</v>
      </c>
      <c r="Y102" s="33">
        <v>0.14000000000000001</v>
      </c>
      <c r="Z102" s="33">
        <v>7.0000000000000007E-2</v>
      </c>
      <c r="AA102" s="33">
        <v>0</v>
      </c>
      <c r="AB102" s="33"/>
      <c r="AC102" s="33"/>
      <c r="AD102" s="33"/>
    </row>
    <row r="103" spans="15:30" ht="12" customHeight="1" x14ac:dyDescent="0.3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3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3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3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3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3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3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3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3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3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3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3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3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3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3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3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3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3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3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3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3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3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3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3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3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3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3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3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3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3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3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3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3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3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3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3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3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3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3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3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3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3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3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3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3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3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3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3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3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3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3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3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3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3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3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3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3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3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3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3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3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3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3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3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3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3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3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3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3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3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3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3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3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3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3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3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3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3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3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3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3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3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3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3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3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3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3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3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3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3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3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3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3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3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3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3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3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3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  <mergeCell ref="O1:U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643B-B969-4715-8DC1-A32F32AE5E60}">
  <dimension ref="A1:AP51"/>
  <sheetViews>
    <sheetView showGridLines="0" topLeftCell="C36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457</v>
      </c>
      <c r="B1" s="91" t="s">
        <v>458</v>
      </c>
      <c r="C1" s="91" t="s">
        <v>459</v>
      </c>
      <c r="D1" s="91" t="s">
        <v>460</v>
      </c>
      <c r="E1" s="91" t="s">
        <v>461</v>
      </c>
      <c r="F1" s="91" t="s">
        <v>15</v>
      </c>
      <c r="G1" s="91" t="s">
        <v>463</v>
      </c>
      <c r="H1" s="91" t="s">
        <v>464</v>
      </c>
      <c r="I1" s="91" t="s">
        <v>593</v>
      </c>
      <c r="J1" s="84"/>
      <c r="L1" s="92" t="s">
        <v>594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595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492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493</v>
      </c>
      <c r="M3" s="92"/>
      <c r="N3" s="92"/>
      <c r="O3" s="92"/>
      <c r="P3" s="92"/>
      <c r="Q3" s="92"/>
      <c r="R3" s="92"/>
      <c r="S3" s="92"/>
      <c r="T3" s="92"/>
      <c r="U3" s="92" t="s">
        <v>502</v>
      </c>
      <c r="V3" s="92"/>
      <c r="W3" s="92"/>
      <c r="X3" s="92"/>
      <c r="Y3" s="92"/>
      <c r="Z3" s="92"/>
      <c r="AA3" s="92"/>
      <c r="AB3" s="92"/>
      <c r="AC3" s="92" t="s">
        <v>510</v>
      </c>
      <c r="AD3" s="92"/>
      <c r="AE3" s="92" t="s">
        <v>512</v>
      </c>
      <c r="AF3" s="92"/>
      <c r="AG3" s="92"/>
      <c r="AH3" s="92" t="s">
        <v>515</v>
      </c>
      <c r="AI3" s="92"/>
      <c r="AJ3" s="92"/>
      <c r="AK3" s="92"/>
      <c r="AL3" s="92"/>
      <c r="AM3" s="92" t="s">
        <v>501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578</v>
      </c>
      <c r="M4" s="10" t="s">
        <v>494</v>
      </c>
      <c r="N4" s="10" t="s">
        <v>495</v>
      </c>
      <c r="O4" s="10" t="s">
        <v>496</v>
      </c>
      <c r="P4" s="10" t="s">
        <v>497</v>
      </c>
      <c r="Q4" s="10" t="s">
        <v>498</v>
      </c>
      <c r="R4" s="10" t="s">
        <v>499</v>
      </c>
      <c r="S4" s="10" t="s">
        <v>500</v>
      </c>
      <c r="T4" s="10" t="s">
        <v>501</v>
      </c>
      <c r="U4" s="10" t="s">
        <v>503</v>
      </c>
      <c r="V4" s="10" t="s">
        <v>504</v>
      </c>
      <c r="W4" s="10" t="s">
        <v>505</v>
      </c>
      <c r="X4" s="10" t="s">
        <v>506</v>
      </c>
      <c r="Y4" s="10" t="s">
        <v>507</v>
      </c>
      <c r="Z4" s="10" t="s">
        <v>508</v>
      </c>
      <c r="AA4" s="10" t="s">
        <v>509</v>
      </c>
      <c r="AB4" s="10" t="s">
        <v>501</v>
      </c>
      <c r="AC4" s="10" t="s">
        <v>511</v>
      </c>
      <c r="AD4" s="10" t="s">
        <v>501</v>
      </c>
      <c r="AE4" s="10" t="s">
        <v>513</v>
      </c>
      <c r="AF4" s="10" t="s">
        <v>514</v>
      </c>
      <c r="AG4" s="10" t="s">
        <v>501</v>
      </c>
      <c r="AH4" s="10" t="s">
        <v>516</v>
      </c>
      <c r="AI4" s="10" t="s">
        <v>517</v>
      </c>
      <c r="AJ4" s="10" t="s">
        <v>518</v>
      </c>
      <c r="AK4" s="10" t="s">
        <v>519</v>
      </c>
      <c r="AL4" s="10" t="s">
        <v>501</v>
      </c>
      <c r="AM4" s="94"/>
      <c r="AP4" s="93"/>
    </row>
    <row r="5" spans="1:42" ht="11.25" customHeight="1" x14ac:dyDescent="0.3">
      <c r="A5" s="90" t="s">
        <v>39</v>
      </c>
      <c r="B5" s="90" t="s">
        <v>470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472</v>
      </c>
      <c r="H5" s="18" t="s">
        <v>471</v>
      </c>
      <c r="I5" s="18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40.285299999999999</v>
      </c>
      <c r="Z5" s="13">
        <v>0</v>
      </c>
      <c r="AA5" s="13">
        <v>0</v>
      </c>
      <c r="AB5" s="13"/>
      <c r="AC5" s="13">
        <v>93.763999999999996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3">
      <c r="A6" s="90"/>
      <c r="B6" s="90"/>
      <c r="C6" s="90"/>
      <c r="D6" s="90"/>
      <c r="E6" s="90"/>
      <c r="F6" s="90"/>
      <c r="G6" s="18" t="s">
        <v>473</v>
      </c>
      <c r="H6" s="18" t="s">
        <v>471</v>
      </c>
      <c r="I6" s="18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16.282800000000002</v>
      </c>
      <c r="Z6" s="13">
        <v>0</v>
      </c>
      <c r="AA6" s="13">
        <v>0</v>
      </c>
      <c r="AB6" s="13"/>
      <c r="AC6" s="13">
        <v>26.200800000000001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3">
      <c r="A7" s="90"/>
      <c r="B7" s="90"/>
      <c r="C7" s="90"/>
      <c r="D7" s="90"/>
      <c r="E7" s="90"/>
      <c r="F7" s="90"/>
      <c r="G7" s="18" t="s">
        <v>474</v>
      </c>
      <c r="H7" s="18" t="s">
        <v>467</v>
      </c>
      <c r="I7" s="18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3">
      <c r="A8" s="90"/>
      <c r="B8" s="90"/>
      <c r="C8" s="90"/>
      <c r="D8" s="90"/>
      <c r="E8" s="17" t="s">
        <v>475</v>
      </c>
      <c r="F8" s="17" t="s">
        <v>25</v>
      </c>
      <c r="G8" s="18" t="s">
        <v>474</v>
      </c>
      <c r="H8" s="18" t="s">
        <v>467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3">
      <c r="A9" s="90"/>
      <c r="B9" s="17" t="s">
        <v>476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471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11.853300000000001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3">
      <c r="A10" s="90"/>
      <c r="B10" s="90" t="s">
        <v>40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471</v>
      </c>
      <c r="I10" s="18">
        <f>'MERCADO TUSD'!$U$7</f>
        <v>63475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16.282800000000002</v>
      </c>
      <c r="Z10" s="13">
        <v>0</v>
      </c>
      <c r="AA10" s="13">
        <v>0</v>
      </c>
      <c r="AB10" s="13"/>
      <c r="AC10" s="13">
        <v>26.200800000000001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3">
      <c r="A11" s="90"/>
      <c r="B11" s="90"/>
      <c r="C11" s="90"/>
      <c r="D11" s="90"/>
      <c r="E11" s="90"/>
      <c r="F11" s="90"/>
      <c r="G11" s="18" t="s">
        <v>468</v>
      </c>
      <c r="H11" s="18" t="s">
        <v>467</v>
      </c>
      <c r="I11" s="18">
        <f>'MERCADO TUSD'!$U$8</f>
        <v>409.63599999999997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969.24770000000001</v>
      </c>
      <c r="Z11" s="13">
        <v>0</v>
      </c>
      <c r="AA11" s="13">
        <v>0</v>
      </c>
      <c r="AB11" s="13"/>
      <c r="AC11" s="13">
        <v>2255.0243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3">
      <c r="A12" s="90"/>
      <c r="B12" s="90"/>
      <c r="C12" s="90"/>
      <c r="D12" s="90"/>
      <c r="E12" s="90"/>
      <c r="F12" s="90"/>
      <c r="G12" s="18" t="s">
        <v>469</v>
      </c>
      <c r="H12" s="18" t="s">
        <v>467</v>
      </c>
      <c r="I12" s="18">
        <f>'MERCADO TUSD'!$U$9</f>
        <v>11292.635999999999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3">
      <c r="A13" s="90"/>
      <c r="B13" s="90"/>
      <c r="C13" s="90"/>
      <c r="D13" s="90"/>
      <c r="E13" s="90" t="s">
        <v>475</v>
      </c>
      <c r="F13" s="90" t="s">
        <v>25</v>
      </c>
      <c r="G13" s="18" t="s">
        <v>468</v>
      </c>
      <c r="H13" s="18" t="s">
        <v>467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969.24770000000001</v>
      </c>
      <c r="Z13" s="13">
        <v>0</v>
      </c>
      <c r="AA13" s="13">
        <v>0</v>
      </c>
      <c r="AB13" s="13"/>
      <c r="AC13" s="13">
        <v>2255.0243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3">
      <c r="A14" s="90"/>
      <c r="B14" s="90"/>
      <c r="C14" s="90"/>
      <c r="D14" s="90"/>
      <c r="E14" s="90"/>
      <c r="F14" s="90"/>
      <c r="G14" s="18" t="s">
        <v>469</v>
      </c>
      <c r="H14" s="18" t="s">
        <v>467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3">
      <c r="A15" s="90" t="s">
        <v>477</v>
      </c>
      <c r="B15" s="90" t="s">
        <v>476</v>
      </c>
      <c r="C15" s="90" t="s">
        <v>25</v>
      </c>
      <c r="D15" s="90" t="s">
        <v>25</v>
      </c>
      <c r="E15" s="17" t="s">
        <v>478</v>
      </c>
      <c r="F15" s="17" t="s">
        <v>25</v>
      </c>
      <c r="G15" s="18" t="s">
        <v>9</v>
      </c>
      <c r="H15" s="18" t="s">
        <v>471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12.2265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3">
      <c r="A16" s="90"/>
      <c r="B16" s="90"/>
      <c r="C16" s="90"/>
      <c r="D16" s="90"/>
      <c r="E16" s="17" t="s">
        <v>479</v>
      </c>
      <c r="F16" s="17" t="s">
        <v>25</v>
      </c>
      <c r="G16" s="18" t="s">
        <v>9</v>
      </c>
      <c r="H16" s="18" t="s">
        <v>471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24.875399999999999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3">
      <c r="A17" s="90" t="s">
        <v>22</v>
      </c>
      <c r="B17" s="90" t="s">
        <v>33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468</v>
      </c>
      <c r="H17" s="18" t="s">
        <v>467</v>
      </c>
      <c r="I17" s="18">
        <f>'MERCADO TUSD'!$U$14</f>
        <v>0.495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354.84809999999999</v>
      </c>
      <c r="Z17" s="13">
        <v>0</v>
      </c>
      <c r="AA17" s="13">
        <v>0</v>
      </c>
      <c r="AB17" s="13"/>
      <c r="AC17" s="13">
        <v>1053.6130000000001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3">
      <c r="A18" s="90"/>
      <c r="B18" s="90"/>
      <c r="C18" s="90"/>
      <c r="D18" s="90"/>
      <c r="E18" s="90"/>
      <c r="F18" s="90"/>
      <c r="G18" s="18" t="s">
        <v>480</v>
      </c>
      <c r="H18" s="18" t="s">
        <v>467</v>
      </c>
      <c r="I18" s="18">
        <f>'MERCADO TUSD'!$U$15</f>
        <v>0.24800000000000003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212.90889999999999</v>
      </c>
      <c r="Z18" s="13">
        <v>0</v>
      </c>
      <c r="AA18" s="13">
        <v>0</v>
      </c>
      <c r="AB18" s="13"/>
      <c r="AC18" s="13">
        <v>632.16819999999996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3">
      <c r="A19" s="90"/>
      <c r="B19" s="90"/>
      <c r="C19" s="90"/>
      <c r="D19" s="90"/>
      <c r="E19" s="90"/>
      <c r="F19" s="90"/>
      <c r="G19" s="18" t="s">
        <v>469</v>
      </c>
      <c r="H19" s="18" t="s">
        <v>467</v>
      </c>
      <c r="I19" s="18">
        <f>'MERCADO TUSD'!$U$16</f>
        <v>6.5449999999999999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71.034499999999994</v>
      </c>
      <c r="Z19" s="13">
        <v>0</v>
      </c>
      <c r="AA19" s="13">
        <v>0</v>
      </c>
      <c r="AB19" s="13"/>
      <c r="AC19" s="13">
        <v>210.7225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3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474</v>
      </c>
      <c r="H20" s="18" t="s">
        <v>467</v>
      </c>
      <c r="I20" s="18">
        <f>'MERCADO TUSD'!$U$17</f>
        <v>29737.986000000001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131.36519999999999</v>
      </c>
      <c r="Z20" s="13">
        <v>0</v>
      </c>
      <c r="AA20" s="13">
        <v>0</v>
      </c>
      <c r="AB20" s="13"/>
      <c r="AC20" s="13">
        <v>390.22719999999998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3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474</v>
      </c>
      <c r="H21" s="18" t="s">
        <v>467</v>
      </c>
      <c r="I21" s="18">
        <f>'MERCADO TUSD'!$U$18</f>
        <v>83.323000000000008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CUSTOS!$M$24)*131.3652</f>
        <v>131.36519999999999</v>
      </c>
      <c r="Z21" s="13">
        <v>0</v>
      </c>
      <c r="AA21" s="13">
        <v>0</v>
      </c>
      <c r="AB21" s="13"/>
      <c r="AC21" s="13">
        <f>(1 - CUSTOS!$M$24)*390.2272</f>
        <v>390.22719999999998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474</v>
      </c>
      <c r="H22" s="18" t="s">
        <v>467</v>
      </c>
      <c r="I22" s="18">
        <f>'MERCADO TUSD'!$U$19</f>
        <v>175.95599999999999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CUSTOS!$M$25)*131.3652</f>
        <v>131.36519999999999</v>
      </c>
      <c r="Z22" s="13">
        <v>0</v>
      </c>
      <c r="AA22" s="13">
        <v>0</v>
      </c>
      <c r="AB22" s="13"/>
      <c r="AC22" s="13">
        <f>(1 - CUSTOS!$M$25)*390.2272</f>
        <v>390.22719999999998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474</v>
      </c>
      <c r="H23" s="18" t="s">
        <v>467</v>
      </c>
      <c r="I23" s="18">
        <f>'MERCADO TUSD'!$U$20</f>
        <v>193.03699999999998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CUSTOS!$M$26)*131.3652</f>
        <v>131.36519999999999</v>
      </c>
      <c r="Z23" s="13">
        <v>0</v>
      </c>
      <c r="AA23" s="13">
        <v>0</v>
      </c>
      <c r="AB23" s="13"/>
      <c r="AC23" s="13">
        <f>(1 - CUSTOS!$M$26)*390.2272</f>
        <v>390.22719999999998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474</v>
      </c>
      <c r="H24" s="18" t="s">
        <v>467</v>
      </c>
      <c r="I24" s="18">
        <f>'MERCADO TUSD'!$U$21</f>
        <v>98.578999999999994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CUSTOS!$M$27)*131.3652</f>
        <v>131.36519999999999</v>
      </c>
      <c r="Z24" s="13">
        <v>0</v>
      </c>
      <c r="AA24" s="13">
        <v>0</v>
      </c>
      <c r="AB24" s="13"/>
      <c r="AC24" s="13">
        <f>(1 - CUSTOS!$M$27)*390.2272</f>
        <v>390.22719999999998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0"/>
      <c r="B25" s="90" t="s">
        <v>483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474</v>
      </c>
      <c r="H25" s="18" t="s">
        <v>467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131.36519999999999</v>
      </c>
      <c r="Z25" s="13">
        <v>0</v>
      </c>
      <c r="AA25" s="13">
        <v>0</v>
      </c>
      <c r="AB25" s="13"/>
      <c r="AC25" s="13">
        <v>390.22719999999998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3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474</v>
      </c>
      <c r="H26" s="18" t="s">
        <v>467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CUSTOS!$M$24)*131.3652</f>
        <v>131.36519999999999</v>
      </c>
      <c r="Z26" s="13">
        <v>0</v>
      </c>
      <c r="AA26" s="13">
        <v>0</v>
      </c>
      <c r="AB26" s="13"/>
      <c r="AC26" s="13">
        <f>(1 - CUSTOS!$M$24)*390.2272</f>
        <v>390.22719999999998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474</v>
      </c>
      <c r="H27" s="18" t="s">
        <v>467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CUSTOS!$M$25)*131.3652</f>
        <v>131.36519999999999</v>
      </c>
      <c r="Z27" s="13">
        <v>0</v>
      </c>
      <c r="AA27" s="13">
        <v>0</v>
      </c>
      <c r="AB27" s="13"/>
      <c r="AC27" s="13">
        <f>(1 - CUSTOS!$M$25)*390.2272</f>
        <v>390.22719999999998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474</v>
      </c>
      <c r="H28" s="18" t="s">
        <v>467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CUSTOS!$M$26)*131.3652</f>
        <v>131.36519999999999</v>
      </c>
      <c r="Z28" s="13">
        <v>0</v>
      </c>
      <c r="AA28" s="13">
        <v>0</v>
      </c>
      <c r="AB28" s="13"/>
      <c r="AC28" s="13">
        <f>(1 - CUSTOS!$M$26)*390.2272</f>
        <v>390.22719999999998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474</v>
      </c>
      <c r="H29" s="18" t="s">
        <v>467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CUSTOS!$M$27)*131.3652</f>
        <v>131.36519999999999</v>
      </c>
      <c r="Z29" s="13">
        <v>0</v>
      </c>
      <c r="AA29" s="13">
        <v>0</v>
      </c>
      <c r="AB29" s="13"/>
      <c r="AC29" s="13">
        <f>(1 - CUSTOS!$M$27)*390.2272</f>
        <v>390.22719999999998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0" t="s">
        <v>42</v>
      </c>
      <c r="B30" s="90" t="s">
        <v>33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468</v>
      </c>
      <c r="H30" s="18" t="s">
        <v>467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f>(1 - CUSTOS!$M$28)*88.3057</f>
        <v>88.305700000000002</v>
      </c>
      <c r="V30" s="13">
        <f>(1 - CUSTOS!$M$28)*10.1232</f>
        <v>10.123200000000001</v>
      </c>
      <c r="W30" s="13">
        <f>(1 - CUSTOS!$M$28)*7.0569</f>
        <v>7.0568999999999997</v>
      </c>
      <c r="X30" s="13">
        <v>0</v>
      </c>
      <c r="Y30" s="13">
        <f>(1 - CUSTOS!$M$28)*387.5434</f>
        <v>387.54340000000002</v>
      </c>
      <c r="Z30" s="13">
        <v>0</v>
      </c>
      <c r="AA30" s="13">
        <v>0</v>
      </c>
      <c r="AB30" s="13"/>
      <c r="AC30" s="13">
        <f>(1 - CUSTOS!$M$28)*1151.17</f>
        <v>1151.17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0"/>
      <c r="B31" s="90"/>
      <c r="C31" s="90"/>
      <c r="D31" s="90"/>
      <c r="E31" s="90"/>
      <c r="F31" s="90"/>
      <c r="G31" s="18" t="s">
        <v>480</v>
      </c>
      <c r="H31" s="18" t="s">
        <v>467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f>(1 - CUSTOS!$M$28)*52.9833</f>
        <v>52.9833</v>
      </c>
      <c r="V31" s="13">
        <f>(1 - CUSTOS!$M$28)*6.0739</f>
        <v>6.0739000000000001</v>
      </c>
      <c r="W31" s="13">
        <f>(1 - CUSTOS!$M$28)*4.2341</f>
        <v>4.2340999999999998</v>
      </c>
      <c r="X31" s="13">
        <v>0</v>
      </c>
      <c r="Y31" s="13">
        <f>(1 - CUSTOS!$M$28)*232.5001</f>
        <v>232.5001</v>
      </c>
      <c r="Z31" s="13">
        <v>0</v>
      </c>
      <c r="AA31" s="13">
        <v>0</v>
      </c>
      <c r="AB31" s="13"/>
      <c r="AC31" s="13">
        <f>(1 - CUSTOS!$M$28)*690.7018</f>
        <v>690.70180000000005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0"/>
      <c r="B32" s="90"/>
      <c r="C32" s="90"/>
      <c r="D32" s="90"/>
      <c r="E32" s="90"/>
      <c r="F32" s="90"/>
      <c r="G32" s="18" t="s">
        <v>469</v>
      </c>
      <c r="H32" s="18" t="s">
        <v>467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f>(1 - CUSTOS!$M$28)*17.6612</f>
        <v>17.661200000000001</v>
      </c>
      <c r="V32" s="13">
        <f>(1 - CUSTOS!$M$28)*2.0246</f>
        <v>2.0246</v>
      </c>
      <c r="W32" s="13">
        <f>(1 - CUSTOS!$M$28)*1.4113</f>
        <v>1.4113</v>
      </c>
      <c r="X32" s="13">
        <v>0</v>
      </c>
      <c r="Y32" s="13">
        <f>(1 - CUSTOS!$M$28)*77.4568</f>
        <v>77.456800000000001</v>
      </c>
      <c r="Z32" s="13">
        <v>0</v>
      </c>
      <c r="AA32" s="13">
        <v>0</v>
      </c>
      <c r="AB32" s="13"/>
      <c r="AC32" s="13">
        <f>(1 - CUSTOS!$M$28)*230.2339</f>
        <v>230.23390000000001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474</v>
      </c>
      <c r="H33" s="18" t="s">
        <v>467</v>
      </c>
      <c r="I33" s="18">
        <f>'MERCADO TUSD'!$U$30</f>
        <v>513.57799999999997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CUSTOS!$M$28)*131.3652</f>
        <v>131.36519999999999</v>
      </c>
      <c r="Z33" s="13">
        <v>0</v>
      </c>
      <c r="AA33" s="13">
        <v>0</v>
      </c>
      <c r="AB33" s="13"/>
      <c r="AC33" s="13">
        <f>(1 - CUSTOS!$M$28)*390.2272</f>
        <v>390.22719999999998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0"/>
      <c r="B34" s="90" t="s">
        <v>33</v>
      </c>
      <c r="C34" s="90" t="s">
        <v>43</v>
      </c>
      <c r="D34" s="90" t="s">
        <v>484</v>
      </c>
      <c r="E34" s="90" t="s">
        <v>25</v>
      </c>
      <c r="F34" s="90" t="s">
        <v>25</v>
      </c>
      <c r="G34" s="18" t="s">
        <v>468</v>
      </c>
      <c r="H34" s="18" t="s">
        <v>467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f>(1 - CUSTOS!$M$29)*88.3057</f>
        <v>88.305700000000002</v>
      </c>
      <c r="V34" s="13">
        <f>(1 - CUSTOS!$M$29)*10.1232</f>
        <v>10.123200000000001</v>
      </c>
      <c r="W34" s="13">
        <f>(1 - CUSTOS!$M$29)*7.0569</f>
        <v>7.0568999999999997</v>
      </c>
      <c r="X34" s="13">
        <v>0</v>
      </c>
      <c r="Y34" s="13">
        <f>(1 - CUSTOS!$M$29)*387.5434</f>
        <v>387.54340000000002</v>
      </c>
      <c r="Z34" s="13">
        <v>0</v>
      </c>
      <c r="AA34" s="13">
        <v>0</v>
      </c>
      <c r="AB34" s="13"/>
      <c r="AC34" s="13">
        <f>(1 - CUSTOS!$M$29)*1151.17</f>
        <v>1151.17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0"/>
      <c r="B35" s="90"/>
      <c r="C35" s="90"/>
      <c r="D35" s="90"/>
      <c r="E35" s="90"/>
      <c r="F35" s="90"/>
      <c r="G35" s="18" t="s">
        <v>480</v>
      </c>
      <c r="H35" s="18" t="s">
        <v>467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f>(1 - CUSTOS!$M$29)*52.9833</f>
        <v>52.9833</v>
      </c>
      <c r="V35" s="13">
        <f>(1 - CUSTOS!$M$29)*6.0739</f>
        <v>6.0739000000000001</v>
      </c>
      <c r="W35" s="13">
        <f>(1 - CUSTOS!$M$29)*4.2341</f>
        <v>4.2340999999999998</v>
      </c>
      <c r="X35" s="13">
        <v>0</v>
      </c>
      <c r="Y35" s="13">
        <f>(1 - CUSTOS!$M$29)*232.5001</f>
        <v>232.5001</v>
      </c>
      <c r="Z35" s="13">
        <v>0</v>
      </c>
      <c r="AA35" s="13">
        <v>0</v>
      </c>
      <c r="AB35" s="13"/>
      <c r="AC35" s="13">
        <f>(1 - CUSTOS!$M$29)*690.7018</f>
        <v>690.70180000000005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0"/>
      <c r="B36" s="90"/>
      <c r="C36" s="90"/>
      <c r="D36" s="90"/>
      <c r="E36" s="90"/>
      <c r="F36" s="90"/>
      <c r="G36" s="18" t="s">
        <v>469</v>
      </c>
      <c r="H36" s="18" t="s">
        <v>467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f>(1 - CUSTOS!$M$29)*17.6612</f>
        <v>17.661200000000001</v>
      </c>
      <c r="V36" s="13">
        <f>(1 - CUSTOS!$M$29)*2.0246</f>
        <v>2.0246</v>
      </c>
      <c r="W36" s="13">
        <f>(1 - CUSTOS!$M$29)*1.4113</f>
        <v>1.4113</v>
      </c>
      <c r="X36" s="13">
        <v>0</v>
      </c>
      <c r="Y36" s="13">
        <f>(1 - CUSTOS!$M$29)*77.4568</f>
        <v>77.456800000000001</v>
      </c>
      <c r="Z36" s="13">
        <v>0</v>
      </c>
      <c r="AA36" s="13">
        <v>0</v>
      </c>
      <c r="AB36" s="13"/>
      <c r="AC36" s="13">
        <f>(1 - CUSTOS!$M$29)*230.2339</f>
        <v>230.23390000000001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0"/>
      <c r="B37" s="17" t="s">
        <v>23</v>
      </c>
      <c r="C37" s="17" t="s">
        <v>43</v>
      </c>
      <c r="D37" s="17" t="s">
        <v>484</v>
      </c>
      <c r="E37" s="17" t="s">
        <v>25</v>
      </c>
      <c r="F37" s="17" t="s">
        <v>25</v>
      </c>
      <c r="G37" s="18" t="s">
        <v>474</v>
      </c>
      <c r="H37" s="18" t="s">
        <v>467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CUSTOS!$M$29)*131.3652</f>
        <v>131.36519999999999</v>
      </c>
      <c r="Z37" s="13">
        <v>0</v>
      </c>
      <c r="AA37" s="13">
        <v>0</v>
      </c>
      <c r="AB37" s="13"/>
      <c r="AC37" s="13">
        <f>(1 - CUSTOS!$M$29)*390.2272</f>
        <v>390.22719999999998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0"/>
      <c r="B38" s="90" t="s">
        <v>33</v>
      </c>
      <c r="C38" s="90" t="s">
        <v>43</v>
      </c>
      <c r="D38" s="90" t="s">
        <v>485</v>
      </c>
      <c r="E38" s="90" t="s">
        <v>25</v>
      </c>
      <c r="F38" s="90" t="s">
        <v>25</v>
      </c>
      <c r="G38" s="18" t="s">
        <v>468</v>
      </c>
      <c r="H38" s="18" t="s">
        <v>467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f>(1 - CUSTOS!$M$30)*88.3057</f>
        <v>88.305700000000002</v>
      </c>
      <c r="V38" s="13">
        <f>(1 - CUSTOS!$M$30)*10.1232</f>
        <v>10.123200000000001</v>
      </c>
      <c r="W38" s="13">
        <f>(1 - CUSTOS!$M$30)*7.0569</f>
        <v>7.0568999999999997</v>
      </c>
      <c r="X38" s="13">
        <v>0</v>
      </c>
      <c r="Y38" s="13">
        <f>(1 - CUSTOS!$M$30)*387.5434</f>
        <v>387.54340000000002</v>
      </c>
      <c r="Z38" s="13">
        <v>0</v>
      </c>
      <c r="AA38" s="13">
        <v>0</v>
      </c>
      <c r="AB38" s="13"/>
      <c r="AC38" s="13">
        <f>(1 - CUSTOS!$M$30)*1151.17</f>
        <v>1151.17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0"/>
      <c r="B39" s="90"/>
      <c r="C39" s="90"/>
      <c r="D39" s="90"/>
      <c r="E39" s="90"/>
      <c r="F39" s="90"/>
      <c r="G39" s="18" t="s">
        <v>480</v>
      </c>
      <c r="H39" s="18" t="s">
        <v>467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f>(1 - CUSTOS!$M$30)*52.9833</f>
        <v>52.9833</v>
      </c>
      <c r="V39" s="13">
        <f>(1 - CUSTOS!$M$30)*6.0739</f>
        <v>6.0739000000000001</v>
      </c>
      <c r="W39" s="13">
        <f>(1 - CUSTOS!$M$30)*4.2341</f>
        <v>4.2340999999999998</v>
      </c>
      <c r="X39" s="13">
        <v>0</v>
      </c>
      <c r="Y39" s="13">
        <f>(1 - CUSTOS!$M$30)*232.5001</f>
        <v>232.5001</v>
      </c>
      <c r="Z39" s="13">
        <v>0</v>
      </c>
      <c r="AA39" s="13">
        <v>0</v>
      </c>
      <c r="AB39" s="13"/>
      <c r="AC39" s="13">
        <f>(1 - CUSTOS!$M$30)*690.7018</f>
        <v>690.70180000000005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0"/>
      <c r="B40" s="90"/>
      <c r="C40" s="90"/>
      <c r="D40" s="90"/>
      <c r="E40" s="90"/>
      <c r="F40" s="90"/>
      <c r="G40" s="18" t="s">
        <v>469</v>
      </c>
      <c r="H40" s="18" t="s">
        <v>467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f>(1 - CUSTOS!$M$30)*17.6612</f>
        <v>17.661200000000001</v>
      </c>
      <c r="V40" s="13">
        <f>(1 - CUSTOS!$M$30)*2.0246</f>
        <v>2.0246</v>
      </c>
      <c r="W40" s="13">
        <f>(1 - CUSTOS!$M$30)*1.4113</f>
        <v>1.4113</v>
      </c>
      <c r="X40" s="13">
        <v>0</v>
      </c>
      <c r="Y40" s="13">
        <f>(1 - CUSTOS!$M$30)*77.4568</f>
        <v>77.456800000000001</v>
      </c>
      <c r="Z40" s="13">
        <v>0</v>
      </c>
      <c r="AA40" s="13">
        <v>0</v>
      </c>
      <c r="AB40" s="13"/>
      <c r="AC40" s="13">
        <f>(1 - CUSTOS!$M$30)*230.2339</f>
        <v>230.23390000000001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0"/>
      <c r="B41" s="17" t="s">
        <v>23</v>
      </c>
      <c r="C41" s="17" t="s">
        <v>43</v>
      </c>
      <c r="D41" s="17" t="s">
        <v>485</v>
      </c>
      <c r="E41" s="17" t="s">
        <v>25</v>
      </c>
      <c r="F41" s="17" t="s">
        <v>25</v>
      </c>
      <c r="G41" s="18" t="s">
        <v>474</v>
      </c>
      <c r="H41" s="18" t="s">
        <v>467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CUSTOS!$M$30)*131.3652</f>
        <v>131.36519999999999</v>
      </c>
      <c r="Z41" s="13">
        <v>0</v>
      </c>
      <c r="AA41" s="13">
        <v>0</v>
      </c>
      <c r="AB41" s="13"/>
      <c r="AC41" s="13">
        <f>(1 - CUSTOS!$M$30)*390.2272</f>
        <v>390.22719999999998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0"/>
      <c r="B42" s="90" t="s">
        <v>483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474</v>
      </c>
      <c r="H42" s="18" t="s">
        <v>467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CUSTOS!$M$28)*131.3652</f>
        <v>131.36519999999999</v>
      </c>
      <c r="Z42" s="13">
        <v>0</v>
      </c>
      <c r="AA42" s="13">
        <v>0</v>
      </c>
      <c r="AB42" s="13"/>
      <c r="AC42" s="13">
        <f>(1 - CUSTOS!$M$28)*390.2272</f>
        <v>390.22719999999998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0"/>
      <c r="B43" s="90"/>
      <c r="C43" s="90"/>
      <c r="D43" s="17" t="s">
        <v>484</v>
      </c>
      <c r="E43" s="17" t="s">
        <v>25</v>
      </c>
      <c r="F43" s="17" t="s">
        <v>25</v>
      </c>
      <c r="G43" s="18" t="s">
        <v>474</v>
      </c>
      <c r="H43" s="18" t="s">
        <v>467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CUSTOS!$M$29)*131.3652</f>
        <v>131.36519999999999</v>
      </c>
      <c r="Z43" s="13">
        <v>0</v>
      </c>
      <c r="AA43" s="13">
        <v>0</v>
      </c>
      <c r="AB43" s="13"/>
      <c r="AC43" s="13">
        <f>(1 - CUSTOS!$M$29)*390.2272</f>
        <v>390.22719999999998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0"/>
      <c r="B44" s="90"/>
      <c r="C44" s="90"/>
      <c r="D44" s="17" t="s">
        <v>485</v>
      </c>
      <c r="E44" s="17" t="s">
        <v>25</v>
      </c>
      <c r="F44" s="17" t="s">
        <v>25</v>
      </c>
      <c r="G44" s="18" t="s">
        <v>474</v>
      </c>
      <c r="H44" s="18" t="s">
        <v>467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CUSTOS!$M$30)*131.3652</f>
        <v>131.36519999999999</v>
      </c>
      <c r="Z44" s="13">
        <v>0</v>
      </c>
      <c r="AA44" s="13">
        <v>0</v>
      </c>
      <c r="AB44" s="13"/>
      <c r="AC44" s="13">
        <f>(1 - CUSTOS!$M$30)*390.2272</f>
        <v>390.22719999999998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0" t="s">
        <v>37</v>
      </c>
      <c r="B45" s="90" t="s">
        <v>33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468</v>
      </c>
      <c r="H45" s="18" t="s">
        <v>467</v>
      </c>
      <c r="I45" s="18">
        <f>'MERCADO TUSD'!$U$42</f>
        <v>3.0390000000000001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f>(1 - CUSTOS!$M$31)*103.273</f>
        <v>103.273</v>
      </c>
      <c r="V45" s="13">
        <f>(1 - CUSTOS!$M$31)*11.8389</f>
        <v>11.838900000000001</v>
      </c>
      <c r="W45" s="13">
        <f>(1 - CUSTOS!$M$31)*8.253</f>
        <v>8.2530000000000001</v>
      </c>
      <c r="X45" s="13">
        <v>0</v>
      </c>
      <c r="Y45" s="13">
        <f>(1 - CUSTOS!$M$31)*453.3233</f>
        <v>453.32330000000002</v>
      </c>
      <c r="Z45" s="13">
        <v>0</v>
      </c>
      <c r="AA45" s="13">
        <v>0</v>
      </c>
      <c r="AB45" s="13"/>
      <c r="AC45" s="13">
        <f>(1 - CUSTOS!$M$31)*1346.2832</f>
        <v>1346.2832000000001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0"/>
      <c r="B46" s="90"/>
      <c r="C46" s="90"/>
      <c r="D46" s="90"/>
      <c r="E46" s="90"/>
      <c r="F46" s="90"/>
      <c r="G46" s="18" t="s">
        <v>480</v>
      </c>
      <c r="H46" s="18" t="s">
        <v>467</v>
      </c>
      <c r="I46" s="18">
        <f>'MERCADO TUSD'!$U$43</f>
        <v>5.1750000000000007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f>(1 - CUSTOS!$M$31)*61.9637</f>
        <v>61.963700000000003</v>
      </c>
      <c r="V46" s="13">
        <f>(1 - CUSTOS!$M$31)*7.1034</f>
        <v>7.1033999999999997</v>
      </c>
      <c r="W46" s="13">
        <f>(1 - CUSTOS!$M$31)*4.9517</f>
        <v>4.9516999999999998</v>
      </c>
      <c r="X46" s="13">
        <v>0</v>
      </c>
      <c r="Y46" s="13">
        <f>(1 - CUSTOS!$M$31)*271.942</f>
        <v>271.94200000000001</v>
      </c>
      <c r="Z46" s="13">
        <v>0</v>
      </c>
      <c r="AA46" s="13">
        <v>0</v>
      </c>
      <c r="AB46" s="13"/>
      <c r="AC46" s="13">
        <f>(1 - CUSTOS!$M$31)*807.7699</f>
        <v>807.76990000000001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0"/>
      <c r="B47" s="90"/>
      <c r="C47" s="90"/>
      <c r="D47" s="90"/>
      <c r="E47" s="90"/>
      <c r="F47" s="90"/>
      <c r="G47" s="18" t="s">
        <v>469</v>
      </c>
      <c r="H47" s="18" t="s">
        <v>467</v>
      </c>
      <c r="I47" s="18">
        <f>'MERCADO TUSD'!$U$44</f>
        <v>190.53300000000002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f>(1 - CUSTOS!$M$31)*20.6545</f>
        <v>20.654499999999999</v>
      </c>
      <c r="V47" s="13">
        <f>(1 - CUSTOS!$M$31)*2.3678</f>
        <v>2.3677999999999999</v>
      </c>
      <c r="W47" s="13">
        <f>(1 - CUSTOS!$M$31)*1.6505</f>
        <v>1.6505000000000001</v>
      </c>
      <c r="X47" s="13">
        <v>0</v>
      </c>
      <c r="Y47" s="13">
        <f>(1 - CUSTOS!$M$31)*90.6257</f>
        <v>90.625699999999995</v>
      </c>
      <c r="Z47" s="13">
        <v>0</v>
      </c>
      <c r="AA47" s="13">
        <v>0</v>
      </c>
      <c r="AB47" s="13"/>
      <c r="AC47" s="13">
        <f>(1 - CUSTOS!$M$31)*269.2568</f>
        <v>269.2568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474</v>
      </c>
      <c r="H48" s="18" t="s">
        <v>467</v>
      </c>
      <c r="I48" s="18">
        <f>'MERCADO TUSD'!$U$45</f>
        <v>13839.034999999998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CUSTOS!$M$31)*131.3652</f>
        <v>131.36519999999999</v>
      </c>
      <c r="Z48" s="13">
        <v>0</v>
      </c>
      <c r="AA48" s="13">
        <v>0</v>
      </c>
      <c r="AB48" s="13"/>
      <c r="AC48" s="13">
        <f>(1 - CUSTOS!$M$31)*390.2272</f>
        <v>390.22719999999998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0"/>
      <c r="B49" s="17" t="s">
        <v>483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474</v>
      </c>
      <c r="H49" s="18" t="s">
        <v>467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CUSTOS!$M$31)*131.3652</f>
        <v>131.36519999999999</v>
      </c>
      <c r="Z49" s="13">
        <v>0</v>
      </c>
      <c r="AA49" s="13">
        <v>0</v>
      </c>
      <c r="AB49" s="13"/>
      <c r="AC49" s="13">
        <f>(1 - CUSTOS!$M$31)*390.2272</f>
        <v>390.22719999999998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0" t="s">
        <v>45</v>
      </c>
      <c r="B50" s="90" t="s">
        <v>23</v>
      </c>
      <c r="C50" s="90" t="s">
        <v>46</v>
      </c>
      <c r="D50" s="17" t="s">
        <v>486</v>
      </c>
      <c r="E50" s="17" t="s">
        <v>25</v>
      </c>
      <c r="F50" s="17" t="s">
        <v>25</v>
      </c>
      <c r="G50" s="18" t="s">
        <v>474</v>
      </c>
      <c r="H50" s="18" t="s">
        <v>467</v>
      </c>
      <c r="I50" s="18">
        <f>'MERCADO TUSD'!$U$47</f>
        <v>0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CUSTOS!$M$32)*131.3652</f>
        <v>72.250860000000003</v>
      </c>
      <c r="Z50" s="13">
        <v>0</v>
      </c>
      <c r="AA50" s="13">
        <v>0</v>
      </c>
      <c r="AB50" s="13"/>
      <c r="AC50" s="13">
        <f>(1 - CUSTOS!$M$32)*390.2272</f>
        <v>214.62496000000002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0"/>
      <c r="B51" s="90"/>
      <c r="C51" s="90"/>
      <c r="D51" s="18" t="s">
        <v>47</v>
      </c>
      <c r="E51" s="18" t="s">
        <v>25</v>
      </c>
      <c r="F51" s="18" t="s">
        <v>25</v>
      </c>
      <c r="G51" s="18" t="s">
        <v>474</v>
      </c>
      <c r="H51" s="18" t="s">
        <v>467</v>
      </c>
      <c r="I51" s="18">
        <f>'MERCADO TUSD'!$U$48</f>
        <v>3807.3310000000001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CUSTOS!$M$33)*131.3652</f>
        <v>78.819119999999984</v>
      </c>
      <c r="Z51" s="13">
        <v>0</v>
      </c>
      <c r="AA51" s="13">
        <v>0</v>
      </c>
      <c r="AB51" s="13"/>
      <c r="AC51" s="13">
        <f>(1 - CUSTOS!$M$33)*390.2272</f>
        <v>234.13631999999998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9A3C-73DE-4921-9310-D89BFCFA7EEA}">
  <dimension ref="A1:AP70"/>
  <sheetViews>
    <sheetView showGridLines="0" topLeftCell="C36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457</v>
      </c>
      <c r="B1" s="91" t="s">
        <v>458</v>
      </c>
      <c r="C1" s="91" t="s">
        <v>459</v>
      </c>
      <c r="D1" s="91" t="s">
        <v>460</v>
      </c>
      <c r="E1" s="91" t="s">
        <v>461</v>
      </c>
      <c r="F1" s="91" t="s">
        <v>15</v>
      </c>
      <c r="G1" s="91" t="s">
        <v>463</v>
      </c>
      <c r="H1" s="91" t="s">
        <v>464</v>
      </c>
      <c r="I1" s="91" t="s">
        <v>593</v>
      </c>
      <c r="J1" s="84"/>
      <c r="L1" s="92" t="s">
        <v>594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595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492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493</v>
      </c>
      <c r="M3" s="92"/>
      <c r="N3" s="92"/>
      <c r="O3" s="92"/>
      <c r="P3" s="92"/>
      <c r="Q3" s="92"/>
      <c r="R3" s="92"/>
      <c r="S3" s="92"/>
      <c r="T3" s="92"/>
      <c r="U3" s="92" t="s">
        <v>502</v>
      </c>
      <c r="V3" s="92"/>
      <c r="W3" s="92"/>
      <c r="X3" s="92"/>
      <c r="Y3" s="92"/>
      <c r="Z3" s="92"/>
      <c r="AA3" s="92"/>
      <c r="AB3" s="92"/>
      <c r="AC3" s="92" t="s">
        <v>510</v>
      </c>
      <c r="AD3" s="92"/>
      <c r="AE3" s="92" t="s">
        <v>512</v>
      </c>
      <c r="AF3" s="92"/>
      <c r="AG3" s="92"/>
      <c r="AH3" s="92" t="s">
        <v>515</v>
      </c>
      <c r="AI3" s="92"/>
      <c r="AJ3" s="92"/>
      <c r="AK3" s="92"/>
      <c r="AL3" s="92"/>
      <c r="AM3" s="92" t="s">
        <v>501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578</v>
      </c>
      <c r="M4" s="10" t="s">
        <v>494</v>
      </c>
      <c r="N4" s="10" t="s">
        <v>495</v>
      </c>
      <c r="O4" s="10" t="s">
        <v>496</v>
      </c>
      <c r="P4" s="10" t="s">
        <v>497</v>
      </c>
      <c r="Q4" s="10" t="s">
        <v>498</v>
      </c>
      <c r="R4" s="10" t="s">
        <v>499</v>
      </c>
      <c r="S4" s="10" t="s">
        <v>500</v>
      </c>
      <c r="T4" s="10" t="s">
        <v>501</v>
      </c>
      <c r="U4" s="10" t="s">
        <v>503</v>
      </c>
      <c r="V4" s="10" t="s">
        <v>504</v>
      </c>
      <c r="W4" s="10" t="s">
        <v>505</v>
      </c>
      <c r="X4" s="10" t="s">
        <v>506</v>
      </c>
      <c r="Y4" s="10" t="s">
        <v>507</v>
      </c>
      <c r="Z4" s="10" t="s">
        <v>508</v>
      </c>
      <c r="AA4" s="10" t="s">
        <v>509</v>
      </c>
      <c r="AB4" s="10" t="s">
        <v>501</v>
      </c>
      <c r="AC4" s="10" t="s">
        <v>511</v>
      </c>
      <c r="AD4" s="10" t="s">
        <v>501</v>
      </c>
      <c r="AE4" s="10" t="s">
        <v>513</v>
      </c>
      <c r="AF4" s="10" t="s">
        <v>514</v>
      </c>
      <c r="AG4" s="10" t="s">
        <v>501</v>
      </c>
      <c r="AH4" s="10" t="s">
        <v>516</v>
      </c>
      <c r="AI4" s="10" t="s">
        <v>517</v>
      </c>
      <c r="AJ4" s="10" t="s">
        <v>518</v>
      </c>
      <c r="AK4" s="10" t="s">
        <v>519</v>
      </c>
      <c r="AL4" s="10" t="s">
        <v>501</v>
      </c>
      <c r="AM4" s="94"/>
      <c r="AP4" s="93"/>
    </row>
    <row r="5" spans="1:42" ht="11.25" customHeight="1" x14ac:dyDescent="0.3">
      <c r="A5" s="90" t="s">
        <v>39</v>
      </c>
      <c r="B5" s="90" t="s">
        <v>470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472</v>
      </c>
      <c r="H5" s="18" t="s">
        <v>471</v>
      </c>
      <c r="I5" s="18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40.285299999999999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93.763999999999996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3">
      <c r="A6" s="90"/>
      <c r="B6" s="90"/>
      <c r="C6" s="90"/>
      <c r="D6" s="90"/>
      <c r="E6" s="90"/>
      <c r="F6" s="90"/>
      <c r="G6" s="18" t="s">
        <v>473</v>
      </c>
      <c r="H6" s="18" t="s">
        <v>471</v>
      </c>
      <c r="I6" s="18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16.282800000000002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26.200800000000001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3">
      <c r="A7" s="90"/>
      <c r="B7" s="90"/>
      <c r="C7" s="90"/>
      <c r="D7" s="90"/>
      <c r="E7" s="90"/>
      <c r="F7" s="90"/>
      <c r="G7" s="18" t="s">
        <v>474</v>
      </c>
      <c r="H7" s="18" t="s">
        <v>467</v>
      </c>
      <c r="I7" s="18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1.0375715416478515</v>
      </c>
      <c r="N7" s="13">
        <f ca="1">(+M7+O7+R7+U7+V7+W7+X7+Y7+Z7+AA7+AC7+AH7+AI7+AJ7+AK7)*CUSTOS!$M$5</f>
        <v>2.3368771541647852E-13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10.1656</v>
      </c>
      <c r="AI7" s="13">
        <v>10.1656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3">
      <c r="A8" s="90"/>
      <c r="B8" s="90"/>
      <c r="C8" s="90"/>
      <c r="D8" s="90"/>
      <c r="E8" s="17" t="s">
        <v>475</v>
      </c>
      <c r="F8" s="17" t="s">
        <v>25</v>
      </c>
      <c r="G8" s="18" t="s">
        <v>474</v>
      </c>
      <c r="H8" s="18" t="s">
        <v>467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1.0375715416478515</v>
      </c>
      <c r="N8" s="13">
        <f ca="1">(+M8+O8+R8+U8+V8+W8+X8+Y8+Z8+AA8+AC8+AH8+AI8+AJ8+AK8)*CUSTOS!$M$5</f>
        <v>2.2368771541647851E-13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10.1656</v>
      </c>
      <c r="AI8" s="13">
        <v>10.1656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3">
      <c r="A9" s="90"/>
      <c r="B9" s="17" t="s">
        <v>476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471</v>
      </c>
      <c r="I9" s="18">
        <f>'MERCADO TUSD'!$U$6</f>
        <v>0</v>
      </c>
      <c r="J9" s="15"/>
      <c r="L9" s="13">
        <v>0</v>
      </c>
      <c r="M9" s="13">
        <v>1.0699999999999999E-2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11.853300000000001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3">
      <c r="A10" s="90"/>
      <c r="B10" s="90" t="s">
        <v>40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471</v>
      </c>
      <c r="I10" s="18">
        <f>'MERCADO TUSD'!$U$7</f>
        <v>63475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16.282800000000002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26.200800000000001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3">
      <c r="A11" s="90"/>
      <c r="B11" s="90"/>
      <c r="C11" s="90"/>
      <c r="D11" s="90"/>
      <c r="E11" s="90"/>
      <c r="F11" s="90"/>
      <c r="G11" s="18" t="s">
        <v>468</v>
      </c>
      <c r="H11" s="18" t="s">
        <v>467</v>
      </c>
      <c r="I11" s="18">
        <f>'MERCADO TUSD'!$U$8</f>
        <v>409.63599999999997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1.0375715416478515</v>
      </c>
      <c r="N11" s="13">
        <f ca="1">(+M11+O11+R11+U11+V11+W11+X11+Y11+Z11+AA11+AC11+AH11+AI11+AJ11+AK11)*CUSTOS!$M$5</f>
        <v>3.2476407715416473E-11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969.24770000000001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2255.0243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10.1656</v>
      </c>
      <c r="AI11" s="13">
        <v>10.1656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3">
      <c r="A12" s="90"/>
      <c r="B12" s="90"/>
      <c r="C12" s="90"/>
      <c r="D12" s="90"/>
      <c r="E12" s="90"/>
      <c r="F12" s="90"/>
      <c r="G12" s="18" t="s">
        <v>469</v>
      </c>
      <c r="H12" s="18" t="s">
        <v>467</v>
      </c>
      <c r="I12" s="18">
        <f>'MERCADO TUSD'!$U$9</f>
        <v>11292.635999999999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1.0375715416478515</v>
      </c>
      <c r="N12" s="13">
        <f ca="1">(+M12+O12+R12+U12+V12+W12+X12+Y12+Z12+AA12+AC12+AH12+AI12+AJ12+AK12)*CUSTOS!$M$5</f>
        <v>2.3368771541647852E-13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10.1656</v>
      </c>
      <c r="AI12" s="13">
        <v>10.1656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3">
      <c r="A13" s="90"/>
      <c r="B13" s="90"/>
      <c r="C13" s="90"/>
      <c r="D13" s="90"/>
      <c r="E13" s="90" t="s">
        <v>475</v>
      </c>
      <c r="F13" s="90" t="s">
        <v>25</v>
      </c>
      <c r="G13" s="18" t="s">
        <v>468</v>
      </c>
      <c r="H13" s="18" t="s">
        <v>467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1.0375715416478515</v>
      </c>
      <c r="N13" s="13">
        <f ca="1">(+M13+O13+R13+U13+V13+W13+X13+Y13+Z13+AA13+AC13+AH13+AI13+AJ13+AK13)*CUSTOS!$M$5</f>
        <v>3.2466407715416478E-11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969.24770000000001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2255.0243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10.1656</v>
      </c>
      <c r="AI13" s="13">
        <v>10.1656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3">
      <c r="A14" s="90"/>
      <c r="B14" s="90"/>
      <c r="C14" s="90"/>
      <c r="D14" s="90"/>
      <c r="E14" s="90"/>
      <c r="F14" s="90"/>
      <c r="G14" s="18" t="s">
        <v>469</v>
      </c>
      <c r="H14" s="18" t="s">
        <v>467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1.0375715416478515</v>
      </c>
      <c r="N14" s="13">
        <f ca="1">(+M14+O14+R14+U14+V14+W14+X14+Y14+Z14+AA14+AC14+AH14+AI14+AJ14+AK14)*CUSTOS!$M$5</f>
        <v>2.2368771541647851E-13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10.1656</v>
      </c>
      <c r="AI14" s="13">
        <v>10.1656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3">
      <c r="A15" s="90" t="s">
        <v>477</v>
      </c>
      <c r="B15" s="90" t="s">
        <v>476</v>
      </c>
      <c r="C15" s="90" t="s">
        <v>25</v>
      </c>
      <c r="D15" s="90" t="s">
        <v>25</v>
      </c>
      <c r="E15" s="17" t="s">
        <v>478</v>
      </c>
      <c r="F15" s="17" t="s">
        <v>25</v>
      </c>
      <c r="G15" s="18" t="s">
        <v>9</v>
      </c>
      <c r="H15" s="18" t="s">
        <v>471</v>
      </c>
      <c r="I15" s="18">
        <f>'MERCADO TUSD'!$U$12+0.00000001</f>
        <v>1E-8</v>
      </c>
      <c r="J15" s="15"/>
      <c r="L15" s="13">
        <v>0</v>
      </c>
      <c r="M15" s="13">
        <v>1.0999999999999999E-2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12.2265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3">
      <c r="A16" s="90"/>
      <c r="B16" s="90"/>
      <c r="C16" s="90"/>
      <c r="D16" s="90"/>
      <c r="E16" s="17" t="s">
        <v>479</v>
      </c>
      <c r="F16" s="17" t="s">
        <v>25</v>
      </c>
      <c r="G16" s="18" t="s">
        <v>9</v>
      </c>
      <c r="H16" s="18" t="s">
        <v>471</v>
      </c>
      <c r="I16" s="18">
        <f>'MERCADO TUSD'!$U$13+0.00000001</f>
        <v>1E-8</v>
      </c>
      <c r="J16" s="15"/>
      <c r="L16" s="13">
        <v>0</v>
      </c>
      <c r="M16" s="13">
        <v>1.0999999999999999E-2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24.875399999999999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3">
      <c r="A17" s="90" t="s">
        <v>22</v>
      </c>
      <c r="B17" s="90" t="s">
        <v>33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468</v>
      </c>
      <c r="H17" s="18" t="s">
        <v>467</v>
      </c>
      <c r="I17" s="18">
        <f>'MERCADO TUSD'!$U$14</f>
        <v>0.495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1.8298164540385302</v>
      </c>
      <c r="N17" s="13">
        <f ca="1">(+M17+O17+R17+U17+V17+W17+X17+Y17+Z17+AA17+AC17+AH17+AI17+AJ17+AK17)*CUSTOS!$M$5</f>
        <v>1.4649501164540385E-11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354.84809999999999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1053.6130000000001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26.329599999999999</v>
      </c>
      <c r="AI17" s="13">
        <v>26.329599999999999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3">
      <c r="A18" s="90"/>
      <c r="B18" s="90"/>
      <c r="C18" s="90"/>
      <c r="D18" s="90"/>
      <c r="E18" s="90"/>
      <c r="F18" s="90"/>
      <c r="G18" s="18" t="s">
        <v>480</v>
      </c>
      <c r="H18" s="18" t="s">
        <v>467</v>
      </c>
      <c r="I18" s="18">
        <f>'MERCADO TUSD'!$U$15</f>
        <v>0.24800000000000003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1.8298164540385302</v>
      </c>
      <c r="N18" s="13">
        <f ca="1">(+M18+O18+R18+U18+V18+W18+X18+Y18+Z18+AA18+AC18+AH18+AI18+AJ18+AK18)*CUSTOS!$M$5</f>
        <v>9.0156611645403854E-12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212.90889999999999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632.16819999999996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26.329599999999999</v>
      </c>
      <c r="AI18" s="13">
        <v>26.329599999999999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3">
      <c r="A19" s="90"/>
      <c r="B19" s="90"/>
      <c r="C19" s="90"/>
      <c r="D19" s="90"/>
      <c r="E19" s="90"/>
      <c r="F19" s="90"/>
      <c r="G19" s="18" t="s">
        <v>469</v>
      </c>
      <c r="H19" s="18" t="s">
        <v>467</v>
      </c>
      <c r="I19" s="18">
        <f>'MERCADO TUSD'!$U$16</f>
        <v>6.5449999999999999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1.8298164540385302</v>
      </c>
      <c r="N19" s="13">
        <f ca="1">(+M19+O19+R19+U19+V19+W19+X19+Y19+Z19+AA19+AC19+AH19+AI19+AJ19+AK19)*CUSTOS!$M$5</f>
        <v>3.3824601645403858E-12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71.034499999999994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210.7225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26.329599999999999</v>
      </c>
      <c r="AI19" s="13">
        <v>26.329599999999999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3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474</v>
      </c>
      <c r="H20" s="18" t="s">
        <v>467</v>
      </c>
      <c r="I20" s="18">
        <f>'MERCADO TUSD'!$U$17</f>
        <v>29737.986000000001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1.8298164540385302</v>
      </c>
      <c r="N20" s="13">
        <f ca="1">(+M20+O20+R20+U20+V20+W20+X20+Y20+Z20+AA20+AC20+AH20+AI20+AJ20+AK20)*CUSTOS!$M$5</f>
        <v>5.7808141645403858E-12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131.36519999999999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390.22719999999998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26.329599999999999</v>
      </c>
      <c r="AI20" s="13">
        <v>26.329599999999999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3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474</v>
      </c>
      <c r="H21" s="18" t="s">
        <v>467</v>
      </c>
      <c r="I21" s="18">
        <f>'MERCADO TUSD'!$U$18</f>
        <v>83.323000000000008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1.8298164540385302</v>
      </c>
      <c r="N21" s="13">
        <f ca="1">(+M21+O21+R21+U21+V21+W21+X21+Y21+Z21+AA21+AC21+AH21+AI21+AJ21+AK21)*CUSTOS!$M$5</f>
        <v>5.7708141645403865E-12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131.36519999999999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390.22719999999998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CUSTOS!$M$24)*26.3296</f>
        <v>26.329599999999999</v>
      </c>
      <c r="AI21" s="13">
        <f>(1 - CUSTOS!$M$24)*26.3296</f>
        <v>26.329599999999999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474</v>
      </c>
      <c r="H22" s="18" t="s">
        <v>467</v>
      </c>
      <c r="I22" s="18">
        <f>'MERCADO TUSD'!$U$19</f>
        <v>175.95599999999999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1.8298164540385302</v>
      </c>
      <c r="N22" s="13">
        <f ca="1">(+M22+O22+R22+U22+V22+W22+X22+Y22+Z22+AA22+AC22+AH22+AI22+AJ22+AK22)*CUSTOS!$M$5</f>
        <v>5.7708141645403865E-12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131.36519999999999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390.22719999999998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CUSTOS!$M$25)*26.3296</f>
        <v>26.329599999999999</v>
      </c>
      <c r="AI22" s="13">
        <f>(1 - CUSTOS!$M$25)*26.3296</f>
        <v>26.329599999999999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474</v>
      </c>
      <c r="H23" s="18" t="s">
        <v>467</v>
      </c>
      <c r="I23" s="18">
        <f>'MERCADO TUSD'!$U$20</f>
        <v>193.03699999999998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1.8298164540385302</v>
      </c>
      <c r="N23" s="13">
        <f ca="1">(+M23+O23+R23+U23+V23+W23+X23+Y23+Z23+AA23+AC23+AH23+AI23+AJ23+AK23)*CUSTOS!$M$5</f>
        <v>5.7708141645403865E-12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131.36519999999999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390.22719999999998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CUSTOS!$M$26)*26.3296</f>
        <v>26.329599999999999</v>
      </c>
      <c r="AI23" s="13">
        <f>(1 - CUSTOS!$M$26)*26.3296</f>
        <v>26.329599999999999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474</v>
      </c>
      <c r="H24" s="18" t="s">
        <v>467</v>
      </c>
      <c r="I24" s="18">
        <f>'MERCADO TUSD'!$U$21</f>
        <v>98.578999999999994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1.8298164540385302</v>
      </c>
      <c r="N24" s="13">
        <f ca="1">(+M24+O24+R24+U24+V24+W24+X24+Y24+Z24+AA24+AC24+AH24+AI24+AJ24+AK24)*CUSTOS!$M$5</f>
        <v>5.7708141645403865E-12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131.36519999999999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390.22719999999998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CUSTOS!$M$27)*26.3296</f>
        <v>26.329599999999999</v>
      </c>
      <c r="AI24" s="13">
        <f>(1 - CUSTOS!$M$27)*26.3296</f>
        <v>26.329599999999999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0"/>
      <c r="B25" s="90" t="s">
        <v>483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474</v>
      </c>
      <c r="H25" s="18" t="s">
        <v>467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1.8298164540385302</v>
      </c>
      <c r="N25" s="13">
        <f ca="1">(+M25+O25+R25+U25+V25+W25+X25+Y25+Z25+AA25+AC25+AH25+AI25+AJ25+AK25)*CUSTOS!$M$5</f>
        <v>5.7808141645403858E-12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131.36519999999999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390.22719999999998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26.329599999999999</v>
      </c>
      <c r="AI25" s="13">
        <v>26.329599999999999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3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474</v>
      </c>
      <c r="H26" s="18" t="s">
        <v>467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1.8298164540385302</v>
      </c>
      <c r="N26" s="13">
        <f ca="1">(+M26+O26+R26+U26+V26+W26+X26+Y26+Z26+AA26+AC26+AH26+AI26+AJ26+AK26)*CUSTOS!$M$5</f>
        <v>5.7708141645403865E-12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131.36519999999999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390.22719999999998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CUSTOS!$M$24)*26.3296</f>
        <v>26.329599999999999</v>
      </c>
      <c r="AI26" s="13">
        <f>(1 - CUSTOS!$M$24)*26.3296</f>
        <v>26.329599999999999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474</v>
      </c>
      <c r="H27" s="18" t="s">
        <v>467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1.8298164540385302</v>
      </c>
      <c r="N27" s="13">
        <f ca="1">(+M27+O27+R27+U27+V27+W27+X27+Y27+Z27+AA27+AC27+AH27+AI27+AJ27+AK27)*CUSTOS!$M$5</f>
        <v>5.7708141645403865E-12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131.36519999999999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390.22719999999998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CUSTOS!$M$25)*26.3296</f>
        <v>26.329599999999999</v>
      </c>
      <c r="AI27" s="13">
        <f>(1 - CUSTOS!$M$25)*26.3296</f>
        <v>26.329599999999999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474</v>
      </c>
      <c r="H28" s="18" t="s">
        <v>467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1.8298164540385302</v>
      </c>
      <c r="N28" s="13">
        <f ca="1">(+M28+O28+R28+U28+V28+W28+X28+Y28+Z28+AA28+AC28+AH28+AI28+AJ28+AK28)*CUSTOS!$M$5</f>
        <v>5.7708141645403865E-12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131.36519999999999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390.22719999999998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CUSTOS!$M$26)*26.3296</f>
        <v>26.329599999999999</v>
      </c>
      <c r="AI28" s="13">
        <f>(1 - CUSTOS!$M$26)*26.3296</f>
        <v>26.329599999999999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474</v>
      </c>
      <c r="H29" s="18" t="s">
        <v>467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1.8298164540385302</v>
      </c>
      <c r="N29" s="13">
        <f ca="1">(+M29+O29+R29+U29+V29+W29+X29+Y29+Z29+AA29+AC29+AH29+AI29+AJ29+AK29)*CUSTOS!$M$5</f>
        <v>5.7708141645403865E-12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131.36519999999999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390.22719999999998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CUSTOS!$M$27)*26.3296</f>
        <v>26.329599999999999</v>
      </c>
      <c r="AI29" s="13">
        <f>(1 - CUSTOS!$M$27)*26.3296</f>
        <v>26.329599999999999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0" t="s">
        <v>42</v>
      </c>
      <c r="B30" s="90" t="s">
        <v>33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468</v>
      </c>
      <c r="H30" s="18" t="s">
        <v>467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1.8298164540385302</v>
      </c>
      <c r="N30" s="13">
        <f ca="1">(+M30+O30+R30+U30+V30+W30+X30+Y30+Z30+AA30+AC30+AH30+AI30+AJ30+AK30)*CUSTOS!$M$5</f>
        <v>1.7006882164540387E-11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88.305700000000002</v>
      </c>
      <c r="V30" s="13">
        <f>TRANSICAO!$V$30*CUSTOS!$T$3</f>
        <v>10.123200000000001</v>
      </c>
      <c r="W30" s="13">
        <f>TRANSICAO!$W$30*CUSTOS!$T$3</f>
        <v>7.0568999999999997</v>
      </c>
      <c r="X30" s="13">
        <f>TRANSICAO!$X$30*CUSTOS!$T$3</f>
        <v>0</v>
      </c>
      <c r="Y30" s="13">
        <f>TRANSICAO!$Y$30*CUSTOS!$T$3</f>
        <v>387.54340000000002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1151.17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CUSTOS!$M$28)*26.3296</f>
        <v>26.329599999999999</v>
      </c>
      <c r="AI30" s="13">
        <f>(1 - CUSTOS!$M$28)*26.3296</f>
        <v>26.329599999999999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0"/>
      <c r="B31" s="90"/>
      <c r="C31" s="90"/>
      <c r="D31" s="90"/>
      <c r="E31" s="90"/>
      <c r="F31" s="90"/>
      <c r="G31" s="18" t="s">
        <v>480</v>
      </c>
      <c r="H31" s="18" t="s">
        <v>467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1.8298164540385302</v>
      </c>
      <c r="N31" s="13">
        <f ca="1">(+M31+O31+R31+U31+V31+W31+X31+Y31+Z31+AA31+AC31+AH31+AI31+AJ31+AK31)*CUSTOS!$M$5</f>
        <v>1.0429822164540385E-11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52.9833</v>
      </c>
      <c r="V31" s="13">
        <f>TRANSICAO!$V$31*CUSTOS!$T$3</f>
        <v>6.0739000000000001</v>
      </c>
      <c r="W31" s="13">
        <f>TRANSICAO!$W$31*CUSTOS!$T$3</f>
        <v>4.2340999999999998</v>
      </c>
      <c r="X31" s="13">
        <f>TRANSICAO!$X$31*CUSTOS!$T$3</f>
        <v>0</v>
      </c>
      <c r="Y31" s="13">
        <f>TRANSICAO!$Y$31*CUSTOS!$T$3</f>
        <v>232.5001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690.70180000000005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CUSTOS!$M$28)*26.3296</f>
        <v>26.329599999999999</v>
      </c>
      <c r="AI31" s="13">
        <f>(1 - CUSTOS!$M$28)*26.3296</f>
        <v>26.329599999999999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0"/>
      <c r="B32" s="90"/>
      <c r="C32" s="90"/>
      <c r="D32" s="90"/>
      <c r="E32" s="90"/>
      <c r="F32" s="90"/>
      <c r="G32" s="18" t="s">
        <v>469</v>
      </c>
      <c r="H32" s="18" t="s">
        <v>467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1.8298164540385302</v>
      </c>
      <c r="N32" s="13">
        <f ca="1">(+M32+O32+R32+U32+V32+W32+X32+Y32+Z32+AA32+AC32+AH32+AI32+AJ32+AK32)*CUSTOS!$M$5</f>
        <v>3.8527681645403853E-12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17.661200000000001</v>
      </c>
      <c r="V32" s="13">
        <f>TRANSICAO!$V$32*CUSTOS!$T$3</f>
        <v>2.0246</v>
      </c>
      <c r="W32" s="13">
        <f>TRANSICAO!$W$32*CUSTOS!$T$3</f>
        <v>1.4113</v>
      </c>
      <c r="X32" s="13">
        <f>TRANSICAO!$X$32*CUSTOS!$T$3</f>
        <v>0</v>
      </c>
      <c r="Y32" s="13">
        <f>TRANSICAO!$Y$32*CUSTOS!$T$3</f>
        <v>77.456800000000001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230.23390000000001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CUSTOS!$M$28)*26.3296</f>
        <v>26.329599999999999</v>
      </c>
      <c r="AI32" s="13">
        <f>(1 - CUSTOS!$M$28)*26.3296</f>
        <v>26.329599999999999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474</v>
      </c>
      <c r="H33" s="18" t="s">
        <v>467</v>
      </c>
      <c r="I33" s="18">
        <f>'MERCADO TUSD'!$U$30</f>
        <v>513.57799999999997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1.8298164540385302</v>
      </c>
      <c r="N33" s="13">
        <f ca="1">(+M33+O33+R33+U33+V33+W33+X33+Y33+Z33+AA33+AC33+AH33+AI33+AJ33+AK33)*CUSTOS!$M$5</f>
        <v>5.7808141645403858E-12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131.36519999999999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390.22719999999998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CUSTOS!$M$28)*26.3296</f>
        <v>26.329599999999999</v>
      </c>
      <c r="AI33" s="13">
        <f>(1 - CUSTOS!$M$28)*26.3296</f>
        <v>26.329599999999999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0"/>
      <c r="B34" s="90" t="s">
        <v>33</v>
      </c>
      <c r="C34" s="90" t="s">
        <v>43</v>
      </c>
      <c r="D34" s="90" t="s">
        <v>484</v>
      </c>
      <c r="E34" s="90" t="s">
        <v>25</v>
      </c>
      <c r="F34" s="90" t="s">
        <v>25</v>
      </c>
      <c r="G34" s="18" t="s">
        <v>468</v>
      </c>
      <c r="H34" s="18" t="s">
        <v>467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1.8298164540385302</v>
      </c>
      <c r="N34" s="13">
        <f ca="1">(+M34+O34+R34+U34+V34+W34+X34+Y34+Z34+AA34+AC34+AH34+AI34+AJ34+AK34)*CUSTOS!$M$5</f>
        <v>1.7006882164540387E-11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88.305700000000002</v>
      </c>
      <c r="V34" s="13">
        <f>TRANSICAO!$V$34*CUSTOS!$T$3</f>
        <v>10.123200000000001</v>
      </c>
      <c r="W34" s="13">
        <f>TRANSICAO!$W$34*CUSTOS!$T$3</f>
        <v>7.0568999999999997</v>
      </c>
      <c r="X34" s="13">
        <f>TRANSICAO!$X$34*CUSTOS!$T$3</f>
        <v>0</v>
      </c>
      <c r="Y34" s="13">
        <f>TRANSICAO!$Y$34*CUSTOS!$T$3</f>
        <v>387.54340000000002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1151.17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CUSTOS!$M$29)*26.3296</f>
        <v>26.329599999999999</v>
      </c>
      <c r="AI34" s="13">
        <f>(1 - CUSTOS!$M$29)*26.3296</f>
        <v>26.329599999999999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0"/>
      <c r="B35" s="90"/>
      <c r="C35" s="90"/>
      <c r="D35" s="90"/>
      <c r="E35" s="90"/>
      <c r="F35" s="90"/>
      <c r="G35" s="18" t="s">
        <v>480</v>
      </c>
      <c r="H35" s="18" t="s">
        <v>467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1.8298164540385302</v>
      </c>
      <c r="N35" s="13">
        <f ca="1">(+M35+O35+R35+U35+V35+W35+X35+Y35+Z35+AA35+AC35+AH35+AI35+AJ35+AK35)*CUSTOS!$M$5</f>
        <v>1.0429822164540385E-11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52.9833</v>
      </c>
      <c r="V35" s="13">
        <f>TRANSICAO!$V$35*CUSTOS!$T$3</f>
        <v>6.0739000000000001</v>
      </c>
      <c r="W35" s="13">
        <f>TRANSICAO!$W$35*CUSTOS!$T$3</f>
        <v>4.2340999999999998</v>
      </c>
      <c r="X35" s="13">
        <f>TRANSICAO!$X$35*CUSTOS!$T$3</f>
        <v>0</v>
      </c>
      <c r="Y35" s="13">
        <f>TRANSICAO!$Y$35*CUSTOS!$T$3</f>
        <v>232.5001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690.70180000000005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CUSTOS!$M$29)*26.3296</f>
        <v>26.329599999999999</v>
      </c>
      <c r="AI35" s="13">
        <f>(1 - CUSTOS!$M$29)*26.3296</f>
        <v>26.329599999999999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0"/>
      <c r="B36" s="90"/>
      <c r="C36" s="90"/>
      <c r="D36" s="90"/>
      <c r="E36" s="90"/>
      <c r="F36" s="90"/>
      <c r="G36" s="18" t="s">
        <v>469</v>
      </c>
      <c r="H36" s="18" t="s">
        <v>467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1.8298164540385302</v>
      </c>
      <c r="N36" s="13">
        <f ca="1">(+M36+O36+R36+U36+V36+W36+X36+Y36+Z36+AA36+AC36+AH36+AI36+AJ36+AK36)*CUSTOS!$M$5</f>
        <v>3.8527681645403853E-12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17.661200000000001</v>
      </c>
      <c r="V36" s="13">
        <f>TRANSICAO!$V$36*CUSTOS!$T$3</f>
        <v>2.0246</v>
      </c>
      <c r="W36" s="13">
        <f>TRANSICAO!$W$36*CUSTOS!$T$3</f>
        <v>1.4113</v>
      </c>
      <c r="X36" s="13">
        <f>TRANSICAO!$X$36*CUSTOS!$T$3</f>
        <v>0</v>
      </c>
      <c r="Y36" s="13">
        <f>TRANSICAO!$Y$36*CUSTOS!$T$3</f>
        <v>77.456800000000001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230.23390000000001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CUSTOS!$M$29)*26.3296</f>
        <v>26.329599999999999</v>
      </c>
      <c r="AI36" s="13">
        <f>(1 - CUSTOS!$M$29)*26.3296</f>
        <v>26.329599999999999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0"/>
      <c r="B37" s="17" t="s">
        <v>23</v>
      </c>
      <c r="C37" s="17" t="s">
        <v>43</v>
      </c>
      <c r="D37" s="17" t="s">
        <v>484</v>
      </c>
      <c r="E37" s="17" t="s">
        <v>25</v>
      </c>
      <c r="F37" s="17" t="s">
        <v>25</v>
      </c>
      <c r="G37" s="18" t="s">
        <v>474</v>
      </c>
      <c r="H37" s="18" t="s">
        <v>467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1.8298164540385302</v>
      </c>
      <c r="N37" s="13">
        <f ca="1">(+M37+O37+R37+U37+V37+W37+X37+Y37+Z37+AA37+AC37+AH37+AI37+AJ37+AK37)*CUSTOS!$M$5</f>
        <v>5.7808141645403858E-12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131.36519999999999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390.22719999999998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CUSTOS!$M$29)*26.3296</f>
        <v>26.329599999999999</v>
      </c>
      <c r="AI37" s="13">
        <f>(1 - CUSTOS!$M$29)*26.3296</f>
        <v>26.329599999999999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0"/>
      <c r="B38" s="90" t="s">
        <v>33</v>
      </c>
      <c r="C38" s="90" t="s">
        <v>43</v>
      </c>
      <c r="D38" s="90" t="s">
        <v>485</v>
      </c>
      <c r="E38" s="90" t="s">
        <v>25</v>
      </c>
      <c r="F38" s="90" t="s">
        <v>25</v>
      </c>
      <c r="G38" s="18" t="s">
        <v>468</v>
      </c>
      <c r="H38" s="18" t="s">
        <v>467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1.8298164540385302</v>
      </c>
      <c r="N38" s="13">
        <f ca="1">(+M38+O38+R38+U38+V38+W38+X38+Y38+Z38+AA38+AC38+AH38+AI38+AJ38+AK38)*CUSTOS!$M$5</f>
        <v>1.7006882164540387E-11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88.305700000000002</v>
      </c>
      <c r="V38" s="13">
        <f>TRANSICAO!$V$38*CUSTOS!$T$3</f>
        <v>10.123200000000001</v>
      </c>
      <c r="W38" s="13">
        <f>TRANSICAO!$W$38*CUSTOS!$T$3</f>
        <v>7.0568999999999997</v>
      </c>
      <c r="X38" s="13">
        <f>TRANSICAO!$X$38*CUSTOS!$T$3</f>
        <v>0</v>
      </c>
      <c r="Y38" s="13">
        <f>TRANSICAO!$Y$38*CUSTOS!$T$3</f>
        <v>387.54340000000002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1151.17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CUSTOS!$M$30)*26.3296</f>
        <v>26.329599999999999</v>
      </c>
      <c r="AI38" s="13">
        <f>(1 - CUSTOS!$M$30)*26.3296</f>
        <v>26.329599999999999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0"/>
      <c r="B39" s="90"/>
      <c r="C39" s="90"/>
      <c r="D39" s="90"/>
      <c r="E39" s="90"/>
      <c r="F39" s="90"/>
      <c r="G39" s="18" t="s">
        <v>480</v>
      </c>
      <c r="H39" s="18" t="s">
        <v>467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1.8298164540385302</v>
      </c>
      <c r="N39" s="13">
        <f ca="1">(+M39+O39+R39+U39+V39+W39+X39+Y39+Z39+AA39+AC39+AH39+AI39+AJ39+AK39)*CUSTOS!$M$5</f>
        <v>1.0429822164540385E-11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52.9833</v>
      </c>
      <c r="V39" s="13">
        <f>TRANSICAO!$V$39*CUSTOS!$T$3</f>
        <v>6.0739000000000001</v>
      </c>
      <c r="W39" s="13">
        <f>TRANSICAO!$W$39*CUSTOS!$T$3</f>
        <v>4.2340999999999998</v>
      </c>
      <c r="X39" s="13">
        <f>TRANSICAO!$X$39*CUSTOS!$T$3</f>
        <v>0</v>
      </c>
      <c r="Y39" s="13">
        <f>TRANSICAO!$Y$39*CUSTOS!$T$3</f>
        <v>232.5001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690.70180000000005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CUSTOS!$M$30)*26.3296</f>
        <v>26.329599999999999</v>
      </c>
      <c r="AI39" s="13">
        <f>(1 - CUSTOS!$M$30)*26.3296</f>
        <v>26.329599999999999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0"/>
      <c r="B40" s="90"/>
      <c r="C40" s="90"/>
      <c r="D40" s="90"/>
      <c r="E40" s="90"/>
      <c r="F40" s="90"/>
      <c r="G40" s="18" t="s">
        <v>469</v>
      </c>
      <c r="H40" s="18" t="s">
        <v>467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1.8298164540385302</v>
      </c>
      <c r="N40" s="13">
        <f ca="1">(+M40+O40+R40+U40+V40+W40+X40+Y40+Z40+AA40+AC40+AH40+AI40+AJ40+AK40)*CUSTOS!$M$5</f>
        <v>3.8527681645403853E-12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17.661200000000001</v>
      </c>
      <c r="V40" s="13">
        <f>TRANSICAO!$V$40*CUSTOS!$T$3</f>
        <v>2.0246</v>
      </c>
      <c r="W40" s="13">
        <f>TRANSICAO!$W$40*CUSTOS!$T$3</f>
        <v>1.4113</v>
      </c>
      <c r="X40" s="13">
        <f>TRANSICAO!$X$40*CUSTOS!$T$3</f>
        <v>0</v>
      </c>
      <c r="Y40" s="13">
        <f>TRANSICAO!$Y$40*CUSTOS!$T$3</f>
        <v>77.456800000000001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230.23390000000001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CUSTOS!$M$30)*26.3296</f>
        <v>26.329599999999999</v>
      </c>
      <c r="AI40" s="13">
        <f>(1 - CUSTOS!$M$30)*26.3296</f>
        <v>26.329599999999999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0"/>
      <c r="B41" s="17" t="s">
        <v>23</v>
      </c>
      <c r="C41" s="17" t="s">
        <v>43</v>
      </c>
      <c r="D41" s="17" t="s">
        <v>485</v>
      </c>
      <c r="E41" s="17" t="s">
        <v>25</v>
      </c>
      <c r="F41" s="17" t="s">
        <v>25</v>
      </c>
      <c r="G41" s="18" t="s">
        <v>474</v>
      </c>
      <c r="H41" s="18" t="s">
        <v>467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1.8298164540385302</v>
      </c>
      <c r="N41" s="13">
        <f ca="1">(+M41+O41+R41+U41+V41+W41+X41+Y41+Z41+AA41+AC41+AH41+AI41+AJ41+AK41)*CUSTOS!$M$5</f>
        <v>5.7808141645403858E-12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131.36519999999999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390.22719999999998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CUSTOS!$M$30)*26.3296</f>
        <v>26.329599999999999</v>
      </c>
      <c r="AI41" s="13">
        <f>(1 - CUSTOS!$M$30)*26.3296</f>
        <v>26.329599999999999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0"/>
      <c r="B42" s="90" t="s">
        <v>483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474</v>
      </c>
      <c r="H42" s="18" t="s">
        <v>467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1.8298164540385302</v>
      </c>
      <c r="N42" s="13">
        <f ca="1">(+M42+O42+R42+U42+V42+W42+X42+Y42+Z42+AA42+AC42+AH42+AI42+AJ42+AK42)*CUSTOS!$M$5</f>
        <v>5.7808141645403858E-12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131.36519999999999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390.22719999999998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CUSTOS!$M$28)*26.3296</f>
        <v>26.329599999999999</v>
      </c>
      <c r="AI42" s="13">
        <f>(1 - CUSTOS!$M$28)*26.3296</f>
        <v>26.329599999999999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0"/>
      <c r="B43" s="90"/>
      <c r="C43" s="90"/>
      <c r="D43" s="17" t="s">
        <v>484</v>
      </c>
      <c r="E43" s="17" t="s">
        <v>25</v>
      </c>
      <c r="F43" s="17" t="s">
        <v>25</v>
      </c>
      <c r="G43" s="18" t="s">
        <v>474</v>
      </c>
      <c r="H43" s="18" t="s">
        <v>467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1.8298164540385302</v>
      </c>
      <c r="N43" s="13">
        <f ca="1">(+M43+O43+R43+U43+V43+W43+X43+Y43+Z43+AA43+AC43+AH43+AI43+AJ43+AK43)*CUSTOS!$M$5</f>
        <v>5.7808141645403858E-12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131.36519999999999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390.22719999999998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CUSTOS!$M$29)*26.3296</f>
        <v>26.329599999999999</v>
      </c>
      <c r="AI43" s="13">
        <f>(1 - CUSTOS!$M$29)*26.3296</f>
        <v>26.329599999999999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0"/>
      <c r="B44" s="90"/>
      <c r="C44" s="90"/>
      <c r="D44" s="17" t="s">
        <v>485</v>
      </c>
      <c r="E44" s="17" t="s">
        <v>25</v>
      </c>
      <c r="F44" s="17" t="s">
        <v>25</v>
      </c>
      <c r="G44" s="18" t="s">
        <v>474</v>
      </c>
      <c r="H44" s="18" t="s">
        <v>467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1.8298164540385302</v>
      </c>
      <c r="N44" s="13">
        <f ca="1">(+M44+O44+R44+U44+V44+W44+X44+Y44+Z44+AA44+AC44+AH44+AI44+AJ44+AK44)*CUSTOS!$M$5</f>
        <v>5.7808141645403858E-12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131.36519999999999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390.22719999999998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CUSTOS!$M$30)*26.3296</f>
        <v>26.329599999999999</v>
      </c>
      <c r="AI44" s="13">
        <f>(1 - CUSTOS!$M$30)*26.3296</f>
        <v>26.329599999999999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0" t="s">
        <v>37</v>
      </c>
      <c r="B45" s="90" t="s">
        <v>33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468</v>
      </c>
      <c r="H45" s="18" t="s">
        <v>467</v>
      </c>
      <c r="I45" s="18">
        <f>'MERCADO TUSD'!$U$42</f>
        <v>3.0390000000000001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1.8298164540385302</v>
      </c>
      <c r="N45" s="13">
        <f ca="1">(+M45+O45+R45+U45+V45+W45+X45+Y45+Z45+AA45+AC45+AH45+AI45+AJ45+AK45)*CUSTOS!$M$5</f>
        <v>1.9794604164540388E-11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103.273</v>
      </c>
      <c r="V45" s="13">
        <f>TRANSICAO!$V$45*CUSTOS!$T$3</f>
        <v>11.838900000000001</v>
      </c>
      <c r="W45" s="13">
        <f>TRANSICAO!$W$45*CUSTOS!$T$3</f>
        <v>8.2530000000000001</v>
      </c>
      <c r="X45" s="13">
        <f>TRANSICAO!$X$45*CUSTOS!$T$3</f>
        <v>0</v>
      </c>
      <c r="Y45" s="13">
        <f>TRANSICAO!$Y$45*CUSTOS!$T$3</f>
        <v>453.32330000000002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1346.2832000000001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CUSTOS!$M$31)*26.3296</f>
        <v>26.329599999999999</v>
      </c>
      <c r="AI45" s="13">
        <f>(1 - CUSTOS!$M$31)*26.3296</f>
        <v>26.329599999999999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0"/>
      <c r="B46" s="90"/>
      <c r="C46" s="90"/>
      <c r="D46" s="90"/>
      <c r="E46" s="90"/>
      <c r="F46" s="90"/>
      <c r="G46" s="18" t="s">
        <v>480</v>
      </c>
      <c r="H46" s="18" t="s">
        <v>467</v>
      </c>
      <c r="I46" s="18">
        <f>'MERCADO TUSD'!$U$43</f>
        <v>5.1750000000000007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1.8298164540385302</v>
      </c>
      <c r="N46" s="13">
        <f ca="1">(+M46+O46+R46+U46+V46+W46+X46+Y46+Z46+AA46+AC46+AH46+AI46+AJ46+AK46)*CUSTOS!$M$5</f>
        <v>1.2102197164540385E-11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61.963700000000003</v>
      </c>
      <c r="V46" s="13">
        <f>TRANSICAO!$V$46*CUSTOS!$T$3</f>
        <v>7.1033999999999997</v>
      </c>
      <c r="W46" s="13">
        <f>TRANSICAO!$W$46*CUSTOS!$T$3</f>
        <v>4.9516999999999998</v>
      </c>
      <c r="X46" s="13">
        <f>TRANSICAO!$X$46*CUSTOS!$T$3</f>
        <v>0</v>
      </c>
      <c r="Y46" s="13">
        <f>TRANSICAO!$Y$46*CUSTOS!$T$3</f>
        <v>271.94200000000001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807.76990000000001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CUSTOS!$M$31)*26.3296</f>
        <v>26.329599999999999</v>
      </c>
      <c r="AI46" s="13">
        <f>(1 - CUSTOS!$M$31)*26.3296</f>
        <v>26.329599999999999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0"/>
      <c r="B47" s="90"/>
      <c r="C47" s="90"/>
      <c r="D47" s="90"/>
      <c r="E47" s="90"/>
      <c r="F47" s="90"/>
      <c r="G47" s="18" t="s">
        <v>469</v>
      </c>
      <c r="H47" s="18" t="s">
        <v>467</v>
      </c>
      <c r="I47" s="18">
        <f>'MERCADO TUSD'!$U$44</f>
        <v>190.53300000000002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1.8298164540385302</v>
      </c>
      <c r="N47" s="13">
        <f ca="1">(+M47+O47+R47+U47+V47+W47+X47+Y47+Z47+AA47+AC47+AH47+AI47+AJ47+AK47)*CUSTOS!$M$5</f>
        <v>4.4104431645403857E-12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20.654499999999999</v>
      </c>
      <c r="V47" s="13">
        <f>TRANSICAO!$V$47*CUSTOS!$T$3</f>
        <v>2.3677999999999999</v>
      </c>
      <c r="W47" s="13">
        <f>TRANSICAO!$W$47*CUSTOS!$T$3</f>
        <v>1.6505000000000001</v>
      </c>
      <c r="X47" s="13">
        <f>TRANSICAO!$X$47*CUSTOS!$T$3</f>
        <v>0</v>
      </c>
      <c r="Y47" s="13">
        <f>TRANSICAO!$Y$47*CUSTOS!$T$3</f>
        <v>90.625699999999995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269.2568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CUSTOS!$M$31)*26.3296</f>
        <v>26.329599999999999</v>
      </c>
      <c r="AI47" s="13">
        <f>(1 - CUSTOS!$M$31)*26.3296</f>
        <v>26.329599999999999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474</v>
      </c>
      <c r="H48" s="18" t="s">
        <v>467</v>
      </c>
      <c r="I48" s="18">
        <f>'MERCADO TUSD'!$U$45</f>
        <v>13839.034999999998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1.8298164540385302</v>
      </c>
      <c r="N48" s="13">
        <f ca="1">(+M48+O48+R48+U48+V48+W48+X48+Y48+Z48+AA48+AC48+AH48+AI48+AJ48+AK48)*CUSTOS!$M$5</f>
        <v>5.7808141645403858E-12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131.36519999999999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390.22719999999998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CUSTOS!$M$31)*26.3296</f>
        <v>26.329599999999999</v>
      </c>
      <c r="AI48" s="13">
        <f>(1 - CUSTOS!$M$31)*26.3296</f>
        <v>26.329599999999999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0"/>
      <c r="B49" s="17" t="s">
        <v>483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474</v>
      </c>
      <c r="H49" s="18" t="s">
        <v>467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1.8298164540385302</v>
      </c>
      <c r="N49" s="13">
        <f ca="1">(+M49+O49+R49+U49+V49+W49+X49+Y49+Z49+AA49+AC49+AH49+AI49+AJ49+AK49)*CUSTOS!$M$5</f>
        <v>5.7808141645403858E-12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131.36519999999999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390.22719999999998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CUSTOS!$M$31)*26.3296</f>
        <v>26.329599999999999</v>
      </c>
      <c r="AI49" s="13">
        <f>(1 - CUSTOS!$M$31)*26.3296</f>
        <v>26.329599999999999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0" t="s">
        <v>45</v>
      </c>
      <c r="B50" s="90" t="s">
        <v>23</v>
      </c>
      <c r="C50" s="90" t="s">
        <v>46</v>
      </c>
      <c r="D50" s="17" t="s">
        <v>486</v>
      </c>
      <c r="E50" s="17" t="s">
        <v>25</v>
      </c>
      <c r="F50" s="17" t="s">
        <v>25</v>
      </c>
      <c r="G50" s="18" t="s">
        <v>474</v>
      </c>
      <c r="H50" s="18" t="s">
        <v>467</v>
      </c>
      <c r="I50" s="18">
        <f>'MERCADO TUSD'!$U$47</f>
        <v>0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1.0063990497211917</v>
      </c>
      <c r="N50" s="13">
        <f ca="1">(+M50+O50+R50+U50+V50+W50+X50+Y50+Z50+AA50+AC50+AH50+AI50+AJ50+AK50)*CUSTOS!$M$5</f>
        <v>3.1794477904972127E-12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72.250860000000003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214.62496000000002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CUSTOS!$M$32)*26.3296</f>
        <v>14.48128</v>
      </c>
      <c r="AI50" s="13">
        <f>(1 - CUSTOS!$M$32)*26.3296</f>
        <v>14.48128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0"/>
      <c r="B51" s="90"/>
      <c r="C51" s="90"/>
      <c r="D51" s="18" t="s">
        <v>47</v>
      </c>
      <c r="E51" s="18" t="s">
        <v>25</v>
      </c>
      <c r="F51" s="18" t="s">
        <v>25</v>
      </c>
      <c r="G51" s="18" t="s">
        <v>474</v>
      </c>
      <c r="H51" s="18" t="s">
        <v>467</v>
      </c>
      <c r="I51" s="18">
        <f>'MERCADO TUSD'!$U$48</f>
        <v>3807.3310000000001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1.0978898724231181</v>
      </c>
      <c r="N51" s="13">
        <f ca="1">(+M51+O51+R51+U51+V51+W51+X51+Y51+Z51+AA51+AC51+AH51+AI51+AJ51+AK51)*CUSTOS!$M$5</f>
        <v>3.4684884987242305E-12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78.819119999999984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234.13631999999998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CUSTOS!$M$33)*26.3296</f>
        <v>15.797759999999998</v>
      </c>
      <c r="AI51" s="13">
        <f>(1 - CUSTOS!$M$33)*26.3296</f>
        <v>15.797759999999998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3">
      <c r="K53" s="16" t="s">
        <v>596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3">
      <c r="K54" s="16" t="s">
        <v>597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3">
      <c r="K55" s="16" t="s">
        <v>598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56410.941080000004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98384.721032855436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2.8820155696323717E-7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58834.1996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58283.304600000003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56410.941080000004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58283.304600000003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58834.1996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4569.8726430000006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523.88254949999998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365.18063100000006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7615764.2552907197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20960225.955616686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1359925.4171801598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1359925.4171801598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3">
      <c r="K56" s="16" t="s">
        <v>534</v>
      </c>
      <c r="L56" s="13">
        <f>CUSTOS!$D$2</f>
        <v>0</v>
      </c>
      <c r="M56" s="13">
        <f>CUSTOS!$D$3</f>
        <v>101171.40779676361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5176461.8090699986</v>
      </c>
      <c r="R56" s="13">
        <f>CUSTOS!$D$8</f>
        <v>845062.12880999979</v>
      </c>
      <c r="S56" s="13">
        <f>CUSTOS!$D$9</f>
        <v>0</v>
      </c>
      <c r="T56" s="13">
        <f>CUSTOS!$D$10</f>
        <v>6122695.3456767621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7916132.6110183997</v>
      </c>
      <c r="Z56" s="13">
        <f>Z54</f>
        <v>0</v>
      </c>
      <c r="AA56" s="13">
        <f>AA54</f>
        <v>0</v>
      </c>
      <c r="AB56" s="13">
        <f>CUSTOS!$D$18</f>
        <v>7916132.6110183997</v>
      </c>
      <c r="AC56" s="13">
        <f>CUSTOS!$D$19</f>
        <v>23425104.43</v>
      </c>
      <c r="AD56" s="13">
        <f>CUSTOS!$D$20</f>
        <v>23425104.43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991456.7303740012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991456.7303740012</v>
      </c>
      <c r="AM56" s="13">
        <f>CUSTOS!$D$29</f>
        <v>38455389.117069162</v>
      </c>
    </row>
    <row r="57" spans="1:42" ht="11.25" customHeight="1" x14ac:dyDescent="0.3">
      <c r="K57" s="16" t="s">
        <v>535</v>
      </c>
      <c r="L57" s="13">
        <f>CUSTOS!$E$2</f>
        <v>0</v>
      </c>
      <c r="M57" s="13">
        <f>CUSTOS!$E$3</f>
        <v>-4434.423121813832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-175355.2708544028</v>
      </c>
      <c r="R57" s="13">
        <f>CUSTOS!$E$8</f>
        <v>-28095.056381815815</v>
      </c>
      <c r="S57" s="13">
        <f>CUSTOS!$E$9</f>
        <v>0</v>
      </c>
      <c r="T57" s="13">
        <f>CUSTOS!$E$10</f>
        <v>-207884.75035803244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221553.17760410844</v>
      </c>
      <c r="Z57" s="13">
        <f>CUSTOS!$E$16</f>
        <v>0</v>
      </c>
      <c r="AA57" s="13">
        <f>CUSTOS!$E$17</f>
        <v>0</v>
      </c>
      <c r="AB57" s="13">
        <f>CUSTOS!$E$18</f>
        <v>221553.17760410844</v>
      </c>
      <c r="AC57" s="13">
        <f>CUSTOS!$E$19</f>
        <v>-96886.197785623372</v>
      </c>
      <c r="AD57" s="13">
        <f>CUSTOS!$E$20</f>
        <v>-96886.197785623372</v>
      </c>
      <c r="AE57" s="13">
        <f>CUSTOS!$E$21</f>
        <v>-424264.20941657806</v>
      </c>
      <c r="AF57" s="13">
        <f>CUSTOS!$E$22</f>
        <v>0</v>
      </c>
      <c r="AG57" s="13">
        <f>CUSTOS!$E$23</f>
        <v>-424264.20941657806</v>
      </c>
      <c r="AH57" s="13">
        <f>CUSTOS!$E$24</f>
        <v>-587739.9660082187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-587739.9660082187</v>
      </c>
      <c r="AM57" s="13">
        <f>CUSTOS!$E$29</f>
        <v>-1095221.9459643441</v>
      </c>
    </row>
    <row r="58" spans="1:42" ht="11.25" customHeight="1" x14ac:dyDescent="0.3">
      <c r="K58" s="16" t="s">
        <v>536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3">
      <c r="K59" s="16" t="s">
        <v>599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3">
      <c r="K60" s="16" t="s">
        <v>600</v>
      </c>
      <c r="L60" s="13">
        <f t="shared" ref="L60:S60" si="1">IF((L55+L53)&lt;&gt;0,(L56-L54-L59)/(L55+L53),0)</f>
        <v>0</v>
      </c>
      <c r="M60" s="13">
        <f t="shared" si="1"/>
        <v>1.0283243854803183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91.763436488835083</v>
      </c>
      <c r="R60" s="13">
        <f t="shared" si="1"/>
        <v>14.499214390976721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1.0394403431696315</v>
      </c>
      <c r="Z60" s="13"/>
      <c r="AA60" s="13"/>
      <c r="AB60" s="13"/>
      <c r="AC60" s="13">
        <f>IF(AC55&lt;&gt;0,(AC56-AC54-AC53-AC59)/AC55,0)</f>
        <v>1.1175978961106001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0.72905228319786253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3">
      <c r="K62" s="19" t="s">
        <v>604</v>
      </c>
      <c r="L62" s="19" t="s">
        <v>605</v>
      </c>
      <c r="M62" s="19" t="s">
        <v>606</v>
      </c>
      <c r="N62" s="19" t="s">
        <v>607</v>
      </c>
      <c r="O62" s="19" t="s">
        <v>608</v>
      </c>
      <c r="P62" s="19" t="s">
        <v>609</v>
      </c>
    </row>
    <row r="63" spans="1:42" ht="11.25" customHeight="1" x14ac:dyDescent="0.3">
      <c r="K63" s="18" t="s">
        <v>39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5548967.9780224124</v>
      </c>
      <c r="M63" s="18">
        <f>+'TUSD BE'!$I$7+'TUSD BE'!$I$8+'TUSD BE'!$I$11+'TUSD BE'!$I$12+'TUSD BE'!$I$13+'TUSD BE'!$I$14</f>
        <v>11702.271999999999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3">
      <c r="K64" s="18" t="s">
        <v>477</v>
      </c>
      <c r="L64" s="18">
        <f ca="1">+$L$65+$L$66+$L$67+$L$68+$L$69</f>
        <v>32906421.139046341</v>
      </c>
      <c r="M64" s="18">
        <f>+$M$65+$M$66+$M$67+$M$68+$M$69</f>
        <v>48654.86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3">
      <c r="K65" s="18" t="s">
        <v>477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3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21147726.436842956</v>
      </c>
      <c r="M66" s="18">
        <f>+'TUSD BE'!$I$17+'TUSD BE'!$I$18+'TUSD BE'!$I$19+'TUSD BE'!$I$20+'TUSD BE'!$I$21+'TUSD BE'!$I$22+'TUSD BE'!$I$23+'TUSD BE'!$I$24+'TUSD BE'!$I$25+'TUSD BE'!$I$26+'TUSD BE'!$I$27+'TUSD BE'!$I$28+'TUSD BE'!$I$29</f>
        <v>30296.169000000002</v>
      </c>
      <c r="N66" s="18"/>
      <c r="O66" s="18"/>
      <c r="P66" s="18"/>
    </row>
    <row r="67" spans="11:16" ht="11.25" customHeight="1" x14ac:dyDescent="0.3">
      <c r="K67" s="18" t="s">
        <v>42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359506.31383537076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513.57799999999997</v>
      </c>
      <c r="N67" s="18"/>
      <c r="O67" s="18"/>
      <c r="P67" s="18"/>
    </row>
    <row r="68" spans="11:16" ht="11.25" customHeight="1" x14ac:dyDescent="0.3">
      <c r="K68" s="18" t="s">
        <v>37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9800101.7452160828</v>
      </c>
      <c r="M68" s="18">
        <f>+'TUSD BE'!$I$45+'TUSD BE'!$I$46+'TUSD BE'!$I$47+'TUSD BE'!$I$48+'TUSD BE'!$I$49</f>
        <v>14037.781999999997</v>
      </c>
      <c r="N68" s="18"/>
      <c r="O68" s="18"/>
      <c r="P68" s="18"/>
    </row>
    <row r="69" spans="11:16" ht="11.25" customHeight="1" x14ac:dyDescent="0.3">
      <c r="K69" s="18" t="s">
        <v>45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1599086.6431519296</v>
      </c>
      <c r="M69" s="18">
        <f>+'TUSD BE'!$I$50+'TUSD BE'!$I$51</f>
        <v>3807.3310000000001</v>
      </c>
      <c r="N69" s="18"/>
      <c r="O69" s="18"/>
      <c r="P69" s="18"/>
    </row>
    <row r="70" spans="11:16" ht="11.25" customHeight="1" x14ac:dyDescent="0.3">
      <c r="K70" s="18"/>
      <c r="L70" s="18">
        <f ca="1">SUM($L$63:$L$69,-$L$64)</f>
        <v>38455389.117068738</v>
      </c>
      <c r="M70" s="18">
        <f>SUM($M$63:$M$69,-$M$64)</f>
        <v>60357.131999999998</v>
      </c>
      <c r="N70" s="18"/>
      <c r="O70" s="18"/>
      <c r="P70" s="18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65C6-9CFD-4944-8692-382BB060B6C4}">
  <dimension ref="A1:AP58"/>
  <sheetViews>
    <sheetView showGridLines="0" topLeftCell="Z36" workbookViewId="0">
      <selection activeCell="AM53" sqref="AM53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457</v>
      </c>
      <c r="B1" s="91" t="s">
        <v>458</v>
      </c>
      <c r="C1" s="91" t="s">
        <v>459</v>
      </c>
      <c r="D1" s="91" t="s">
        <v>460</v>
      </c>
      <c r="E1" s="91" t="s">
        <v>461</v>
      </c>
      <c r="F1" s="91" t="s">
        <v>15</v>
      </c>
      <c r="G1" s="91" t="s">
        <v>463</v>
      </c>
      <c r="H1" s="91" t="s">
        <v>464</v>
      </c>
      <c r="I1" s="91" t="s">
        <v>593</v>
      </c>
      <c r="J1" s="84"/>
      <c r="L1" s="92" t="s">
        <v>601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595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492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493</v>
      </c>
      <c r="M3" s="92"/>
      <c r="N3" s="92"/>
      <c r="O3" s="92"/>
      <c r="P3" s="92"/>
      <c r="Q3" s="92"/>
      <c r="R3" s="92"/>
      <c r="S3" s="92"/>
      <c r="T3" s="92"/>
      <c r="U3" s="92" t="s">
        <v>502</v>
      </c>
      <c r="V3" s="92"/>
      <c r="W3" s="92"/>
      <c r="X3" s="92"/>
      <c r="Y3" s="92"/>
      <c r="Z3" s="92"/>
      <c r="AA3" s="92"/>
      <c r="AB3" s="92"/>
      <c r="AC3" s="92" t="s">
        <v>510</v>
      </c>
      <c r="AD3" s="92"/>
      <c r="AE3" s="92" t="s">
        <v>512</v>
      </c>
      <c r="AF3" s="92"/>
      <c r="AG3" s="92"/>
      <c r="AH3" s="92" t="s">
        <v>515</v>
      </c>
      <c r="AI3" s="92"/>
      <c r="AJ3" s="92"/>
      <c r="AK3" s="92"/>
      <c r="AL3" s="92"/>
      <c r="AM3" s="92" t="s">
        <v>501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578</v>
      </c>
      <c r="M4" s="10" t="s">
        <v>494</v>
      </c>
      <c r="N4" s="10" t="s">
        <v>495</v>
      </c>
      <c r="O4" s="10" t="s">
        <v>496</v>
      </c>
      <c r="P4" s="10" t="s">
        <v>497</v>
      </c>
      <c r="Q4" s="10" t="s">
        <v>498</v>
      </c>
      <c r="R4" s="10" t="s">
        <v>499</v>
      </c>
      <c r="S4" s="10" t="s">
        <v>500</v>
      </c>
      <c r="T4" s="10" t="s">
        <v>501</v>
      </c>
      <c r="U4" s="10" t="s">
        <v>503</v>
      </c>
      <c r="V4" s="10" t="s">
        <v>504</v>
      </c>
      <c r="W4" s="10" t="s">
        <v>505</v>
      </c>
      <c r="X4" s="10" t="s">
        <v>506</v>
      </c>
      <c r="Y4" s="10" t="s">
        <v>507</v>
      </c>
      <c r="Z4" s="10" t="s">
        <v>508</v>
      </c>
      <c r="AA4" s="10" t="s">
        <v>509</v>
      </c>
      <c r="AB4" s="10" t="s">
        <v>501</v>
      </c>
      <c r="AC4" s="10" t="s">
        <v>511</v>
      </c>
      <c r="AD4" s="10" t="s">
        <v>501</v>
      </c>
      <c r="AE4" s="10" t="s">
        <v>513</v>
      </c>
      <c r="AF4" s="10" t="s">
        <v>514</v>
      </c>
      <c r="AG4" s="10" t="s">
        <v>501</v>
      </c>
      <c r="AH4" s="10" t="s">
        <v>516</v>
      </c>
      <c r="AI4" s="10" t="s">
        <v>517</v>
      </c>
      <c r="AJ4" s="10" t="s">
        <v>518</v>
      </c>
      <c r="AK4" s="10" t="s">
        <v>519</v>
      </c>
      <c r="AL4" s="10" t="s">
        <v>501</v>
      </c>
      <c r="AM4" s="94"/>
      <c r="AP4" s="93"/>
    </row>
    <row r="5" spans="1:42" ht="11.25" customHeight="1" x14ac:dyDescent="0.3">
      <c r="A5" s="90" t="s">
        <v>39</v>
      </c>
      <c r="B5" s="90" t="s">
        <v>470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472</v>
      </c>
      <c r="H5" s="18" t="s">
        <v>471</v>
      </c>
      <c r="I5" s="18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41.874166056691557</v>
      </c>
      <c r="Z5" s="13">
        <f>'TR TUSD'!$Z$5</f>
        <v>0</v>
      </c>
      <c r="AA5" s="13">
        <f>'TR TUSD'!$AA$5</f>
        <v>0</v>
      </c>
      <c r="AB5" s="13">
        <f>SUM($U$5:$AA$5)</f>
        <v>41.874166056691557</v>
      </c>
      <c r="AC5" s="13">
        <f>'TR TUSD'!$AC$5*'TR TUSD'!$AC$60</f>
        <v>104.79044913091431</v>
      </c>
      <c r="AD5" s="13">
        <f>SUM($AC$5:$AC$5)</f>
        <v>104.79044913091431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146.66461518760588</v>
      </c>
      <c r="AP5" s="13">
        <v>1</v>
      </c>
    </row>
    <row r="6" spans="1:42" ht="11.25" customHeight="1" x14ac:dyDescent="0.3">
      <c r="A6" s="90"/>
      <c r="B6" s="90"/>
      <c r="C6" s="90"/>
      <c r="D6" s="90"/>
      <c r="E6" s="90"/>
      <c r="F6" s="90"/>
      <c r="G6" s="18" t="s">
        <v>473</v>
      </c>
      <c r="H6" s="18" t="s">
        <v>471</v>
      </c>
      <c r="I6" s="18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16.924999219762476</v>
      </c>
      <c r="Z6" s="13">
        <f>'TR TUSD'!$Z$6</f>
        <v>0</v>
      </c>
      <c r="AA6" s="13">
        <f>'TR TUSD'!$AA$6</f>
        <v>0</v>
      </c>
      <c r="AB6" s="13">
        <f>SUM($U$6:$AA$6)</f>
        <v>16.924999219762476</v>
      </c>
      <c r="AC6" s="13">
        <f>'TR TUSD'!$AC$6*'TR TUSD'!$AC$60</f>
        <v>29.281958956414613</v>
      </c>
      <c r="AD6" s="13">
        <f>SUM($AC$6:$AC$6)</f>
        <v>29.281958956414613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46.206958176177089</v>
      </c>
      <c r="AP6" s="13">
        <v>1</v>
      </c>
    </row>
    <row r="7" spans="1:42" ht="11.25" customHeight="1" x14ac:dyDescent="0.3">
      <c r="A7" s="90"/>
      <c r="B7" s="90"/>
      <c r="C7" s="90"/>
      <c r="D7" s="90"/>
      <c r="E7" s="90"/>
      <c r="F7" s="90"/>
      <c r="G7" s="18" t="s">
        <v>474</v>
      </c>
      <c r="H7" s="18" t="s">
        <v>467</v>
      </c>
      <c r="I7" s="18">
        <f>'MERCADO TUSD'!$U$4</f>
        <v>0</v>
      </c>
      <c r="J7" s="15"/>
      <c r="L7" s="13">
        <f>'TR TUSD'!$L$7*'TR TUSD'!$L$60</f>
        <v>0</v>
      </c>
      <c r="M7" s="13">
        <f>'TR TUSD'!$M$7*'TR TUSD'!$M$60</f>
        <v>1.0669601179568935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77.081286650621465</v>
      </c>
      <c r="R7" s="13">
        <f>'TR TUSD'!$R$7*'TR TUSD'!$R$60</f>
        <v>14.499214390976721</v>
      </c>
      <c r="S7" s="13">
        <f>'TR TUSD'!$S$7*'TR TUSD'!$S$60</f>
        <v>0</v>
      </c>
      <c r="T7" s="13">
        <f ca="1">SUM($L$7:$S$7)</f>
        <v>92.647461159555078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7.4112538900761908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7.4112538900761908</v>
      </c>
      <c r="AM7" s="13">
        <f ca="1">SUMIF($L$4:$AL$4,"SUBTOTAL",$L$7:$AL$7)</f>
        <v>100.05871504963127</v>
      </c>
      <c r="AP7" s="13">
        <v>1</v>
      </c>
    </row>
    <row r="8" spans="1:42" ht="11.25" customHeight="1" x14ac:dyDescent="0.3">
      <c r="A8" s="90"/>
      <c r="B8" s="90"/>
      <c r="C8" s="90"/>
      <c r="D8" s="90"/>
      <c r="E8" s="17" t="s">
        <v>475</v>
      </c>
      <c r="F8" s="17" t="s">
        <v>25</v>
      </c>
      <c r="G8" s="18" t="s">
        <v>474</v>
      </c>
      <c r="H8" s="18" t="s">
        <v>467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1.0669601179568935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1.0669601179568935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7.4112538900761908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7.4112538900761908</v>
      </c>
      <c r="AM8" s="13">
        <f ca="1">SUMIF($L$4:$AL$4,"SUBTOTAL",$L$8:$AL$8)</f>
        <v>8.4782140080330848</v>
      </c>
      <c r="AP8" s="13">
        <v>1</v>
      </c>
    </row>
    <row r="9" spans="1:42" ht="11.25" customHeight="1" x14ac:dyDescent="0.3">
      <c r="A9" s="90"/>
      <c r="B9" s="17" t="s">
        <v>476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471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1.1003070924639405E-2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1.1003070924639405E-2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13.247223141967778</v>
      </c>
      <c r="AD9" s="13">
        <f>SUM($AC$9:$AC$9)</f>
        <v>13.247223141967778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13.258226212892417</v>
      </c>
      <c r="AP9" s="13"/>
    </row>
    <row r="10" spans="1:42" ht="11.25" customHeight="1" x14ac:dyDescent="0.3">
      <c r="A10" s="90"/>
      <c r="B10" s="90" t="s">
        <v>40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471</v>
      </c>
      <c r="I10" s="18">
        <f>'MERCADO TUSD'!$U$7</f>
        <v>63475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16.924999219762476</v>
      </c>
      <c r="Z10" s="13">
        <f>'TR TUSD'!$Z$10</f>
        <v>0</v>
      </c>
      <c r="AA10" s="13">
        <f>'TR TUSD'!$AA$10</f>
        <v>0</v>
      </c>
      <c r="AB10" s="13">
        <f>SUM($U$10:$AA$10)</f>
        <v>16.924999219762476</v>
      </c>
      <c r="AC10" s="13">
        <f>'TR TUSD'!$AC$10*'TR TUSD'!$AC$60</f>
        <v>29.281958956414613</v>
      </c>
      <c r="AD10" s="13">
        <f>SUM($AC$10:$AC$10)</f>
        <v>29.281958956414613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46.206958176177089</v>
      </c>
      <c r="AP10" s="13">
        <v>1</v>
      </c>
    </row>
    <row r="11" spans="1:42" ht="11.25" customHeight="1" x14ac:dyDescent="0.3">
      <c r="A11" s="90"/>
      <c r="B11" s="90"/>
      <c r="C11" s="90"/>
      <c r="D11" s="90"/>
      <c r="E11" s="90"/>
      <c r="F11" s="90"/>
      <c r="G11" s="18" t="s">
        <v>468</v>
      </c>
      <c r="H11" s="18" t="s">
        <v>467</v>
      </c>
      <c r="I11" s="18">
        <f>'MERCADO TUSD'!$U$8</f>
        <v>409.63599999999997</v>
      </c>
      <c r="J11" s="15"/>
      <c r="L11" s="13">
        <f>'TR TUSD'!$L$11*'TR TUSD'!$L$60</f>
        <v>0</v>
      </c>
      <c r="M11" s="13">
        <f>'TR TUSD'!$M$11*'TR TUSD'!$M$60</f>
        <v>1.0669601179568935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77.081286650621465</v>
      </c>
      <c r="R11" s="13">
        <f>'TR TUSD'!$R$11*'TR TUSD'!$R$60</f>
        <v>14.499214390976721</v>
      </c>
      <c r="S11" s="13">
        <f>'TR TUSD'!$S$11*'TR TUSD'!$S$60</f>
        <v>0</v>
      </c>
      <c r="T11" s="13">
        <f ca="1">SUM($L$11:$S$11)</f>
        <v>92.647461159555078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1007.475161904376</v>
      </c>
      <c r="Z11" s="13">
        <f>'TR TUSD'!$Z$11</f>
        <v>0</v>
      </c>
      <c r="AA11" s="13">
        <f>'TR TUSD'!$AA$11</f>
        <v>0</v>
      </c>
      <c r="AB11" s="13">
        <f>SUM($U$11:$AA$11)</f>
        <v>1007.475161904376</v>
      </c>
      <c r="AC11" s="13">
        <f>'TR TUSD'!$AC$11*'TR TUSD'!$AC$60</f>
        <v>2520.2104133582789</v>
      </c>
      <c r="AD11" s="13">
        <f>SUM($AC$11:$AC$11)</f>
        <v>2520.2104133582789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7.4112538900761908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7.4112538900761908</v>
      </c>
      <c r="AM11" s="13">
        <f ca="1">SUMIF($L$4:$AL$4,"SUBTOTAL",$L$11:$AL$11)</f>
        <v>3627.7442903122865</v>
      </c>
      <c r="AP11" s="13">
        <v>1</v>
      </c>
    </row>
    <row r="12" spans="1:42" ht="11.25" customHeight="1" x14ac:dyDescent="0.3">
      <c r="A12" s="90"/>
      <c r="B12" s="90"/>
      <c r="C12" s="90"/>
      <c r="D12" s="90"/>
      <c r="E12" s="90"/>
      <c r="F12" s="90"/>
      <c r="G12" s="18" t="s">
        <v>469</v>
      </c>
      <c r="H12" s="18" t="s">
        <v>467</v>
      </c>
      <c r="I12" s="18">
        <f>'MERCADO TUSD'!$U$9</f>
        <v>11292.635999999999</v>
      </c>
      <c r="J12" s="15"/>
      <c r="L12" s="13">
        <f>'TR TUSD'!$L$12*'TR TUSD'!$L$60</f>
        <v>0</v>
      </c>
      <c r="M12" s="13">
        <f>'TR TUSD'!$M$12*'TR TUSD'!$M$60</f>
        <v>1.0669601179568935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77.081286650621465</v>
      </c>
      <c r="R12" s="13">
        <f>'TR TUSD'!$R$12*'TR TUSD'!$R$60</f>
        <v>14.499214390976721</v>
      </c>
      <c r="S12" s="13">
        <f>'TR TUSD'!$S$12*'TR TUSD'!$S$60</f>
        <v>0</v>
      </c>
      <c r="T12" s="13">
        <f ca="1">SUM($L$12:$S$12)</f>
        <v>92.647461159555078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7.4112538900761908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7.4112538900761908</v>
      </c>
      <c r="AM12" s="13">
        <f ca="1">SUMIF($L$4:$AL$4,"SUBTOTAL",$L$12:$AL$12)</f>
        <v>100.05871504963127</v>
      </c>
      <c r="AP12" s="13">
        <v>1</v>
      </c>
    </row>
    <row r="13" spans="1:42" ht="11.25" customHeight="1" x14ac:dyDescent="0.3">
      <c r="A13" s="90"/>
      <c r="B13" s="90"/>
      <c r="C13" s="90"/>
      <c r="D13" s="90"/>
      <c r="E13" s="90" t="s">
        <v>475</v>
      </c>
      <c r="F13" s="90" t="s">
        <v>25</v>
      </c>
      <c r="G13" s="18" t="s">
        <v>468</v>
      </c>
      <c r="H13" s="18" t="s">
        <v>467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1.0669601179568935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1.0669601179568935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1007.475161904376</v>
      </c>
      <c r="Z13" s="13">
        <f>'TR TUSD'!$Z$13</f>
        <v>0</v>
      </c>
      <c r="AA13" s="13">
        <f>'TR TUSD'!$AA$13</f>
        <v>0</v>
      </c>
      <c r="AB13" s="13">
        <f>SUM($U$13:$AA$13)</f>
        <v>1007.475161904376</v>
      </c>
      <c r="AC13" s="13">
        <f>'TR TUSD'!$AC$13*'TR TUSD'!$AC$60</f>
        <v>2520.2104133582789</v>
      </c>
      <c r="AD13" s="13">
        <f>SUM($AC$13:$AC$13)</f>
        <v>2520.2104133582789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7.4112538900761908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7.4112538900761908</v>
      </c>
      <c r="AM13" s="13">
        <f ca="1">SUMIF($L$4:$AL$4,"SUBTOTAL",$L$13:$AL$13)</f>
        <v>3536.1637892706881</v>
      </c>
      <c r="AP13" s="13">
        <v>1</v>
      </c>
    </row>
    <row r="14" spans="1:42" ht="11.25" customHeight="1" x14ac:dyDescent="0.3">
      <c r="A14" s="90"/>
      <c r="B14" s="90"/>
      <c r="C14" s="90"/>
      <c r="D14" s="90"/>
      <c r="E14" s="90"/>
      <c r="F14" s="90"/>
      <c r="G14" s="18" t="s">
        <v>469</v>
      </c>
      <c r="H14" s="18" t="s">
        <v>467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1.0669601179568935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1.0669601179568935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7.4112538900761908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7.4112538900761908</v>
      </c>
      <c r="AM14" s="13">
        <f ca="1">SUMIF($L$4:$AL$4,"SUBTOTAL",$L$14:$AL$14)</f>
        <v>8.4782140080330848</v>
      </c>
      <c r="AP14" s="13">
        <v>1</v>
      </c>
    </row>
    <row r="15" spans="1:42" ht="11.25" customHeight="1" x14ac:dyDescent="0.3">
      <c r="A15" s="90" t="s">
        <v>477</v>
      </c>
      <c r="B15" s="90" t="s">
        <v>476</v>
      </c>
      <c r="C15" s="90" t="s">
        <v>25</v>
      </c>
      <c r="D15" s="90" t="s">
        <v>25</v>
      </c>
      <c r="E15" s="17" t="s">
        <v>478</v>
      </c>
      <c r="F15" s="17" t="s">
        <v>25</v>
      </c>
      <c r="G15" s="18" t="s">
        <v>9</v>
      </c>
      <c r="H15" s="18" t="s">
        <v>471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1.1311568240283501E-2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1.1311568240283501E-2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13.664310676796251</v>
      </c>
      <c r="AD15" s="13">
        <f>SUM($AC$15:$AC$15)</f>
        <v>13.664310676796251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13.675622245036536</v>
      </c>
      <c r="AP15" s="13"/>
    </row>
    <row r="16" spans="1:42" ht="11.25" customHeight="1" x14ac:dyDescent="0.3">
      <c r="A16" s="90"/>
      <c r="B16" s="90"/>
      <c r="C16" s="90"/>
      <c r="D16" s="90"/>
      <c r="E16" s="17" t="s">
        <v>479</v>
      </c>
      <c r="F16" s="17" t="s">
        <v>25</v>
      </c>
      <c r="G16" s="18" t="s">
        <v>9</v>
      </c>
      <c r="H16" s="18" t="s">
        <v>471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1.1311568240283501E-2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1.1311568240283501E-2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27.80069470490962</v>
      </c>
      <c r="AD16" s="13">
        <f>SUM($AC$16:$AC$16)</f>
        <v>27.80069470490962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27.812006273149905</v>
      </c>
      <c r="AP16" s="13"/>
    </row>
    <row r="17" spans="1:42" ht="11.25" customHeight="1" x14ac:dyDescent="0.3">
      <c r="A17" s="90" t="s">
        <v>22</v>
      </c>
      <c r="B17" s="90" t="s">
        <v>33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468</v>
      </c>
      <c r="H17" s="18" t="s">
        <v>467</v>
      </c>
      <c r="I17" s="18">
        <f>'MERCADO TUSD'!$U$14</f>
        <v>0.495</v>
      </c>
      <c r="J17" s="15"/>
      <c r="L17" s="13">
        <f>'TR TUSD'!$L$17*'TR TUSD'!$L$60</f>
        <v>0</v>
      </c>
      <c r="M17" s="13">
        <f>'TR TUSD'!$M$17*'TR TUSD'!$M$60</f>
        <v>1.8816448806409467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91.763436488835083</v>
      </c>
      <c r="R17" s="13">
        <f>'TR TUSD'!$R$17*'TR TUSD'!$R$60</f>
        <v>14.499214390976721</v>
      </c>
      <c r="S17" s="13">
        <f>'TR TUSD'!$S$17*'TR TUSD'!$S$60</f>
        <v>0</v>
      </c>
      <c r="T17" s="13">
        <f ca="1">SUM($L$17:$S$17)</f>
        <v>108.14429576045275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368.84343083709172</v>
      </c>
      <c r="Z17" s="13">
        <f>'TR TUSD'!$Z$17</f>
        <v>0</v>
      </c>
      <c r="AA17" s="13">
        <f>'TR TUSD'!$AA$17</f>
        <v>0</v>
      </c>
      <c r="AB17" s="13">
        <f>SUM($U$17:$AA$17)</f>
        <v>368.84343083709172</v>
      </c>
      <c r="AC17" s="13">
        <f>'TR TUSD'!$AC$17*'TR TUSD'!$AC$60</f>
        <v>1177.5156721147778</v>
      </c>
      <c r="AD17" s="13">
        <f>SUM($AC$17:$AC$17)</f>
        <v>1177.5156721147778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19.195654995686439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19.195654995686439</v>
      </c>
      <c r="AM17" s="13">
        <f ca="1">SUMIF($L$4:$AL$4,"SUBTOTAL",$L$17:$AL$17)</f>
        <v>1673.6990537080087</v>
      </c>
      <c r="AP17" s="13">
        <v>1</v>
      </c>
    </row>
    <row r="18" spans="1:42" ht="11.25" customHeight="1" x14ac:dyDescent="0.3">
      <c r="A18" s="90"/>
      <c r="B18" s="90"/>
      <c r="C18" s="90"/>
      <c r="D18" s="90"/>
      <c r="E18" s="90"/>
      <c r="F18" s="90"/>
      <c r="G18" s="18" t="s">
        <v>480</v>
      </c>
      <c r="H18" s="18" t="s">
        <v>467</v>
      </c>
      <c r="I18" s="18">
        <f>'MERCADO TUSD'!$U$15</f>
        <v>0.24800000000000003</v>
      </c>
      <c r="J18" s="15"/>
      <c r="L18" s="13">
        <f>'TR TUSD'!$L$18*'TR TUSD'!$L$60</f>
        <v>0</v>
      </c>
      <c r="M18" s="13">
        <f>'TR TUSD'!$M$18*'TR TUSD'!$M$60</f>
        <v>1.8816448806409467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91.763436488835083</v>
      </c>
      <c r="R18" s="13">
        <f>'TR TUSD'!$R$18*'TR TUSD'!$R$60</f>
        <v>14.499214390976721</v>
      </c>
      <c r="S18" s="13">
        <f>'TR TUSD'!$S$18*'TR TUSD'!$S$60</f>
        <v>0</v>
      </c>
      <c r="T18" s="13">
        <f ca="1">SUM($L$18:$S$18)</f>
        <v>108.14429576045275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221.30610007986874</v>
      </c>
      <c r="Z18" s="13">
        <f>'TR TUSD'!$Z$18</f>
        <v>0</v>
      </c>
      <c r="AA18" s="13">
        <f>'TR TUSD'!$AA$18</f>
        <v>0</v>
      </c>
      <c r="AB18" s="13">
        <f>SUM($U$18:$AA$18)</f>
        <v>221.30610007986874</v>
      </c>
      <c r="AC18" s="13">
        <f>'TR TUSD'!$AC$18*'TR TUSD'!$AC$60</f>
        <v>706.50985030802508</v>
      </c>
      <c r="AD18" s="13">
        <f>SUM($AC$18:$AC$18)</f>
        <v>706.50985030802508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19.195654995686439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19.195654995686439</v>
      </c>
      <c r="AM18" s="13">
        <f ca="1">SUMIF($L$4:$AL$4,"SUBTOTAL",$L$18:$AL$18)</f>
        <v>1055.1559011440331</v>
      </c>
      <c r="AP18" s="13">
        <v>1</v>
      </c>
    </row>
    <row r="19" spans="1:42" ht="11.25" customHeight="1" x14ac:dyDescent="0.3">
      <c r="A19" s="90"/>
      <c r="B19" s="90"/>
      <c r="C19" s="90"/>
      <c r="D19" s="90"/>
      <c r="E19" s="90"/>
      <c r="F19" s="90"/>
      <c r="G19" s="18" t="s">
        <v>469</v>
      </c>
      <c r="H19" s="18" t="s">
        <v>467</v>
      </c>
      <c r="I19" s="18">
        <f>'MERCADO TUSD'!$U$16</f>
        <v>6.5449999999999999</v>
      </c>
      <c r="J19" s="15"/>
      <c r="L19" s="13">
        <f>'TR TUSD'!$L$19*'TR TUSD'!$L$60</f>
        <v>0</v>
      </c>
      <c r="M19" s="13">
        <f>'TR TUSD'!$M$19*'TR TUSD'!$M$60</f>
        <v>1.8816448806409467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91.763436488835083</v>
      </c>
      <c r="R19" s="13">
        <f>'TR TUSD'!$R$19*'TR TUSD'!$R$60</f>
        <v>14.499214390976721</v>
      </c>
      <c r="S19" s="13">
        <f>'TR TUSD'!$S$19*'TR TUSD'!$S$60</f>
        <v>0</v>
      </c>
      <c r="T19" s="13">
        <f ca="1">SUM($L$19:$S$19)</f>
        <v>108.14429576045275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73.836125056883191</v>
      </c>
      <c r="Z19" s="13">
        <f>'TR TUSD'!$Z$19</f>
        <v>0</v>
      </c>
      <c r="AA19" s="13">
        <f>'TR TUSD'!$AA$19</f>
        <v>0</v>
      </c>
      <c r="AB19" s="13">
        <f>SUM($U$19:$AA$19)</f>
        <v>73.836125056883191</v>
      </c>
      <c r="AC19" s="13">
        <f>'TR TUSD'!$AC$19*'TR TUSD'!$AC$60</f>
        <v>235.50302266316592</v>
      </c>
      <c r="AD19" s="13">
        <f>SUM($AC$19:$AC$19)</f>
        <v>235.50302266316592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19.195654995686439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19.195654995686439</v>
      </c>
      <c r="AM19" s="13">
        <f ca="1">SUMIF($L$4:$AL$4,"SUBTOTAL",$L$19:$AL$19)</f>
        <v>436.67909847618824</v>
      </c>
      <c r="AP19" s="13">
        <v>1</v>
      </c>
    </row>
    <row r="20" spans="1:42" ht="11.25" customHeight="1" x14ac:dyDescent="0.3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474</v>
      </c>
      <c r="H20" s="18" t="s">
        <v>467</v>
      </c>
      <c r="I20" s="18">
        <f>'MERCADO TUSD'!$U$17</f>
        <v>29737.986000000001</v>
      </c>
      <c r="J20" s="15"/>
      <c r="L20" s="13">
        <f>'TR TUSD'!$L$20*'TR TUSD'!$L$60</f>
        <v>0</v>
      </c>
      <c r="M20" s="13">
        <f>'TR TUSD'!$M$20*'TR TUSD'!$M$60</f>
        <v>1.8816448806409467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91.763436488835083</v>
      </c>
      <c r="R20" s="13">
        <f>'TR TUSD'!$R$20*'TR TUSD'!$R$60</f>
        <v>14.499214390976721</v>
      </c>
      <c r="S20" s="13">
        <f>'TR TUSD'!$S$20*'TR TUSD'!$S$60</f>
        <v>0</v>
      </c>
      <c r="T20" s="13">
        <f ca="1">SUM($L$20:$S$20)</f>
        <v>108.14429576045275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136.54628856854725</v>
      </c>
      <c r="Z20" s="13">
        <f>'TR TUSD'!$Z$20</f>
        <v>0</v>
      </c>
      <c r="AA20" s="13">
        <f>'TR TUSD'!$AA$20</f>
        <v>0</v>
      </c>
      <c r="AB20" s="13">
        <f>SUM($U$20:$AA$20)</f>
        <v>136.54628856854725</v>
      </c>
      <c r="AC20" s="13">
        <f>'TR TUSD'!$AC$20*'TR TUSD'!$AC$60</f>
        <v>436.11709772513035</v>
      </c>
      <c r="AD20" s="13">
        <f>SUM($AC$20:$AC$20)</f>
        <v>436.11709772513035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19.195654995686439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19.195654995686439</v>
      </c>
      <c r="AM20" s="13">
        <f ca="1">SUMIF($L$4:$AL$4,"SUBTOTAL",$L$20:$AL$20)</f>
        <v>700.00333704981676</v>
      </c>
      <c r="AP20" s="13">
        <v>1</v>
      </c>
    </row>
    <row r="21" spans="1:42" ht="11.25" customHeight="1" x14ac:dyDescent="0.3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474</v>
      </c>
      <c r="H21" s="18" t="s">
        <v>467</v>
      </c>
      <c r="I21" s="18">
        <f>'MERCADO TUSD'!$U$18</f>
        <v>83.323000000000008</v>
      </c>
      <c r="J21" s="15"/>
      <c r="L21" s="13">
        <f>'TR TUSD'!$L$21*'TR TUSD'!$L$60</f>
        <v>0</v>
      </c>
      <c r="M21" s="13">
        <f>'TR TUSD'!$M$21*'TR TUSD'!$M$60</f>
        <v>1.8816448806409467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1.8816448806409467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136.54628856854725</v>
      </c>
      <c r="Z21" s="13">
        <f>'TR TUSD'!$Z$21</f>
        <v>0</v>
      </c>
      <c r="AA21" s="13">
        <f>'TR TUSD'!$AA$21</f>
        <v>0</v>
      </c>
      <c r="AB21" s="13">
        <f>SUM($U$21:$AA$21)</f>
        <v>136.54628856854725</v>
      </c>
      <c r="AC21" s="13">
        <f>'TR TUSD'!$AC$21*'TR TUSD'!$AC$60</f>
        <v>436.11709772513035</v>
      </c>
      <c r="AD21" s="13">
        <f>SUM($AC$21:$AC$21)</f>
        <v>436.11709772513035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19.195654995686439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19.195654995686439</v>
      </c>
      <c r="AM21" s="13">
        <f ca="1">SUMIF($L$4:$AL$4,"SUBTOTAL",$L$21:$AL$21)</f>
        <v>593.74068617000501</v>
      </c>
      <c r="AP21" s="13">
        <f>IF((1 - CUSTOS!$M$24)&lt;&gt;0,1/(1 - CUSTOS!$M$24),1)</f>
        <v>1</v>
      </c>
    </row>
    <row r="22" spans="1:42" ht="11.25" customHeight="1" x14ac:dyDescent="0.3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474</v>
      </c>
      <c r="H22" s="18" t="s">
        <v>467</v>
      </c>
      <c r="I22" s="18">
        <f>'MERCADO TUSD'!$U$19</f>
        <v>175.95599999999999</v>
      </c>
      <c r="J22" s="15"/>
      <c r="L22" s="13">
        <f>'TR TUSD'!$L$22*'TR TUSD'!$L$60</f>
        <v>0</v>
      </c>
      <c r="M22" s="13">
        <f>'TR TUSD'!$M$22*'TR TUSD'!$M$60</f>
        <v>1.8816448806409467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1.8816448806409467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136.54628856854725</v>
      </c>
      <c r="Z22" s="13">
        <f>'TR TUSD'!$Z$22</f>
        <v>0</v>
      </c>
      <c r="AA22" s="13">
        <f>'TR TUSD'!$AA$22</f>
        <v>0</v>
      </c>
      <c r="AB22" s="13">
        <f>SUM($U$22:$AA$22)</f>
        <v>136.54628856854725</v>
      </c>
      <c r="AC22" s="13">
        <f>'TR TUSD'!$AC$22*'TR TUSD'!$AC$60</f>
        <v>436.11709772513035</v>
      </c>
      <c r="AD22" s="13">
        <f>SUM($AC$22:$AC$22)</f>
        <v>436.11709772513035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19.195654995686439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19.195654995686439</v>
      </c>
      <c r="AM22" s="13">
        <f ca="1">SUMIF($L$4:$AL$4,"SUBTOTAL",$L$22:$AL$22)</f>
        <v>593.74068617000501</v>
      </c>
      <c r="AP22" s="13">
        <f>IF((1 - CUSTOS!$M$25)&lt;&gt;0,1/(1 - CUSTOS!$M$25),1)</f>
        <v>1</v>
      </c>
    </row>
    <row r="23" spans="1:42" ht="11.25" customHeight="1" x14ac:dyDescent="0.3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474</v>
      </c>
      <c r="H23" s="18" t="s">
        <v>467</v>
      </c>
      <c r="I23" s="18">
        <f>'MERCADO TUSD'!$U$20</f>
        <v>193.03699999999998</v>
      </c>
      <c r="J23" s="15"/>
      <c r="L23" s="13">
        <f>'TR TUSD'!$L$23*'TR TUSD'!$L$60</f>
        <v>0</v>
      </c>
      <c r="M23" s="13">
        <f>'TR TUSD'!$M$23*'TR TUSD'!$M$60</f>
        <v>1.8816448806409467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1.8816448806409467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136.54628856854725</v>
      </c>
      <c r="Z23" s="13">
        <f>'TR TUSD'!$Z$23</f>
        <v>0</v>
      </c>
      <c r="AA23" s="13">
        <f>'TR TUSD'!$AA$23</f>
        <v>0</v>
      </c>
      <c r="AB23" s="13">
        <f>SUM($U$23:$AA$23)</f>
        <v>136.54628856854725</v>
      </c>
      <c r="AC23" s="13">
        <f>'TR TUSD'!$AC$23*'TR TUSD'!$AC$60</f>
        <v>436.11709772513035</v>
      </c>
      <c r="AD23" s="13">
        <f>SUM($AC$23:$AC$23)</f>
        <v>436.11709772513035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19.195654995686439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19.195654995686439</v>
      </c>
      <c r="AM23" s="13">
        <f ca="1">SUMIF($L$4:$AL$4,"SUBTOTAL",$L$23:$AL$23)</f>
        <v>593.74068617000501</v>
      </c>
      <c r="AP23" s="13">
        <f>IF((1 - CUSTOS!$M$26)&lt;&gt;0,1/(1 - CUSTOS!$M$26),1)</f>
        <v>1</v>
      </c>
    </row>
    <row r="24" spans="1:42" ht="11.25" customHeight="1" x14ac:dyDescent="0.3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474</v>
      </c>
      <c r="H24" s="18" t="s">
        <v>467</v>
      </c>
      <c r="I24" s="18">
        <f>'MERCADO TUSD'!$U$21</f>
        <v>98.578999999999994</v>
      </c>
      <c r="J24" s="15"/>
      <c r="L24" s="13">
        <f>'TR TUSD'!$L$24*'TR TUSD'!$L$60</f>
        <v>0</v>
      </c>
      <c r="M24" s="13">
        <f>'TR TUSD'!$M$24*'TR TUSD'!$M$60</f>
        <v>1.8816448806409467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1.8816448806409467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136.54628856854725</v>
      </c>
      <c r="Z24" s="13">
        <f>'TR TUSD'!$Z$24</f>
        <v>0</v>
      </c>
      <c r="AA24" s="13">
        <f>'TR TUSD'!$AA$24</f>
        <v>0</v>
      </c>
      <c r="AB24" s="13">
        <f>SUM($U$24:$AA$24)</f>
        <v>136.54628856854725</v>
      </c>
      <c r="AC24" s="13">
        <f>'TR TUSD'!$AC$24*'TR TUSD'!$AC$60</f>
        <v>436.11709772513035</v>
      </c>
      <c r="AD24" s="13">
        <f>SUM($AC$24:$AC$24)</f>
        <v>436.11709772513035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19.195654995686439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19.195654995686439</v>
      </c>
      <c r="AM24" s="13">
        <f ca="1">SUMIF($L$4:$AL$4,"SUBTOTAL",$L$24:$AL$24)</f>
        <v>593.74068617000501</v>
      </c>
      <c r="AP24" s="13">
        <f>IF((1 - CUSTOS!$M$27)&lt;&gt;0,1/(1 - CUSTOS!$M$27),1)</f>
        <v>1</v>
      </c>
    </row>
    <row r="25" spans="1:42" ht="11.25" customHeight="1" x14ac:dyDescent="0.3">
      <c r="A25" s="90"/>
      <c r="B25" s="90" t="s">
        <v>483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474</v>
      </c>
      <c r="H25" s="18" t="s">
        <v>467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1.8816448806409467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91.763436488835083</v>
      </c>
      <c r="R25" s="13">
        <f>'TR TUSD'!$R$25*'TR TUSD'!$R$60</f>
        <v>14.499214390976721</v>
      </c>
      <c r="S25" s="13">
        <f>'TR TUSD'!$S$25*'TR TUSD'!$S$60</f>
        <v>0</v>
      </c>
      <c r="T25" s="13">
        <f ca="1">SUM($L$25:$S$25)</f>
        <v>108.14429576045275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136.54628856854725</v>
      </c>
      <c r="Z25" s="13">
        <f>'TR TUSD'!$Z$25</f>
        <v>0</v>
      </c>
      <c r="AA25" s="13">
        <f>'TR TUSD'!$AA$25</f>
        <v>0</v>
      </c>
      <c r="AB25" s="13">
        <f>SUM($U$25:$AA$25)</f>
        <v>136.54628856854725</v>
      </c>
      <c r="AC25" s="13">
        <f>'TR TUSD'!$AC$25*'TR TUSD'!$AC$60</f>
        <v>436.11709772513035</v>
      </c>
      <c r="AD25" s="13">
        <f>SUM($AC$25:$AC$25)</f>
        <v>436.11709772513035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19.195654995686439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19.195654995686439</v>
      </c>
      <c r="AM25" s="13">
        <f ca="1">SUMIF($L$4:$AL$4,"SUBTOTAL",$L$25:$AL$25)</f>
        <v>700.00333704981676</v>
      </c>
      <c r="AP25" s="13">
        <v>1</v>
      </c>
    </row>
    <row r="26" spans="1:42" ht="11.25" customHeight="1" x14ac:dyDescent="0.3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474</v>
      </c>
      <c r="H26" s="18" t="s">
        <v>467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1.8816448806409467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1.8816448806409467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136.54628856854725</v>
      </c>
      <c r="Z26" s="13">
        <f>'TR TUSD'!$Z$26</f>
        <v>0</v>
      </c>
      <c r="AA26" s="13">
        <f>'TR TUSD'!$AA$26</f>
        <v>0</v>
      </c>
      <c r="AB26" s="13">
        <f>SUM($U$26:$AA$26)</f>
        <v>136.54628856854725</v>
      </c>
      <c r="AC26" s="13">
        <f>'TR TUSD'!$AC$26*'TR TUSD'!$AC$60</f>
        <v>436.11709772513035</v>
      </c>
      <c r="AD26" s="13">
        <f>SUM($AC$26:$AC$26)</f>
        <v>436.11709772513035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19.195654995686439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19.195654995686439</v>
      </c>
      <c r="AM26" s="13">
        <f ca="1">SUMIF($L$4:$AL$4,"SUBTOTAL",$L$26:$AL$26)</f>
        <v>593.74068617000501</v>
      </c>
      <c r="AP26" s="13">
        <f>IF((1 - CUSTOS!$M$24)&lt;&gt;0,1/(1 - CUSTOS!$M$24),1)</f>
        <v>1</v>
      </c>
    </row>
    <row r="27" spans="1:42" ht="11.25" customHeight="1" x14ac:dyDescent="0.3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474</v>
      </c>
      <c r="H27" s="18" t="s">
        <v>467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1.8816448806409467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1.8816448806409467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136.54628856854725</v>
      </c>
      <c r="Z27" s="13">
        <f>'TR TUSD'!$Z$27</f>
        <v>0</v>
      </c>
      <c r="AA27" s="13">
        <f>'TR TUSD'!$AA$27</f>
        <v>0</v>
      </c>
      <c r="AB27" s="13">
        <f>SUM($U$27:$AA$27)</f>
        <v>136.54628856854725</v>
      </c>
      <c r="AC27" s="13">
        <f>'TR TUSD'!$AC$27*'TR TUSD'!$AC$60</f>
        <v>436.11709772513035</v>
      </c>
      <c r="AD27" s="13">
        <f>SUM($AC$27:$AC$27)</f>
        <v>436.11709772513035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19.195654995686439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19.195654995686439</v>
      </c>
      <c r="AM27" s="13">
        <f ca="1">SUMIF($L$4:$AL$4,"SUBTOTAL",$L$27:$AL$27)</f>
        <v>593.74068617000501</v>
      </c>
      <c r="AP27" s="13">
        <f>IF((1 - CUSTOS!$M$25)&lt;&gt;0,1/(1 - CUSTOS!$M$25),1)</f>
        <v>1</v>
      </c>
    </row>
    <row r="28" spans="1:42" ht="11.25" customHeight="1" x14ac:dyDescent="0.3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474</v>
      </c>
      <c r="H28" s="18" t="s">
        <v>467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1.8816448806409467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1.8816448806409467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136.54628856854725</v>
      </c>
      <c r="Z28" s="13">
        <f>'TR TUSD'!$Z$28</f>
        <v>0</v>
      </c>
      <c r="AA28" s="13">
        <f>'TR TUSD'!$AA$28</f>
        <v>0</v>
      </c>
      <c r="AB28" s="13">
        <f>SUM($U$28:$AA$28)</f>
        <v>136.54628856854725</v>
      </c>
      <c r="AC28" s="13">
        <f>'TR TUSD'!$AC$28*'TR TUSD'!$AC$60</f>
        <v>436.11709772513035</v>
      </c>
      <c r="AD28" s="13">
        <f>SUM($AC$28:$AC$28)</f>
        <v>436.11709772513035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19.195654995686439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19.195654995686439</v>
      </c>
      <c r="AM28" s="13">
        <f ca="1">SUMIF($L$4:$AL$4,"SUBTOTAL",$L$28:$AL$28)</f>
        <v>593.74068617000501</v>
      </c>
      <c r="AP28" s="13">
        <f>IF((1 - CUSTOS!$M$26)&lt;&gt;0,1/(1 - CUSTOS!$M$26),1)</f>
        <v>1</v>
      </c>
    </row>
    <row r="29" spans="1:42" ht="11.25" customHeight="1" x14ac:dyDescent="0.3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474</v>
      </c>
      <c r="H29" s="18" t="s">
        <v>467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1.8816448806409467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1.8816448806409467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136.54628856854725</v>
      </c>
      <c r="Z29" s="13">
        <f>'TR TUSD'!$Z$29</f>
        <v>0</v>
      </c>
      <c r="AA29" s="13">
        <f>'TR TUSD'!$AA$29</f>
        <v>0</v>
      </c>
      <c r="AB29" s="13">
        <f>SUM($U$29:$AA$29)</f>
        <v>136.54628856854725</v>
      </c>
      <c r="AC29" s="13">
        <f>'TR TUSD'!$AC$29*'TR TUSD'!$AC$60</f>
        <v>436.11709772513035</v>
      </c>
      <c r="AD29" s="13">
        <f>SUM($AC$29:$AC$29)</f>
        <v>436.11709772513035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19.195654995686439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19.195654995686439</v>
      </c>
      <c r="AM29" s="13">
        <f ca="1">SUMIF($L$4:$AL$4,"SUBTOTAL",$L$29:$AL$29)</f>
        <v>593.74068617000501</v>
      </c>
      <c r="AP29" s="13">
        <f>IF((1 - CUSTOS!$M$27)&lt;&gt;0,1/(1 - CUSTOS!$M$27),1)</f>
        <v>1</v>
      </c>
    </row>
    <row r="30" spans="1:42" ht="11.25" customHeight="1" x14ac:dyDescent="0.3">
      <c r="A30" s="90" t="s">
        <v>42</v>
      </c>
      <c r="B30" s="90" t="s">
        <v>33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468</v>
      </c>
      <c r="H30" s="18" t="s">
        <v>467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1.8816448806409467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91.763436488835083</v>
      </c>
      <c r="R30" s="13">
        <f>'TR TUSD'!$R$30*'TR TUSD'!$R$60</f>
        <v>14.499214390976721</v>
      </c>
      <c r="S30" s="13">
        <f>'TR TUSD'!$S$30*'TR TUSD'!$S$60</f>
        <v>0</v>
      </c>
      <c r="T30" s="13">
        <f ca="1">SUM($L$30:$S$30)</f>
        <v>108.14429576045275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402.82824468912582</v>
      </c>
      <c r="Z30" s="13">
        <f>'TR TUSD'!$Z$30</f>
        <v>0</v>
      </c>
      <c r="AA30" s="13">
        <f>'TR TUSD'!$AA$30</f>
        <v>0</v>
      </c>
      <c r="AB30" s="13">
        <f>SUM($U$30:$AA$30)</f>
        <v>402.82824468912582</v>
      </c>
      <c r="AC30" s="13">
        <f>'TR TUSD'!$AC$30*'TR TUSD'!$AC$60</f>
        <v>1286.5451700656397</v>
      </c>
      <c r="AD30" s="13">
        <f>SUM($AC$30:$AC$30)</f>
        <v>1286.5451700656397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19.195654995686439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19.195654995686439</v>
      </c>
      <c r="AM30" s="13">
        <f ca="1">SUMIF($L$4:$AL$4,"SUBTOTAL",$L$30:$AL$30)</f>
        <v>1816.7133655109049</v>
      </c>
      <c r="AP30" s="13">
        <f>IF((1 - CUSTOS!$M$28)&lt;&gt;0,1/(1 - CUSTOS!$M$28),1)</f>
        <v>1</v>
      </c>
    </row>
    <row r="31" spans="1:42" ht="11.25" customHeight="1" x14ac:dyDescent="0.3">
      <c r="A31" s="90"/>
      <c r="B31" s="90"/>
      <c r="C31" s="90"/>
      <c r="D31" s="90"/>
      <c r="E31" s="90"/>
      <c r="F31" s="90"/>
      <c r="G31" s="18" t="s">
        <v>480</v>
      </c>
      <c r="H31" s="18" t="s">
        <v>467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1.8816448806409467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91.763436488835083</v>
      </c>
      <c r="R31" s="13">
        <f>'TR TUSD'!$R$31*'TR TUSD'!$R$60</f>
        <v>14.499214390976721</v>
      </c>
      <c r="S31" s="13">
        <f>'TR TUSD'!$S$31*'TR TUSD'!$S$60</f>
        <v>0</v>
      </c>
      <c r="T31" s="13">
        <f ca="1">SUM($L$31:$S$31)</f>
        <v>108.14429576045275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241.66998373097366</v>
      </c>
      <c r="Z31" s="13">
        <f>'TR TUSD'!$Z$31</f>
        <v>0</v>
      </c>
      <c r="AA31" s="13">
        <f>'TR TUSD'!$AA$31</f>
        <v>0</v>
      </c>
      <c r="AB31" s="13">
        <f>SUM($U$31:$AA$31)</f>
        <v>241.66998373097366</v>
      </c>
      <c r="AC31" s="13">
        <f>'TR TUSD'!$AC$31*'TR TUSD'!$AC$60</f>
        <v>771.92687851980452</v>
      </c>
      <c r="AD31" s="13">
        <f>SUM($AC$31:$AC$31)</f>
        <v>771.92687851980452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19.195654995686439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19.195654995686439</v>
      </c>
      <c r="AM31" s="13">
        <f ca="1">SUMIF($L$4:$AL$4,"SUBTOTAL",$L$31:$AL$31)</f>
        <v>1140.9368130069174</v>
      </c>
      <c r="AP31" s="13">
        <f>IF((1 - CUSTOS!$M$28)&lt;&gt;0,1/(1 - CUSTOS!$M$28),1)</f>
        <v>1</v>
      </c>
    </row>
    <row r="32" spans="1:42" ht="11.25" customHeight="1" x14ac:dyDescent="0.3">
      <c r="A32" s="90"/>
      <c r="B32" s="90"/>
      <c r="C32" s="90"/>
      <c r="D32" s="90"/>
      <c r="E32" s="90"/>
      <c r="F32" s="90"/>
      <c r="G32" s="18" t="s">
        <v>469</v>
      </c>
      <c r="H32" s="18" t="s">
        <v>467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1.8816448806409467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91.763436488835083</v>
      </c>
      <c r="R32" s="13">
        <f>'TR TUSD'!$R$32*'TR TUSD'!$R$60</f>
        <v>14.499214390976721</v>
      </c>
      <c r="S32" s="13">
        <f>'TR TUSD'!$S$32*'TR TUSD'!$S$60</f>
        <v>0</v>
      </c>
      <c r="T32" s="13">
        <f ca="1">SUM($L$32:$S$32)</f>
        <v>108.14429576045275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80.511722772821514</v>
      </c>
      <c r="Z32" s="13">
        <f>'TR TUSD'!$Z$32</f>
        <v>0</v>
      </c>
      <c r="AA32" s="13">
        <f>'TR TUSD'!$AA$32</f>
        <v>0</v>
      </c>
      <c r="AB32" s="13">
        <f>SUM($U$32:$AA$32)</f>
        <v>80.511722772821514</v>
      </c>
      <c r="AC32" s="13">
        <f>'TR TUSD'!$AC$32*'TR TUSD'!$AC$60</f>
        <v>257.30892225333832</v>
      </c>
      <c r="AD32" s="13">
        <f>SUM($AC$32:$AC$32)</f>
        <v>257.30892225333832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19.195654995686439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19.195654995686439</v>
      </c>
      <c r="AM32" s="13">
        <f ca="1">SUMIF($L$4:$AL$4,"SUBTOTAL",$L$32:$AL$32)</f>
        <v>465.16059578229903</v>
      </c>
      <c r="AP32" s="13">
        <f>IF((1 - CUSTOS!$M$28)&lt;&gt;0,1/(1 - CUSTOS!$M$28),1)</f>
        <v>1</v>
      </c>
    </row>
    <row r="33" spans="1:42" ht="11.25" customHeight="1" x14ac:dyDescent="0.3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474</v>
      </c>
      <c r="H33" s="18" t="s">
        <v>467</v>
      </c>
      <c r="I33" s="18">
        <f>'MERCADO TUSD'!$U$30</f>
        <v>513.57799999999997</v>
      </c>
      <c r="J33" s="15"/>
      <c r="L33" s="13">
        <f>'TR TUSD'!$L$33*'TR TUSD'!$L$60</f>
        <v>0</v>
      </c>
      <c r="M33" s="13">
        <f>'TR TUSD'!$M$33*'TR TUSD'!$M$60</f>
        <v>1.8816448806409467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91.763436488835083</v>
      </c>
      <c r="R33" s="13">
        <f>'TR TUSD'!$R$33*'TR TUSD'!$R$60</f>
        <v>14.499214390976721</v>
      </c>
      <c r="S33" s="13">
        <f>'TR TUSD'!$S$33*'TR TUSD'!$S$60</f>
        <v>0</v>
      </c>
      <c r="T33" s="13">
        <f ca="1">SUM($L$33:$S$33)</f>
        <v>108.14429576045275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136.54628856854725</v>
      </c>
      <c r="Z33" s="13">
        <f>'TR TUSD'!$Z$33</f>
        <v>0</v>
      </c>
      <c r="AA33" s="13">
        <f>'TR TUSD'!$AA$33</f>
        <v>0</v>
      </c>
      <c r="AB33" s="13">
        <f>SUM($U$33:$AA$33)</f>
        <v>136.54628856854725</v>
      </c>
      <c r="AC33" s="13">
        <f>'TR TUSD'!$AC$33*'TR TUSD'!$AC$60</f>
        <v>436.11709772513035</v>
      </c>
      <c r="AD33" s="13">
        <f>SUM($AC$33:$AC$33)</f>
        <v>436.11709772513035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19.195654995686439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19.195654995686439</v>
      </c>
      <c r="AM33" s="13">
        <f ca="1">SUMIF($L$4:$AL$4,"SUBTOTAL",$L$33:$AL$33)</f>
        <v>700.00333704981676</v>
      </c>
      <c r="AP33" s="13">
        <f>IF((1 - CUSTOS!$M$28)&lt;&gt;0,1/(1 - CUSTOS!$M$28),1)</f>
        <v>1</v>
      </c>
    </row>
    <row r="34" spans="1:42" ht="11.25" customHeight="1" x14ac:dyDescent="0.3">
      <c r="A34" s="90"/>
      <c r="B34" s="90" t="s">
        <v>33</v>
      </c>
      <c r="C34" s="90" t="s">
        <v>43</v>
      </c>
      <c r="D34" s="90" t="s">
        <v>484</v>
      </c>
      <c r="E34" s="90" t="s">
        <v>25</v>
      </c>
      <c r="F34" s="90" t="s">
        <v>25</v>
      </c>
      <c r="G34" s="18" t="s">
        <v>468</v>
      </c>
      <c r="H34" s="18" t="s">
        <v>467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1.8816448806409467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91.763436488835083</v>
      </c>
      <c r="R34" s="13">
        <f>'TR TUSD'!$R$34*'TR TUSD'!$R$60</f>
        <v>14.499214390976721</v>
      </c>
      <c r="S34" s="13">
        <f>'TR TUSD'!$S$34*'TR TUSD'!$S$60</f>
        <v>0</v>
      </c>
      <c r="T34" s="13">
        <f ca="1">SUM($L$34:$S$34)</f>
        <v>108.14429576045275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402.82824468912582</v>
      </c>
      <c r="Z34" s="13">
        <f>'TR TUSD'!$Z$34</f>
        <v>0</v>
      </c>
      <c r="AA34" s="13">
        <f>'TR TUSD'!$AA$34</f>
        <v>0</v>
      </c>
      <c r="AB34" s="13">
        <f>SUM($U$34:$AA$34)</f>
        <v>402.82824468912582</v>
      </c>
      <c r="AC34" s="13">
        <f>'TR TUSD'!$AC$34*'TR TUSD'!$AC$60</f>
        <v>1286.5451700656397</v>
      </c>
      <c r="AD34" s="13">
        <f>SUM($AC$34:$AC$34)</f>
        <v>1286.5451700656397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19.195654995686439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19.195654995686439</v>
      </c>
      <c r="AM34" s="13">
        <f ca="1">SUMIF($L$4:$AL$4,"SUBTOTAL",$L$34:$AL$34)</f>
        <v>1816.7133655109049</v>
      </c>
      <c r="AP34" s="13">
        <f>IF((1 - CUSTOS!$M$29)&lt;&gt;0,1/(1 - CUSTOS!$M$29),1)</f>
        <v>1</v>
      </c>
    </row>
    <row r="35" spans="1:42" ht="11.25" customHeight="1" x14ac:dyDescent="0.3">
      <c r="A35" s="90"/>
      <c r="B35" s="90"/>
      <c r="C35" s="90"/>
      <c r="D35" s="90"/>
      <c r="E35" s="90"/>
      <c r="F35" s="90"/>
      <c r="G35" s="18" t="s">
        <v>480</v>
      </c>
      <c r="H35" s="18" t="s">
        <v>467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1.8816448806409467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91.763436488835083</v>
      </c>
      <c r="R35" s="13">
        <f>'TR TUSD'!$R$35*'TR TUSD'!$R$60</f>
        <v>14.499214390976721</v>
      </c>
      <c r="S35" s="13">
        <f>'TR TUSD'!$S$35*'TR TUSD'!$S$60</f>
        <v>0</v>
      </c>
      <c r="T35" s="13">
        <f ca="1">SUM($L$35:$S$35)</f>
        <v>108.14429576045275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241.66998373097366</v>
      </c>
      <c r="Z35" s="13">
        <f>'TR TUSD'!$Z$35</f>
        <v>0</v>
      </c>
      <c r="AA35" s="13">
        <f>'TR TUSD'!$AA$35</f>
        <v>0</v>
      </c>
      <c r="AB35" s="13">
        <f>SUM($U$35:$AA$35)</f>
        <v>241.66998373097366</v>
      </c>
      <c r="AC35" s="13">
        <f>'TR TUSD'!$AC$35*'TR TUSD'!$AC$60</f>
        <v>771.92687851980452</v>
      </c>
      <c r="AD35" s="13">
        <f>SUM($AC$35:$AC$35)</f>
        <v>771.92687851980452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19.195654995686439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19.195654995686439</v>
      </c>
      <c r="AM35" s="13">
        <f ca="1">SUMIF($L$4:$AL$4,"SUBTOTAL",$L$35:$AL$35)</f>
        <v>1140.9368130069174</v>
      </c>
      <c r="AP35" s="13">
        <f>IF((1 - CUSTOS!$M$29)&lt;&gt;0,1/(1 - CUSTOS!$M$29),1)</f>
        <v>1</v>
      </c>
    </row>
    <row r="36" spans="1:42" ht="11.25" customHeight="1" x14ac:dyDescent="0.3">
      <c r="A36" s="90"/>
      <c r="B36" s="90"/>
      <c r="C36" s="90"/>
      <c r="D36" s="90"/>
      <c r="E36" s="90"/>
      <c r="F36" s="90"/>
      <c r="G36" s="18" t="s">
        <v>469</v>
      </c>
      <c r="H36" s="18" t="s">
        <v>467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1.8816448806409467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91.763436488835083</v>
      </c>
      <c r="R36" s="13">
        <f>'TR TUSD'!$R$36*'TR TUSD'!$R$60</f>
        <v>14.499214390976721</v>
      </c>
      <c r="S36" s="13">
        <f>'TR TUSD'!$S$36*'TR TUSD'!$S$60</f>
        <v>0</v>
      </c>
      <c r="T36" s="13">
        <f ca="1">SUM($L$36:$S$36)</f>
        <v>108.14429576045275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80.511722772821514</v>
      </c>
      <c r="Z36" s="13">
        <f>'TR TUSD'!$Z$36</f>
        <v>0</v>
      </c>
      <c r="AA36" s="13">
        <f>'TR TUSD'!$AA$36</f>
        <v>0</v>
      </c>
      <c r="AB36" s="13">
        <f>SUM($U$36:$AA$36)</f>
        <v>80.511722772821514</v>
      </c>
      <c r="AC36" s="13">
        <f>'TR TUSD'!$AC$36*'TR TUSD'!$AC$60</f>
        <v>257.30892225333832</v>
      </c>
      <c r="AD36" s="13">
        <f>SUM($AC$36:$AC$36)</f>
        <v>257.30892225333832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19.195654995686439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19.195654995686439</v>
      </c>
      <c r="AM36" s="13">
        <f ca="1">SUMIF($L$4:$AL$4,"SUBTOTAL",$L$36:$AL$36)</f>
        <v>465.16059578229903</v>
      </c>
      <c r="AP36" s="13">
        <f>IF((1 - CUSTOS!$M$29)&lt;&gt;0,1/(1 - CUSTOS!$M$29),1)</f>
        <v>1</v>
      </c>
    </row>
    <row r="37" spans="1:42" ht="11.25" customHeight="1" x14ac:dyDescent="0.3">
      <c r="A37" s="90"/>
      <c r="B37" s="17" t="s">
        <v>23</v>
      </c>
      <c r="C37" s="17" t="s">
        <v>43</v>
      </c>
      <c r="D37" s="17" t="s">
        <v>484</v>
      </c>
      <c r="E37" s="17" t="s">
        <v>25</v>
      </c>
      <c r="F37" s="17" t="s">
        <v>25</v>
      </c>
      <c r="G37" s="18" t="s">
        <v>474</v>
      </c>
      <c r="H37" s="18" t="s">
        <v>467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1.8816448806409467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91.763436488835083</v>
      </c>
      <c r="R37" s="13">
        <f>'TR TUSD'!$R$37*'TR TUSD'!$R$60</f>
        <v>14.499214390976721</v>
      </c>
      <c r="S37" s="13">
        <f>'TR TUSD'!$S$37*'TR TUSD'!$S$60</f>
        <v>0</v>
      </c>
      <c r="T37" s="13">
        <f ca="1">SUM($L$37:$S$37)</f>
        <v>108.14429576045275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136.54628856854725</v>
      </c>
      <c r="Z37" s="13">
        <f>'TR TUSD'!$Z$37</f>
        <v>0</v>
      </c>
      <c r="AA37" s="13">
        <f>'TR TUSD'!$AA$37</f>
        <v>0</v>
      </c>
      <c r="AB37" s="13">
        <f>SUM($U$37:$AA$37)</f>
        <v>136.54628856854725</v>
      </c>
      <c r="AC37" s="13">
        <f>'TR TUSD'!$AC$37*'TR TUSD'!$AC$60</f>
        <v>436.11709772513035</v>
      </c>
      <c r="AD37" s="13">
        <f>SUM($AC$37:$AC$37)</f>
        <v>436.11709772513035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19.195654995686439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19.195654995686439</v>
      </c>
      <c r="AM37" s="13">
        <f ca="1">SUMIF($L$4:$AL$4,"SUBTOTAL",$L$37:$AL$37)</f>
        <v>700.00333704981676</v>
      </c>
      <c r="AP37" s="13">
        <f>IF((1 - CUSTOS!$M$29)&lt;&gt;0,1/(1 - CUSTOS!$M$29),1)</f>
        <v>1</v>
      </c>
    </row>
    <row r="38" spans="1:42" ht="11.25" customHeight="1" x14ac:dyDescent="0.3">
      <c r="A38" s="90"/>
      <c r="B38" s="90" t="s">
        <v>33</v>
      </c>
      <c r="C38" s="90" t="s">
        <v>43</v>
      </c>
      <c r="D38" s="90" t="s">
        <v>485</v>
      </c>
      <c r="E38" s="90" t="s">
        <v>25</v>
      </c>
      <c r="F38" s="90" t="s">
        <v>25</v>
      </c>
      <c r="G38" s="18" t="s">
        <v>468</v>
      </c>
      <c r="H38" s="18" t="s">
        <v>467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1.8816448806409467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91.763436488835083</v>
      </c>
      <c r="R38" s="13">
        <f>'TR TUSD'!$R$38*'TR TUSD'!$R$60</f>
        <v>14.499214390976721</v>
      </c>
      <c r="S38" s="13">
        <f>'TR TUSD'!$S$38*'TR TUSD'!$S$60</f>
        <v>0</v>
      </c>
      <c r="T38" s="13">
        <f ca="1">SUM($L$38:$S$38)</f>
        <v>108.14429576045275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402.82824468912582</v>
      </c>
      <c r="Z38" s="13">
        <f>'TR TUSD'!$Z$38</f>
        <v>0</v>
      </c>
      <c r="AA38" s="13">
        <f>'TR TUSD'!$AA$38</f>
        <v>0</v>
      </c>
      <c r="AB38" s="13">
        <f>SUM($U$38:$AA$38)</f>
        <v>402.82824468912582</v>
      </c>
      <c r="AC38" s="13">
        <f>'TR TUSD'!$AC$38*'TR TUSD'!$AC$60</f>
        <v>1286.5451700656397</v>
      </c>
      <c r="AD38" s="13">
        <f>SUM($AC$38:$AC$38)</f>
        <v>1286.5451700656397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19.195654995686439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19.195654995686439</v>
      </c>
      <c r="AM38" s="13">
        <f ca="1">SUMIF($L$4:$AL$4,"SUBTOTAL",$L$38:$AL$38)</f>
        <v>1816.7133655109049</v>
      </c>
      <c r="AP38" s="13">
        <f>IF((1 - CUSTOS!$M$30)&lt;&gt;0,1/(1 - CUSTOS!$M$30),1)</f>
        <v>1</v>
      </c>
    </row>
    <row r="39" spans="1:42" ht="11.25" customHeight="1" x14ac:dyDescent="0.3">
      <c r="A39" s="90"/>
      <c r="B39" s="90"/>
      <c r="C39" s="90"/>
      <c r="D39" s="90"/>
      <c r="E39" s="90"/>
      <c r="F39" s="90"/>
      <c r="G39" s="18" t="s">
        <v>480</v>
      </c>
      <c r="H39" s="18" t="s">
        <v>467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1.8816448806409467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91.763436488835083</v>
      </c>
      <c r="R39" s="13">
        <f>'TR TUSD'!$R$39*'TR TUSD'!$R$60</f>
        <v>14.499214390976721</v>
      </c>
      <c r="S39" s="13">
        <f>'TR TUSD'!$S$39*'TR TUSD'!$S$60</f>
        <v>0</v>
      </c>
      <c r="T39" s="13">
        <f ca="1">SUM($L$39:$S$39)</f>
        <v>108.14429576045275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241.66998373097366</v>
      </c>
      <c r="Z39" s="13">
        <f>'TR TUSD'!$Z$39</f>
        <v>0</v>
      </c>
      <c r="AA39" s="13">
        <f>'TR TUSD'!$AA$39</f>
        <v>0</v>
      </c>
      <c r="AB39" s="13">
        <f>SUM($U$39:$AA$39)</f>
        <v>241.66998373097366</v>
      </c>
      <c r="AC39" s="13">
        <f>'TR TUSD'!$AC$39*'TR TUSD'!$AC$60</f>
        <v>771.92687851980452</v>
      </c>
      <c r="AD39" s="13">
        <f>SUM($AC$39:$AC$39)</f>
        <v>771.92687851980452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19.195654995686439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19.195654995686439</v>
      </c>
      <c r="AM39" s="13">
        <f ca="1">SUMIF($L$4:$AL$4,"SUBTOTAL",$L$39:$AL$39)</f>
        <v>1140.9368130069174</v>
      </c>
      <c r="AP39" s="13">
        <f>IF((1 - CUSTOS!$M$30)&lt;&gt;0,1/(1 - CUSTOS!$M$30),1)</f>
        <v>1</v>
      </c>
    </row>
    <row r="40" spans="1:42" ht="11.25" customHeight="1" x14ac:dyDescent="0.3">
      <c r="A40" s="90"/>
      <c r="B40" s="90"/>
      <c r="C40" s="90"/>
      <c r="D40" s="90"/>
      <c r="E40" s="90"/>
      <c r="F40" s="90"/>
      <c r="G40" s="18" t="s">
        <v>469</v>
      </c>
      <c r="H40" s="18" t="s">
        <v>467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1.8816448806409467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91.763436488835083</v>
      </c>
      <c r="R40" s="13">
        <f>'TR TUSD'!$R$40*'TR TUSD'!$R$60</f>
        <v>14.499214390976721</v>
      </c>
      <c r="S40" s="13">
        <f>'TR TUSD'!$S$40*'TR TUSD'!$S$60</f>
        <v>0</v>
      </c>
      <c r="T40" s="13">
        <f ca="1">SUM($L$40:$S$40)</f>
        <v>108.14429576045275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80.511722772821514</v>
      </c>
      <c r="Z40" s="13">
        <f>'TR TUSD'!$Z$40</f>
        <v>0</v>
      </c>
      <c r="AA40" s="13">
        <f>'TR TUSD'!$AA$40</f>
        <v>0</v>
      </c>
      <c r="AB40" s="13">
        <f>SUM($U$40:$AA$40)</f>
        <v>80.511722772821514</v>
      </c>
      <c r="AC40" s="13">
        <f>'TR TUSD'!$AC$40*'TR TUSD'!$AC$60</f>
        <v>257.30892225333832</v>
      </c>
      <c r="AD40" s="13">
        <f>SUM($AC$40:$AC$40)</f>
        <v>257.30892225333832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19.195654995686439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19.195654995686439</v>
      </c>
      <c r="AM40" s="13">
        <f ca="1">SUMIF($L$4:$AL$4,"SUBTOTAL",$L$40:$AL$40)</f>
        <v>465.16059578229903</v>
      </c>
      <c r="AP40" s="13">
        <f>IF((1 - CUSTOS!$M$30)&lt;&gt;0,1/(1 - CUSTOS!$M$30),1)</f>
        <v>1</v>
      </c>
    </row>
    <row r="41" spans="1:42" ht="11.25" customHeight="1" x14ac:dyDescent="0.3">
      <c r="A41" s="90"/>
      <c r="B41" s="17" t="s">
        <v>23</v>
      </c>
      <c r="C41" s="17" t="s">
        <v>43</v>
      </c>
      <c r="D41" s="17" t="s">
        <v>485</v>
      </c>
      <c r="E41" s="17" t="s">
        <v>25</v>
      </c>
      <c r="F41" s="17" t="s">
        <v>25</v>
      </c>
      <c r="G41" s="18" t="s">
        <v>474</v>
      </c>
      <c r="H41" s="18" t="s">
        <v>467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1.8816448806409467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91.763436488835083</v>
      </c>
      <c r="R41" s="13">
        <f>'TR TUSD'!$R$41*'TR TUSD'!$R$60</f>
        <v>14.499214390976721</v>
      </c>
      <c r="S41" s="13">
        <f>'TR TUSD'!$S$41*'TR TUSD'!$S$60</f>
        <v>0</v>
      </c>
      <c r="T41" s="13">
        <f ca="1">SUM($L$41:$S$41)</f>
        <v>108.14429576045275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136.54628856854725</v>
      </c>
      <c r="Z41" s="13">
        <f>'TR TUSD'!$Z$41</f>
        <v>0</v>
      </c>
      <c r="AA41" s="13">
        <f>'TR TUSD'!$AA$41</f>
        <v>0</v>
      </c>
      <c r="AB41" s="13">
        <f>SUM($U$41:$AA$41)</f>
        <v>136.54628856854725</v>
      </c>
      <c r="AC41" s="13">
        <f>'TR TUSD'!$AC$41*'TR TUSD'!$AC$60</f>
        <v>436.11709772513035</v>
      </c>
      <c r="AD41" s="13">
        <f>SUM($AC$41:$AC$41)</f>
        <v>436.11709772513035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19.195654995686439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19.195654995686439</v>
      </c>
      <c r="AM41" s="13">
        <f ca="1">SUMIF($L$4:$AL$4,"SUBTOTAL",$L$41:$AL$41)</f>
        <v>700.00333704981676</v>
      </c>
      <c r="AP41" s="13">
        <f>IF((1 - CUSTOS!$M$30)&lt;&gt;0,1/(1 - CUSTOS!$M$30),1)</f>
        <v>1</v>
      </c>
    </row>
    <row r="42" spans="1:42" ht="11.25" customHeight="1" x14ac:dyDescent="0.3">
      <c r="A42" s="90"/>
      <c r="B42" s="90" t="s">
        <v>483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474</v>
      </c>
      <c r="H42" s="18" t="s">
        <v>467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1.8816448806409467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91.763436488835083</v>
      </c>
      <c r="R42" s="13">
        <f>'TR TUSD'!$R$42*'TR TUSD'!$R$60</f>
        <v>14.499214390976721</v>
      </c>
      <c r="S42" s="13">
        <f>'TR TUSD'!$S$42*'TR TUSD'!$S$60</f>
        <v>0</v>
      </c>
      <c r="T42" s="13">
        <f ca="1">SUM($L$42:$S$42)</f>
        <v>108.14429576045275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136.54628856854725</v>
      </c>
      <c r="Z42" s="13">
        <f>'TR TUSD'!$Z$42</f>
        <v>0</v>
      </c>
      <c r="AA42" s="13">
        <f>'TR TUSD'!$AA$42</f>
        <v>0</v>
      </c>
      <c r="AB42" s="13">
        <f>SUM($U$42:$AA$42)</f>
        <v>136.54628856854725</v>
      </c>
      <c r="AC42" s="13">
        <f>'TR TUSD'!$AC$42*'TR TUSD'!$AC$60</f>
        <v>436.11709772513035</v>
      </c>
      <c r="AD42" s="13">
        <f>SUM($AC$42:$AC$42)</f>
        <v>436.11709772513035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19.195654995686439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19.195654995686439</v>
      </c>
      <c r="AM42" s="13">
        <f ca="1">SUMIF($L$4:$AL$4,"SUBTOTAL",$L$42:$AL$42)</f>
        <v>700.00333704981676</v>
      </c>
      <c r="AP42" s="13">
        <f>IF((1 - CUSTOS!$M$28)&lt;&gt;0,1/(1 - CUSTOS!$M$28),1)</f>
        <v>1</v>
      </c>
    </row>
    <row r="43" spans="1:42" ht="11.25" customHeight="1" x14ac:dyDescent="0.3">
      <c r="A43" s="90"/>
      <c r="B43" s="90"/>
      <c r="C43" s="90"/>
      <c r="D43" s="17" t="s">
        <v>484</v>
      </c>
      <c r="E43" s="17" t="s">
        <v>25</v>
      </c>
      <c r="F43" s="17" t="s">
        <v>25</v>
      </c>
      <c r="G43" s="18" t="s">
        <v>474</v>
      </c>
      <c r="H43" s="18" t="s">
        <v>467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1.8816448806409467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91.763436488835083</v>
      </c>
      <c r="R43" s="13">
        <f>'TR TUSD'!$R$43*'TR TUSD'!$R$60</f>
        <v>14.499214390976721</v>
      </c>
      <c r="S43" s="13">
        <f>'TR TUSD'!$S$43*'TR TUSD'!$S$60</f>
        <v>0</v>
      </c>
      <c r="T43" s="13">
        <f ca="1">SUM($L$43:$S$43)</f>
        <v>108.14429576045275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136.54628856854725</v>
      </c>
      <c r="Z43" s="13">
        <f>'TR TUSD'!$Z$43</f>
        <v>0</v>
      </c>
      <c r="AA43" s="13">
        <f>'TR TUSD'!$AA$43</f>
        <v>0</v>
      </c>
      <c r="AB43" s="13">
        <f>SUM($U$43:$AA$43)</f>
        <v>136.54628856854725</v>
      </c>
      <c r="AC43" s="13">
        <f>'TR TUSD'!$AC$43*'TR TUSD'!$AC$60</f>
        <v>436.11709772513035</v>
      </c>
      <c r="AD43" s="13">
        <f>SUM($AC$43:$AC$43)</f>
        <v>436.11709772513035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19.195654995686439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19.195654995686439</v>
      </c>
      <c r="AM43" s="13">
        <f ca="1">SUMIF($L$4:$AL$4,"SUBTOTAL",$L$43:$AL$43)</f>
        <v>700.00333704981676</v>
      </c>
      <c r="AP43" s="13">
        <f>IF((1 - CUSTOS!$M$29)&lt;&gt;0,1/(1 - CUSTOS!$M$29),1)</f>
        <v>1</v>
      </c>
    </row>
    <row r="44" spans="1:42" ht="11.25" customHeight="1" x14ac:dyDescent="0.3">
      <c r="A44" s="90"/>
      <c r="B44" s="90"/>
      <c r="C44" s="90"/>
      <c r="D44" s="17" t="s">
        <v>485</v>
      </c>
      <c r="E44" s="17" t="s">
        <v>25</v>
      </c>
      <c r="F44" s="17" t="s">
        <v>25</v>
      </c>
      <c r="G44" s="18" t="s">
        <v>474</v>
      </c>
      <c r="H44" s="18" t="s">
        <v>467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1.8816448806409467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91.763436488835083</v>
      </c>
      <c r="R44" s="13">
        <f>'TR TUSD'!$R$44*'TR TUSD'!$R$60</f>
        <v>14.499214390976721</v>
      </c>
      <c r="S44" s="13">
        <f>'TR TUSD'!$S$44*'TR TUSD'!$S$60</f>
        <v>0</v>
      </c>
      <c r="T44" s="13">
        <f ca="1">SUM($L$44:$S$44)</f>
        <v>108.14429576045275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136.54628856854725</v>
      </c>
      <c r="Z44" s="13">
        <f>'TR TUSD'!$Z$44</f>
        <v>0</v>
      </c>
      <c r="AA44" s="13">
        <f>'TR TUSD'!$AA$44</f>
        <v>0</v>
      </c>
      <c r="AB44" s="13">
        <f>SUM($U$44:$AA$44)</f>
        <v>136.54628856854725</v>
      </c>
      <c r="AC44" s="13">
        <f>'TR TUSD'!$AC$44*'TR TUSD'!$AC$60</f>
        <v>436.11709772513035</v>
      </c>
      <c r="AD44" s="13">
        <f>SUM($AC$44:$AC$44)</f>
        <v>436.11709772513035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19.195654995686439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19.195654995686439</v>
      </c>
      <c r="AM44" s="13">
        <f ca="1">SUMIF($L$4:$AL$4,"SUBTOTAL",$L$44:$AL$44)</f>
        <v>700.00333704981676</v>
      </c>
      <c r="AP44" s="13">
        <f>IF((1 - CUSTOS!$M$30)&lt;&gt;0,1/(1 - CUSTOS!$M$30),1)</f>
        <v>1</v>
      </c>
    </row>
    <row r="45" spans="1:42" ht="11.25" customHeight="1" x14ac:dyDescent="0.3">
      <c r="A45" s="90" t="s">
        <v>37</v>
      </c>
      <c r="B45" s="90" t="s">
        <v>33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468</v>
      </c>
      <c r="H45" s="18" t="s">
        <v>467</v>
      </c>
      <c r="I45" s="18">
        <f>'MERCADO TUSD'!$U$42</f>
        <v>3.0390000000000001</v>
      </c>
      <c r="J45" s="15"/>
      <c r="L45" s="13">
        <f>'TR TUSD'!$L$45*'TR TUSD'!$L$60</f>
        <v>0</v>
      </c>
      <c r="M45" s="13">
        <f>'TR TUSD'!$M$45*'TR TUSD'!$M$60</f>
        <v>1.8816448806409467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91.763436488835083</v>
      </c>
      <c r="R45" s="13">
        <f>'TR TUSD'!$R$45*'TR TUSD'!$R$60</f>
        <v>14.499214390976721</v>
      </c>
      <c r="S45" s="13">
        <f>'TR TUSD'!$S$45*'TR TUSD'!$S$60</f>
        <v>0</v>
      </c>
      <c r="T45" s="13">
        <f ca="1">SUM($L$45:$S$45)</f>
        <v>108.14429576045275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471.20252651878985</v>
      </c>
      <c r="Z45" s="13">
        <f>'TR TUSD'!$Z$45</f>
        <v>0</v>
      </c>
      <c r="AA45" s="13">
        <f>'TR TUSD'!$AA$45</f>
        <v>0</v>
      </c>
      <c r="AB45" s="13">
        <f>SUM($U$45:$AA$45)</f>
        <v>471.20252651878985</v>
      </c>
      <c r="AC45" s="13">
        <f>'TR TUSD'!$AC$45*'TR TUSD'!$AC$60</f>
        <v>1504.6032718890465</v>
      </c>
      <c r="AD45" s="13">
        <f>SUM($AC$45:$AC$45)</f>
        <v>1504.6032718890465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19.195654995686439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19.195654995686439</v>
      </c>
      <c r="AM45" s="13">
        <f ca="1">SUMIF($L$4:$AL$4,"SUBTOTAL",$L$45:$AL$45)</f>
        <v>2103.1457491639753</v>
      </c>
      <c r="AP45" s="13">
        <f>IF((1 - CUSTOS!$M$31)&lt;&gt;0,1/(1 - CUSTOS!$M$31),1)</f>
        <v>1</v>
      </c>
    </row>
    <row r="46" spans="1:42" ht="11.25" customHeight="1" x14ac:dyDescent="0.3">
      <c r="A46" s="90"/>
      <c r="B46" s="90"/>
      <c r="C46" s="90"/>
      <c r="D46" s="90"/>
      <c r="E46" s="90"/>
      <c r="F46" s="90"/>
      <c r="G46" s="18" t="s">
        <v>480</v>
      </c>
      <c r="H46" s="18" t="s">
        <v>467</v>
      </c>
      <c r="I46" s="18">
        <f>'MERCADO TUSD'!$U$43</f>
        <v>5.1750000000000007</v>
      </c>
      <c r="J46" s="15"/>
      <c r="L46" s="13">
        <f>'TR TUSD'!$L$46*'TR TUSD'!$L$60</f>
        <v>0</v>
      </c>
      <c r="M46" s="13">
        <f>'TR TUSD'!$M$46*'TR TUSD'!$M$60</f>
        <v>1.8816448806409467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91.763436488835083</v>
      </c>
      <c r="R46" s="13">
        <f>'TR TUSD'!$R$46*'TR TUSD'!$R$60</f>
        <v>14.499214390976721</v>
      </c>
      <c r="S46" s="13">
        <f>'TR TUSD'!$S$46*'TR TUSD'!$S$60</f>
        <v>0</v>
      </c>
      <c r="T46" s="13">
        <f ca="1">SUM($L$46:$S$46)</f>
        <v>108.14429576045275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282.66748580223594</v>
      </c>
      <c r="Z46" s="13">
        <f>'TR TUSD'!$Z$46</f>
        <v>0</v>
      </c>
      <c r="AA46" s="13">
        <f>'TR TUSD'!$AA$46</f>
        <v>0</v>
      </c>
      <c r="AB46" s="13">
        <f>SUM($U$46:$AA$46)</f>
        <v>282.66748580223594</v>
      </c>
      <c r="AC46" s="13">
        <f>'TR TUSD'!$AC$46*'TR TUSD'!$AC$60</f>
        <v>902.76194078146989</v>
      </c>
      <c r="AD46" s="13">
        <f>SUM($AC$46:$AC$46)</f>
        <v>902.76194078146989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19.195654995686439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19.195654995686439</v>
      </c>
      <c r="AM46" s="13">
        <f ca="1">SUMIF($L$4:$AL$4,"SUBTOTAL",$L$46:$AL$46)</f>
        <v>1312.7693773398451</v>
      </c>
      <c r="AP46" s="13">
        <f>IF((1 - CUSTOS!$M$31)&lt;&gt;0,1/(1 - CUSTOS!$M$31),1)</f>
        <v>1</v>
      </c>
    </row>
    <row r="47" spans="1:42" ht="11.25" customHeight="1" x14ac:dyDescent="0.3">
      <c r="A47" s="90"/>
      <c r="B47" s="90"/>
      <c r="C47" s="90"/>
      <c r="D47" s="90"/>
      <c r="E47" s="90"/>
      <c r="F47" s="90"/>
      <c r="G47" s="18" t="s">
        <v>469</v>
      </c>
      <c r="H47" s="18" t="s">
        <v>467</v>
      </c>
      <c r="I47" s="18">
        <f>'MERCADO TUSD'!$U$44</f>
        <v>190.53300000000002</v>
      </c>
      <c r="J47" s="15"/>
      <c r="L47" s="13">
        <f>'TR TUSD'!$L$47*'TR TUSD'!$L$60</f>
        <v>0</v>
      </c>
      <c r="M47" s="13">
        <f>'TR TUSD'!$M$47*'TR TUSD'!$M$60</f>
        <v>1.8816448806409467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91.763436488835083</v>
      </c>
      <c r="R47" s="13">
        <f>'TR TUSD'!$R$47*'TR TUSD'!$R$60</f>
        <v>14.499214390976721</v>
      </c>
      <c r="S47" s="13">
        <f>'TR TUSD'!$S$47*'TR TUSD'!$S$60</f>
        <v>0</v>
      </c>
      <c r="T47" s="13">
        <f ca="1">SUM($L$47:$S$47)</f>
        <v>108.14429576045275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94.200008707988076</v>
      </c>
      <c r="Z47" s="13">
        <f>'TR TUSD'!$Z$47</f>
        <v>0</v>
      </c>
      <c r="AA47" s="13">
        <f>'TR TUSD'!$AA$47</f>
        <v>0</v>
      </c>
      <c r="AB47" s="13">
        <f>SUM($U$47:$AA$47)</f>
        <v>94.200008707988076</v>
      </c>
      <c r="AC47" s="13">
        <f>'TR TUSD'!$AC$47*'TR TUSD'!$AC$60</f>
        <v>300.92083319347262</v>
      </c>
      <c r="AD47" s="13">
        <f>SUM($AC$47:$AC$47)</f>
        <v>300.92083319347262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19.195654995686439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19.195654995686439</v>
      </c>
      <c r="AM47" s="13">
        <f ca="1">SUMIF($L$4:$AL$4,"SUBTOTAL",$L$47:$AL$47)</f>
        <v>522.46079265759988</v>
      </c>
      <c r="AP47" s="13">
        <f>IF((1 - CUSTOS!$M$31)&lt;&gt;0,1/(1 - CUSTOS!$M$31),1)</f>
        <v>1</v>
      </c>
    </row>
    <row r="48" spans="1:42" ht="11.25" customHeight="1" x14ac:dyDescent="0.3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474</v>
      </c>
      <c r="H48" s="18" t="s">
        <v>467</v>
      </c>
      <c r="I48" s="18">
        <f>'MERCADO TUSD'!$U$45</f>
        <v>13839.034999999998</v>
      </c>
      <c r="J48" s="15"/>
      <c r="L48" s="13">
        <f>'TR TUSD'!$L$48*'TR TUSD'!$L$60</f>
        <v>0</v>
      </c>
      <c r="M48" s="13">
        <f>'TR TUSD'!$M$48*'TR TUSD'!$M$60</f>
        <v>1.8816448806409467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91.763436488835083</v>
      </c>
      <c r="R48" s="13">
        <f>'TR TUSD'!$R$48*'TR TUSD'!$R$60</f>
        <v>14.499214390976721</v>
      </c>
      <c r="S48" s="13">
        <f>'TR TUSD'!$S$48*'TR TUSD'!$S$60</f>
        <v>0</v>
      </c>
      <c r="T48" s="13">
        <f ca="1">SUM($L$48:$S$48)</f>
        <v>108.14429576045275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136.54628856854725</v>
      </c>
      <c r="Z48" s="13">
        <f>'TR TUSD'!$Z$48</f>
        <v>0</v>
      </c>
      <c r="AA48" s="13">
        <f>'TR TUSD'!$AA$48</f>
        <v>0</v>
      </c>
      <c r="AB48" s="13">
        <f>SUM($U$48:$AA$48)</f>
        <v>136.54628856854725</v>
      </c>
      <c r="AC48" s="13">
        <f>'TR TUSD'!$AC$48*'TR TUSD'!$AC$60</f>
        <v>436.11709772513035</v>
      </c>
      <c r="AD48" s="13">
        <f>SUM($AC$48:$AC$48)</f>
        <v>436.11709772513035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19.195654995686439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19.195654995686439</v>
      </c>
      <c r="AM48" s="13">
        <f ca="1">SUMIF($L$4:$AL$4,"SUBTOTAL",$L$48:$AL$48)</f>
        <v>700.00333704981676</v>
      </c>
      <c r="AP48" s="13">
        <f>IF((1 - CUSTOS!$M$31)&lt;&gt;0,1/(1 - CUSTOS!$M$31),1)</f>
        <v>1</v>
      </c>
    </row>
    <row r="49" spans="1:42" ht="11.25" customHeight="1" x14ac:dyDescent="0.3">
      <c r="A49" s="90"/>
      <c r="B49" s="17" t="s">
        <v>483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474</v>
      </c>
      <c r="H49" s="18" t="s">
        <v>467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1.8816448806409467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91.763436488835083</v>
      </c>
      <c r="R49" s="13">
        <f>'TR TUSD'!$R$49*'TR TUSD'!$R$60</f>
        <v>14.499214390976721</v>
      </c>
      <c r="S49" s="13">
        <f>'TR TUSD'!$S$49*'TR TUSD'!$S$60</f>
        <v>0</v>
      </c>
      <c r="T49" s="13">
        <f ca="1">SUM($L$49:$S$49)</f>
        <v>108.14429576045275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136.54628856854725</v>
      </c>
      <c r="Z49" s="13">
        <f>'TR TUSD'!$Z$49</f>
        <v>0</v>
      </c>
      <c r="AA49" s="13">
        <f>'TR TUSD'!$AA$49</f>
        <v>0</v>
      </c>
      <c r="AB49" s="13">
        <f>SUM($U$49:$AA$49)</f>
        <v>136.54628856854725</v>
      </c>
      <c r="AC49" s="13">
        <f>'TR TUSD'!$AC$49*'TR TUSD'!$AC$60</f>
        <v>436.11709772513035</v>
      </c>
      <c r="AD49" s="13">
        <f>SUM($AC$49:$AC$49)</f>
        <v>436.11709772513035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19.195654995686439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19.195654995686439</v>
      </c>
      <c r="AM49" s="13">
        <f ca="1">SUMIF($L$4:$AL$4,"SUBTOTAL",$L$49:$AL$49)</f>
        <v>700.00333704981676</v>
      </c>
      <c r="AP49" s="13">
        <f>IF((1 - CUSTOS!$M$31)&lt;&gt;0,1/(1 - CUSTOS!$M$31),1)</f>
        <v>1</v>
      </c>
    </row>
    <row r="50" spans="1:42" ht="11.25" customHeight="1" x14ac:dyDescent="0.3">
      <c r="A50" s="90" t="s">
        <v>45</v>
      </c>
      <c r="B50" s="90" t="s">
        <v>23</v>
      </c>
      <c r="C50" s="90" t="s">
        <v>46</v>
      </c>
      <c r="D50" s="17" t="s">
        <v>486</v>
      </c>
      <c r="E50" s="17" t="s">
        <v>25</v>
      </c>
      <c r="F50" s="17" t="s">
        <v>25</v>
      </c>
      <c r="G50" s="18" t="s">
        <v>474</v>
      </c>
      <c r="H50" s="18" t="s">
        <v>467</v>
      </c>
      <c r="I50" s="18">
        <f>'MERCADO TUSD'!$U$47</f>
        <v>0</v>
      </c>
      <c r="J50" s="15"/>
      <c r="L50" s="13">
        <f>'TR TUSD'!$L$50*'TR TUSD'!$L$60</f>
        <v>0</v>
      </c>
      <c r="M50" s="13">
        <f>'TR TUSD'!$M$50*'TR TUSD'!$M$60</f>
        <v>1.0349046843525207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50.4698900688593</v>
      </c>
      <c r="R50" s="13">
        <f>'TR TUSD'!$R$50*'TR TUSD'!$R$60</f>
        <v>7.9745679150371975</v>
      </c>
      <c r="S50" s="13">
        <f>'TR TUSD'!$S$50*'TR TUSD'!$S$60</f>
        <v>0</v>
      </c>
      <c r="T50" s="13">
        <f ca="1">SUM($L$50:$S$50)</f>
        <v>59.479362668249017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75.100458712701013</v>
      </c>
      <c r="Z50" s="13">
        <f>'TR TUSD'!$Z$50</f>
        <v>0</v>
      </c>
      <c r="AA50" s="13">
        <f>'TR TUSD'!$AA$50</f>
        <v>0</v>
      </c>
      <c r="AB50" s="13">
        <f>SUM($U$50:$AA$50)</f>
        <v>75.100458712701013</v>
      </c>
      <c r="AC50" s="13">
        <f>'TR TUSD'!$AC$50*'TR TUSD'!$AC$60</f>
        <v>239.86440374882173</v>
      </c>
      <c r="AD50" s="13">
        <f>SUM($AC$50:$AC$50)</f>
        <v>239.86440374882173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10.557610247627542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10.557610247627542</v>
      </c>
      <c r="AM50" s="13">
        <f ca="1">SUMIF($L$4:$AL$4,"SUBTOTAL",$L$50:$AL$50)</f>
        <v>385.00183537739935</v>
      </c>
      <c r="AP50" s="13">
        <f>IF((1 - CUSTOS!$M$32)&lt;&gt;0,1/(1 - CUSTOS!$M$32),1)</f>
        <v>1.8181818181818181</v>
      </c>
    </row>
    <row r="51" spans="1:42" ht="11.25" customHeight="1" x14ac:dyDescent="0.3">
      <c r="A51" s="90"/>
      <c r="B51" s="90"/>
      <c r="C51" s="90"/>
      <c r="D51" s="18" t="s">
        <v>47</v>
      </c>
      <c r="E51" s="18" t="s">
        <v>25</v>
      </c>
      <c r="F51" s="18" t="s">
        <v>25</v>
      </c>
      <c r="G51" s="18" t="s">
        <v>474</v>
      </c>
      <c r="H51" s="18" t="s">
        <v>467</v>
      </c>
      <c r="I51" s="18">
        <f>'MERCADO TUSD'!$U$48</f>
        <v>3807.3310000000001</v>
      </c>
      <c r="J51" s="15"/>
      <c r="L51" s="13">
        <f>'TR TUSD'!$L$51*'TR TUSD'!$L$60</f>
        <v>0</v>
      </c>
      <c r="M51" s="13">
        <f>'TR TUSD'!$M$51*'TR TUSD'!$M$60</f>
        <v>1.1289869283845679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55.058061893301051</v>
      </c>
      <c r="R51" s="13">
        <f>'TR TUSD'!$R$51*'TR TUSD'!$R$60</f>
        <v>8.6995286345860325</v>
      </c>
      <c r="S51" s="13">
        <f>'TR TUSD'!$S$51*'TR TUSD'!$S$60</f>
        <v>0</v>
      </c>
      <c r="T51" s="13">
        <f ca="1">SUM($L$51:$S$51)</f>
        <v>64.886577456271652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81.927773141128355</v>
      </c>
      <c r="Z51" s="13">
        <f>'TR TUSD'!$Z$51</f>
        <v>0</v>
      </c>
      <c r="AA51" s="13">
        <f>'TR TUSD'!$AA$51</f>
        <v>0</v>
      </c>
      <c r="AB51" s="13">
        <f>SUM($U$51:$AA$51)</f>
        <v>81.927773141128355</v>
      </c>
      <c r="AC51" s="13">
        <f>'TR TUSD'!$AC$51*'TR TUSD'!$AC$60</f>
        <v>261.6702586350782</v>
      </c>
      <c r="AD51" s="13">
        <f>SUM($AC$51:$AC$51)</f>
        <v>261.6702586350782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11.517392997411864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11.517392997411864</v>
      </c>
      <c r="AM51" s="13">
        <f ca="1">SUMIF($L$4:$AL$4,"SUBTOTAL",$L$51:$AL$51)</f>
        <v>420.00200222989008</v>
      </c>
      <c r="AP51" s="13">
        <f>IF((1 - CUSTOS!$M$33)&lt;&gt;0,1/(1 - CUSTOS!$M$33),1)</f>
        <v>1.6666666666666667</v>
      </c>
    </row>
    <row r="53" spans="1:42" ht="11.25" customHeight="1" x14ac:dyDescent="0.3">
      <c r="K53" s="16" t="s">
        <v>602</v>
      </c>
      <c r="L53" s="13">
        <f>SUMPRODUCT($I$5:$I51,$L$5:$L51)</f>
        <v>0</v>
      </c>
      <c r="M53" s="13">
        <f>SUMPRODUCT($I$5:$I51,$M$5:$M51)</f>
        <v>101171.40779676361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5176461.8090699986</v>
      </c>
      <c r="R53" s="13">
        <f>SUMPRODUCT($I$5:$I51,$R$5:$R51)</f>
        <v>845062.12880999991</v>
      </c>
      <c r="S53" s="13">
        <f>SUMPRODUCT($I$5:$I51,$S$5:$S51)</f>
        <v>0</v>
      </c>
      <c r="T53" s="13">
        <f ca="1">SUMPRODUCT($I$5:$I51,$T$5:$T51)</f>
        <v>6122695.3456767593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7916132.6110183969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7916132.6110183969</v>
      </c>
      <c r="AC53" s="13">
        <f>SUMPRODUCT($I$5:$I51,$AC$5:$AC51)</f>
        <v>23425104.430000003</v>
      </c>
      <c r="AD53" s="13">
        <f>SUMPRODUCT($I$5:$I51,$AD$5:$AD51)</f>
        <v>23425104.430000003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991456.73037400108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991456.73037400108</v>
      </c>
      <c r="AM53" s="13">
        <f ca="1">SUMPRODUCT($I$5:$I51,$AM$5:$AM51)</f>
        <v>38455389.11706917</v>
      </c>
    </row>
    <row r="54" spans="1:42" ht="11.25" customHeight="1" x14ac:dyDescent="0.3">
      <c r="K54" s="16" t="s">
        <v>534</v>
      </c>
      <c r="L54" s="13">
        <f>'TR TUSD'!$L$56</f>
        <v>0</v>
      </c>
      <c r="M54" s="13">
        <f>'TR TUSD'!$M$56</f>
        <v>101171.40779676361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5176461.8090699986</v>
      </c>
      <c r="R54" s="13">
        <f>'TR TUSD'!$R$56</f>
        <v>845062.12880999979</v>
      </c>
      <c r="S54" s="13">
        <f>'TR TUSD'!$S$56</f>
        <v>0</v>
      </c>
      <c r="T54" s="13">
        <f>'TR TUSD'!$T$56</f>
        <v>6122695.3456767621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7916132.6110183997</v>
      </c>
      <c r="Z54" s="13">
        <f>'TR TUSD'!$Z$56</f>
        <v>0</v>
      </c>
      <c r="AA54" s="13">
        <f>'TR TUSD'!$AA$56</f>
        <v>0</v>
      </c>
      <c r="AB54" s="13">
        <f>'TR TUSD'!$AB$56</f>
        <v>7916132.6110183997</v>
      </c>
      <c r="AC54" s="13">
        <f>'TR TUSD'!$AC$56</f>
        <v>23425104.43</v>
      </c>
      <c r="AD54" s="13">
        <f>'TR TUSD'!$AD$56</f>
        <v>23425104.43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991456.7303740012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991456.7303740012</v>
      </c>
      <c r="AM54" s="13">
        <f>CUSTOS!$D$29</f>
        <v>38455389.117069162</v>
      </c>
    </row>
    <row r="55" spans="1:42" ht="11.25" customHeight="1" x14ac:dyDescent="0.3">
      <c r="K55" s="16" t="s">
        <v>535</v>
      </c>
      <c r="L55" s="13">
        <f>CUSTOS!$E$2</f>
        <v>0</v>
      </c>
      <c r="M55" s="13">
        <f>CUSTOS!$E$3</f>
        <v>-4434.423121813832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-175355.2708544028</v>
      </c>
      <c r="R55" s="13">
        <f>CUSTOS!$E$8</f>
        <v>-28095.056381815815</v>
      </c>
      <c r="S55" s="13">
        <f>CUSTOS!$E$9</f>
        <v>0</v>
      </c>
      <c r="T55" s="13">
        <f>CUSTOS!$E$10</f>
        <v>-207884.75035803244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221553.17760410844</v>
      </c>
      <c r="Z55" s="13">
        <f>CUSTOS!$E$16</f>
        <v>0</v>
      </c>
      <c r="AA55" s="13">
        <f>CUSTOS!$E$17</f>
        <v>0</v>
      </c>
      <c r="AB55" s="13">
        <f>CUSTOS!$E$18</f>
        <v>221553.17760410844</v>
      </c>
      <c r="AC55" s="13">
        <f>CUSTOS!$E$19</f>
        <v>-96886.197785623372</v>
      </c>
      <c r="AD55" s="13">
        <f>CUSTOS!$E$20</f>
        <v>-96886.197785623372</v>
      </c>
      <c r="AE55" s="13">
        <f>CUSTOS!$E$21</f>
        <v>-424264.20941657806</v>
      </c>
      <c r="AF55" s="13">
        <f>CUSTOS!$E$22</f>
        <v>0</v>
      </c>
      <c r="AG55" s="13">
        <f>CUSTOS!$E$23</f>
        <v>-424264.20941657806</v>
      </c>
      <c r="AH55" s="13">
        <f>CUSTOS!$E$24</f>
        <v>-587739.9660082187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-587739.9660082187</v>
      </c>
      <c r="AM55" s="13">
        <f>CUSTOS!$E$29</f>
        <v>-1095221.9459643441</v>
      </c>
    </row>
    <row r="56" spans="1:42" ht="11.25" customHeight="1" x14ac:dyDescent="0.3">
      <c r="K56" s="16" t="s">
        <v>536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599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3">
      <c r="K58" s="16" t="s">
        <v>603</v>
      </c>
      <c r="L58" s="13">
        <f t="shared" ref="L58:R58" si="0">IF((L53-(0))&lt;&gt;0,(L55)/(L53-(0)),0)</f>
        <v>0</v>
      </c>
      <c r="M58" s="13">
        <f t="shared" si="0"/>
        <v>-4.38307938812302E-2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-3.3875507503436417E-2</v>
      </c>
      <c r="R58" s="13">
        <f t="shared" si="0"/>
        <v>-3.3246143004158436E-2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2.7987552570270295E-2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-4.1359985427233958E-3</v>
      </c>
      <c r="AD58" s="13"/>
      <c r="AE58" s="13">
        <f ca="1">IF(($AM53-(0))&lt;&gt;0,(AE55)/($AM53-(0)),0)</f>
        <v>-1.1032633374869693E-2</v>
      </c>
      <c r="AF58" s="13">
        <f ca="1">IF(($AM53-(0))&lt;&gt;0,(AF55)/($AM53-(0)),0)</f>
        <v>0</v>
      </c>
      <c r="AG58" s="13"/>
      <c r="AH58" s="13">
        <f>IF((AH53-(0))&lt;&gt;0,(AH55)/(AH53-(0)),0)</f>
        <v>-0.5928044542967692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14" priority="55" operator="notEqual">
      <formula>$L$54-$L$57</formula>
    </cfRule>
    <cfRule type="cellIs" dxfId="913" priority="56" operator="equal">
      <formula>$L$54-$L$57</formula>
    </cfRule>
  </conditionalFormatting>
  <conditionalFormatting sqref="M53">
    <cfRule type="cellIs" dxfId="912" priority="53" operator="notEqual">
      <formula>$M$54-$M$57</formula>
    </cfRule>
    <cfRule type="cellIs" dxfId="911" priority="54" operator="equal">
      <formula>$M$54-$M$57</formula>
    </cfRule>
  </conditionalFormatting>
  <conditionalFormatting sqref="N53">
    <cfRule type="cellIs" dxfId="910" priority="51" operator="notEqual">
      <formula>$N$54-$N$57</formula>
    </cfRule>
    <cfRule type="cellIs" dxfId="909" priority="52" operator="equal">
      <formula>$N$54-$N$57</formula>
    </cfRule>
  </conditionalFormatting>
  <conditionalFormatting sqref="O53">
    <cfRule type="cellIs" dxfId="908" priority="49" operator="notEqual">
      <formula>$O$54-$O$57</formula>
    </cfRule>
    <cfRule type="cellIs" dxfId="907" priority="50" operator="equal">
      <formula>$O$54-$O$57</formula>
    </cfRule>
  </conditionalFormatting>
  <conditionalFormatting sqref="P53">
    <cfRule type="cellIs" dxfId="906" priority="47" operator="notEqual">
      <formula>$P$54-$P$57</formula>
    </cfRule>
    <cfRule type="cellIs" dxfId="905" priority="48" operator="equal">
      <formula>$P$54-$P$57</formula>
    </cfRule>
  </conditionalFormatting>
  <conditionalFormatting sqref="Q53">
    <cfRule type="cellIs" dxfId="904" priority="45" operator="notEqual">
      <formula>$Q$54-$Q$57</formula>
    </cfRule>
    <cfRule type="cellIs" dxfId="903" priority="46" operator="equal">
      <formula>$Q$54-$Q$57</formula>
    </cfRule>
  </conditionalFormatting>
  <conditionalFormatting sqref="R53">
    <cfRule type="cellIs" dxfId="902" priority="43" operator="notEqual">
      <formula>$R$54-$R$57</formula>
    </cfRule>
    <cfRule type="cellIs" dxfId="901" priority="44" operator="equal">
      <formula>$R$54-$R$57</formula>
    </cfRule>
  </conditionalFormatting>
  <conditionalFormatting sqref="S53">
    <cfRule type="cellIs" dxfId="900" priority="41" operator="notEqual">
      <formula>$S$54-$S$57</formula>
    </cfRule>
    <cfRule type="cellIs" dxfId="899" priority="42" operator="equal">
      <formula>$S$54-$S$57</formula>
    </cfRule>
  </conditionalFormatting>
  <conditionalFormatting sqref="T53">
    <cfRule type="cellIs" dxfId="898" priority="39" operator="notEqual">
      <formula>$T$54-$T$57</formula>
    </cfRule>
    <cfRule type="cellIs" dxfId="897" priority="40" operator="equal">
      <formula>$T$54-$T$57</formula>
    </cfRule>
  </conditionalFormatting>
  <conditionalFormatting sqref="U53">
    <cfRule type="cellIs" dxfId="896" priority="37" operator="notEqual">
      <formula>$U$54-$U$57</formula>
    </cfRule>
    <cfRule type="cellIs" dxfId="895" priority="38" operator="equal">
      <formula>$U$54-$U$57</formula>
    </cfRule>
  </conditionalFormatting>
  <conditionalFormatting sqref="V53">
    <cfRule type="cellIs" dxfId="894" priority="35" operator="notEqual">
      <formula>$V$54-$V$57</formula>
    </cfRule>
    <cfRule type="cellIs" dxfId="893" priority="36" operator="equal">
      <formula>$V$54-$V$57</formula>
    </cfRule>
  </conditionalFormatting>
  <conditionalFormatting sqref="W53">
    <cfRule type="cellIs" dxfId="892" priority="33" operator="notEqual">
      <formula>$W$54-$W$57</formula>
    </cfRule>
    <cfRule type="cellIs" dxfId="891" priority="34" operator="equal">
      <formula>$W$54-$W$57</formula>
    </cfRule>
  </conditionalFormatting>
  <conditionalFormatting sqref="X53">
    <cfRule type="cellIs" dxfId="890" priority="31" operator="notEqual">
      <formula>$X$54-$X$57</formula>
    </cfRule>
    <cfRule type="cellIs" dxfId="889" priority="32" operator="equal">
      <formula>$X$54-$X$57</formula>
    </cfRule>
  </conditionalFormatting>
  <conditionalFormatting sqref="Y53">
    <cfRule type="cellIs" dxfId="888" priority="29" operator="notEqual">
      <formula>$Y$54-$Y$57</formula>
    </cfRule>
    <cfRule type="cellIs" dxfId="887" priority="30" operator="equal">
      <formula>$Y$54-$Y$57</formula>
    </cfRule>
  </conditionalFormatting>
  <conditionalFormatting sqref="Z53">
    <cfRule type="cellIs" dxfId="886" priority="27" operator="notEqual">
      <formula>$Z$54-$Z$57</formula>
    </cfRule>
    <cfRule type="cellIs" dxfId="885" priority="28" operator="equal">
      <formula>$Z$54-$Z$57</formula>
    </cfRule>
  </conditionalFormatting>
  <conditionalFormatting sqref="AA53">
    <cfRule type="cellIs" dxfId="884" priority="25" operator="notEqual">
      <formula>$AA$54-$AA$57</formula>
    </cfRule>
    <cfRule type="cellIs" dxfId="883" priority="26" operator="equal">
      <formula>$AA$54-$AA$57</formula>
    </cfRule>
  </conditionalFormatting>
  <conditionalFormatting sqref="AB53">
    <cfRule type="cellIs" dxfId="882" priority="23" operator="notEqual">
      <formula>$AB$54-$AB$57</formula>
    </cfRule>
    <cfRule type="cellIs" dxfId="881" priority="24" operator="equal">
      <formula>$AB$54-$AB$57</formula>
    </cfRule>
  </conditionalFormatting>
  <conditionalFormatting sqref="AC53">
    <cfRule type="cellIs" dxfId="880" priority="21" operator="notEqual">
      <formula>$AC$54-$AC$57</formula>
    </cfRule>
    <cfRule type="cellIs" dxfId="879" priority="22" operator="equal">
      <formula>$AC$54-$AC$57</formula>
    </cfRule>
  </conditionalFormatting>
  <conditionalFormatting sqref="AD53">
    <cfRule type="cellIs" dxfId="878" priority="19" operator="notEqual">
      <formula>$AD$54-$AD$57</formula>
    </cfRule>
    <cfRule type="cellIs" dxfId="877" priority="20" operator="equal">
      <formula>$AD$54-$AD$57</formula>
    </cfRule>
  </conditionalFormatting>
  <conditionalFormatting sqref="AE53">
    <cfRule type="cellIs" dxfId="876" priority="17" operator="notEqual">
      <formula>$AE$54-$AE$57</formula>
    </cfRule>
    <cfRule type="cellIs" dxfId="875" priority="18" operator="equal">
      <formula>$AE$54-$AE$57</formula>
    </cfRule>
  </conditionalFormatting>
  <conditionalFormatting sqref="AF53">
    <cfRule type="cellIs" dxfId="874" priority="16" operator="equal">
      <formula>$AF$54-$AF$57</formula>
    </cfRule>
  </conditionalFormatting>
  <conditionalFormatting sqref="AF53">
    <cfRule type="cellIs" dxfId="873" priority="15" operator="notEqual">
      <formula>$AF$54-$AF$57</formula>
    </cfRule>
  </conditionalFormatting>
  <conditionalFormatting sqref="AG53">
    <cfRule type="cellIs" dxfId="872" priority="14" operator="equal">
      <formula>$AG$54-$AG$57</formula>
    </cfRule>
  </conditionalFormatting>
  <conditionalFormatting sqref="AG53">
    <cfRule type="cellIs" dxfId="871" priority="13" operator="notEqual">
      <formula>$AG$54-$AG$57</formula>
    </cfRule>
  </conditionalFormatting>
  <conditionalFormatting sqref="AH53">
    <cfRule type="cellIs" dxfId="870" priority="12" operator="equal">
      <formula>$AH$54-$AH$57</formula>
    </cfRule>
  </conditionalFormatting>
  <conditionalFormatting sqref="AH53">
    <cfRule type="cellIs" dxfId="869" priority="11" operator="notEqual">
      <formula>$AH$54-$AH$57</formula>
    </cfRule>
  </conditionalFormatting>
  <conditionalFormatting sqref="AI53">
    <cfRule type="cellIs" dxfId="868" priority="10" operator="equal">
      <formula>$AI$54-$AI$57</formula>
    </cfRule>
  </conditionalFormatting>
  <conditionalFormatting sqref="AI53">
    <cfRule type="cellIs" dxfId="867" priority="9" operator="notEqual">
      <formula>$AI$54-$AI$57</formula>
    </cfRule>
  </conditionalFormatting>
  <conditionalFormatting sqref="AJ53">
    <cfRule type="cellIs" dxfId="866" priority="8" operator="equal">
      <formula>$AJ$54-$AJ$57</formula>
    </cfRule>
  </conditionalFormatting>
  <conditionalFormatting sqref="AJ53">
    <cfRule type="cellIs" dxfId="865" priority="7" operator="notEqual">
      <formula>$AJ$54-$AJ$57</formula>
    </cfRule>
  </conditionalFormatting>
  <conditionalFormatting sqref="AK53">
    <cfRule type="cellIs" dxfId="864" priority="6" operator="equal">
      <formula>$AK$54-$AK$57</formula>
    </cfRule>
  </conditionalFormatting>
  <conditionalFormatting sqref="AK53">
    <cfRule type="cellIs" dxfId="863" priority="5" operator="notEqual">
      <formula>$AK$54-$AK$57</formula>
    </cfRule>
  </conditionalFormatting>
  <conditionalFormatting sqref="AL53">
    <cfRule type="cellIs" dxfId="862" priority="4" operator="equal">
      <formula>$AL$54-$AL$57</formula>
    </cfRule>
  </conditionalFormatting>
  <conditionalFormatting sqref="AL53">
    <cfRule type="cellIs" dxfId="861" priority="3" operator="notEqual">
      <formula>$AL$54-$AL$57</formula>
    </cfRule>
  </conditionalFormatting>
  <conditionalFormatting sqref="AM53">
    <cfRule type="cellIs" dxfId="860" priority="2" operator="equal">
      <formula>$AM$54-$AM$57</formula>
    </cfRule>
  </conditionalFormatting>
  <conditionalFormatting sqref="AM53">
    <cfRule type="cellIs" dxfId="859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AAF9-4BC1-476F-A8D2-753958B90D4D}">
  <dimension ref="A1:AP58"/>
  <sheetViews>
    <sheetView showGridLines="0" topLeftCell="Z36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1" t="s">
        <v>457</v>
      </c>
      <c r="B1" s="91" t="s">
        <v>458</v>
      </c>
      <c r="C1" s="91" t="s">
        <v>459</v>
      </c>
      <c r="D1" s="91" t="s">
        <v>460</v>
      </c>
      <c r="E1" s="91" t="s">
        <v>461</v>
      </c>
      <c r="F1" s="91" t="s">
        <v>15</v>
      </c>
      <c r="G1" s="91" t="s">
        <v>463</v>
      </c>
      <c r="H1" s="91" t="s">
        <v>464</v>
      </c>
      <c r="I1" s="91" t="s">
        <v>593</v>
      </c>
      <c r="J1" s="84"/>
      <c r="L1" s="92" t="s">
        <v>610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5" t="s">
        <v>595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492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6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493</v>
      </c>
      <c r="M3" s="92"/>
      <c r="N3" s="92"/>
      <c r="O3" s="92"/>
      <c r="P3" s="92"/>
      <c r="Q3" s="92"/>
      <c r="R3" s="92"/>
      <c r="S3" s="92"/>
      <c r="T3" s="92"/>
      <c r="U3" s="92" t="s">
        <v>502</v>
      </c>
      <c r="V3" s="92"/>
      <c r="W3" s="92"/>
      <c r="X3" s="92"/>
      <c r="Y3" s="92"/>
      <c r="Z3" s="92"/>
      <c r="AA3" s="92"/>
      <c r="AB3" s="92"/>
      <c r="AC3" s="92" t="s">
        <v>510</v>
      </c>
      <c r="AD3" s="92"/>
      <c r="AE3" s="92" t="s">
        <v>512</v>
      </c>
      <c r="AF3" s="92"/>
      <c r="AG3" s="92"/>
      <c r="AH3" s="92" t="s">
        <v>515</v>
      </c>
      <c r="AI3" s="92"/>
      <c r="AJ3" s="92"/>
      <c r="AK3" s="92"/>
      <c r="AL3" s="92"/>
      <c r="AM3" s="92" t="s">
        <v>501</v>
      </c>
      <c r="AO3" s="20"/>
      <c r="AP3" s="96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578</v>
      </c>
      <c r="M4" s="10" t="s">
        <v>494</v>
      </c>
      <c r="N4" s="10" t="s">
        <v>495</v>
      </c>
      <c r="O4" s="10" t="s">
        <v>496</v>
      </c>
      <c r="P4" s="10" t="s">
        <v>497</v>
      </c>
      <c r="Q4" s="10" t="s">
        <v>498</v>
      </c>
      <c r="R4" s="10" t="s">
        <v>499</v>
      </c>
      <c r="S4" s="10" t="s">
        <v>500</v>
      </c>
      <c r="T4" s="10" t="s">
        <v>501</v>
      </c>
      <c r="U4" s="10" t="s">
        <v>503</v>
      </c>
      <c r="V4" s="10" t="s">
        <v>504</v>
      </c>
      <c r="W4" s="10" t="s">
        <v>505</v>
      </c>
      <c r="X4" s="10" t="s">
        <v>506</v>
      </c>
      <c r="Y4" s="10" t="s">
        <v>507</v>
      </c>
      <c r="Z4" s="10" t="s">
        <v>508</v>
      </c>
      <c r="AA4" s="10" t="s">
        <v>509</v>
      </c>
      <c r="AB4" s="10" t="s">
        <v>501</v>
      </c>
      <c r="AC4" s="10" t="s">
        <v>511</v>
      </c>
      <c r="AD4" s="10" t="s">
        <v>501</v>
      </c>
      <c r="AE4" s="10" t="s">
        <v>513</v>
      </c>
      <c r="AF4" s="10" t="s">
        <v>514</v>
      </c>
      <c r="AG4" s="10" t="s">
        <v>501</v>
      </c>
      <c r="AH4" s="10" t="s">
        <v>516</v>
      </c>
      <c r="AI4" s="10" t="s">
        <v>517</v>
      </c>
      <c r="AJ4" s="10" t="s">
        <v>518</v>
      </c>
      <c r="AK4" s="10" t="s">
        <v>519</v>
      </c>
      <c r="AL4" s="10" t="s">
        <v>501</v>
      </c>
      <c r="AM4" s="94"/>
      <c r="AO4" s="21" t="s">
        <v>612</v>
      </c>
      <c r="AP4" s="97"/>
    </row>
    <row r="5" spans="1:42" ht="11.25" customHeight="1" x14ac:dyDescent="0.3">
      <c r="A5" s="90" t="s">
        <v>39</v>
      </c>
      <c r="B5" s="90" t="s">
        <v>470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472</v>
      </c>
      <c r="H5" s="18" t="s">
        <v>471</v>
      </c>
      <c r="I5" s="18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1.1719554238478829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1.1719554238478829</v>
      </c>
      <c r="AC5" s="13">
        <f>'TUSD BE'!$AC$5*'TUSD BE'!$AC$58</f>
        <v>-0.43341314489679172</v>
      </c>
      <c r="AD5" s="13">
        <f>SUM($AC$5:$AC$5)</f>
        <v>-0.43341314489679172</v>
      </c>
      <c r="AE5" s="13">
        <f ca="1">$AO$5*$AO$55</f>
        <v>-1.618096928431201</v>
      </c>
      <c r="AF5" s="13">
        <f ca="1">$AP$5*$AP$55</f>
        <v>0</v>
      </c>
      <c r="AG5" s="13">
        <f ca="1">SUM($AE$5:$AF$5)</f>
        <v>-1.618096928431201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-0.87955464948010986</v>
      </c>
      <c r="AO5" s="20">
        <f ca="1">+'TUSD BE'!$T$5+'TUSD BE'!$AB$5+'TUSD BE'!$AD$5+'TUSD BE'!$AL$5</f>
        <v>146.66461518760588</v>
      </c>
      <c r="AP5" s="20">
        <f ca="1">+'TUSD BE'!$T$5+'TUSD BE'!$AB$5+'TUSD BE'!$AD$5+'TUSD BE'!$AL$5</f>
        <v>146.66461518760588</v>
      </c>
    </row>
    <row r="6" spans="1:42" ht="11.25" customHeight="1" x14ac:dyDescent="0.3">
      <c r="A6" s="90"/>
      <c r="B6" s="90"/>
      <c r="C6" s="90"/>
      <c r="D6" s="90"/>
      <c r="E6" s="90"/>
      <c r="F6" s="90"/>
      <c r="G6" s="18" t="s">
        <v>473</v>
      </c>
      <c r="H6" s="18" t="s">
        <v>471</v>
      </c>
      <c r="I6" s="18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0.47368930541488602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0.47368930541488602</v>
      </c>
      <c r="AC6" s="13">
        <f>'TUSD BE'!$AC$6*'TUSD BE'!$AC$58</f>
        <v>-0.12111013957181713</v>
      </c>
      <c r="AD6" s="13">
        <f>SUM($AC$6:$AC$6)</f>
        <v>-0.12111013957181713</v>
      </c>
      <c r="AE6" s="13">
        <f ca="1">$AO$6*$AO$55</f>
        <v>-0.50978442892569942</v>
      </c>
      <c r="AF6" s="13">
        <f ca="1">$AP$6*$AP$55</f>
        <v>0</v>
      </c>
      <c r="AG6" s="13">
        <f ca="1">SUM($AE$6:$AF$6)</f>
        <v>-0.50978442892569942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-0.1572052630826305</v>
      </c>
      <c r="AO6" s="20">
        <f ca="1">+'TUSD BE'!$T$6+'TUSD BE'!$AB$6+'TUSD BE'!$AD$6+'TUSD BE'!$AL$6</f>
        <v>46.206958176177089</v>
      </c>
      <c r="AP6" s="20">
        <f ca="1">+'TUSD BE'!$T$6+'TUSD BE'!$AB$6+'TUSD BE'!$AD$6+'TUSD BE'!$AL$6</f>
        <v>46.206958176177089</v>
      </c>
    </row>
    <row r="7" spans="1:42" ht="11.25" customHeight="1" x14ac:dyDescent="0.3">
      <c r="A7" s="90"/>
      <c r="B7" s="90"/>
      <c r="C7" s="90"/>
      <c r="D7" s="90"/>
      <c r="E7" s="90"/>
      <c r="F7" s="90"/>
      <c r="G7" s="18" t="s">
        <v>474</v>
      </c>
      <c r="H7" s="18" t="s">
        <v>467</v>
      </c>
      <c r="I7" s="18">
        <f>'MERCADO TUSD'!$U$4</f>
        <v>0</v>
      </c>
      <c r="J7" s="15"/>
      <c r="L7" s="13">
        <f>'TUSD BE'!$L$7*'TUSD BE'!$L$58</f>
        <v>0</v>
      </c>
      <c r="M7" s="13">
        <f>'TUSD BE'!$M$7*'TUSD BE'!$M$58</f>
        <v>-4.6765709009661663E-2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-2.6111677043076607</v>
      </c>
      <c r="R7" s="13">
        <f>'TUSD BE'!$R$7*'TUSD BE'!$R$58</f>
        <v>-0.48204295509036404</v>
      </c>
      <c r="S7" s="13">
        <f>'TUSD BE'!$R$7*'TUSD BE'!$S$58</f>
        <v>0</v>
      </c>
      <c r="T7" s="13">
        <f ca="1">SUM($L$7:$S$7)</f>
        <v>-3.1399763684076865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-1.1039111191031383</v>
      </c>
      <c r="AF7" s="13">
        <f ca="1">$AP$7*$AP$55</f>
        <v>0</v>
      </c>
      <c r="AG7" s="13">
        <f ca="1">SUM($AE$7:$AF$7)</f>
        <v>-1.1039111191031383</v>
      </c>
      <c r="AH7" s="13">
        <f>'TUSD BE'!$AH$7*'TUSD BE'!$AH$58</f>
        <v>-4.3934243179614239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-4.3934243179614239</v>
      </c>
      <c r="AM7" s="13">
        <f ca="1">SUMIF($L$4:$AL$4,"SUBTOTAL",$L$7:$AL$7)</f>
        <v>-8.6373118054722475</v>
      </c>
      <c r="AO7" s="20">
        <f ca="1">+'TUSD BE'!$T$7+'TUSD BE'!$AB$7+'TUSD BE'!$AD$7+'TUSD BE'!$AL$7</f>
        <v>100.05871504963127</v>
      </c>
      <c r="AP7" s="20">
        <f ca="1">+'TUSD BE'!$T$7+'TUSD BE'!$AB$7+'TUSD BE'!$AD$7+'TUSD BE'!$AL$7</f>
        <v>100.05871504963127</v>
      </c>
    </row>
    <row r="8" spans="1:42" ht="11.25" customHeight="1" x14ac:dyDescent="0.3">
      <c r="A8" s="90"/>
      <c r="B8" s="90"/>
      <c r="C8" s="90"/>
      <c r="D8" s="90"/>
      <c r="E8" s="17" t="s">
        <v>475</v>
      </c>
      <c r="F8" s="17" t="s">
        <v>25</v>
      </c>
      <c r="G8" s="18" t="s">
        <v>474</v>
      </c>
      <c r="H8" s="18" t="s">
        <v>467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-4.6765709009661663E-2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-4.6765709009661663E-2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-9.3537026824313557E-2</v>
      </c>
      <c r="AF8" s="13">
        <f ca="1">$AP$8*$AP$55</f>
        <v>0</v>
      </c>
      <c r="AG8" s="13">
        <f ca="1">SUM($AE$8:$AF$8)</f>
        <v>-9.3537026824313557E-2</v>
      </c>
      <c r="AH8" s="13">
        <f>'TUSD BE'!$AH$8*'TUSD BE'!$AH$58</f>
        <v>-4.3934243179614239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-4.3934243179614239</v>
      </c>
      <c r="AM8" s="13">
        <f ca="1">SUMIF($L$4:$AL$4,"SUBTOTAL",$L$8:$AL$8)</f>
        <v>-4.5337270537953991</v>
      </c>
      <c r="AO8" s="20">
        <f ca="1">+'TUSD BE'!$T$8+'TUSD BE'!$AB$8+'TUSD BE'!$AD$8+'TUSD BE'!$AL$8</f>
        <v>8.4782140080330848</v>
      </c>
      <c r="AP8" s="20">
        <f ca="1">+'TUSD BE'!$T$8+'TUSD BE'!$AB$8+'TUSD BE'!$AD$8+'TUSD BE'!$AL$8</f>
        <v>8.4782140080330848</v>
      </c>
    </row>
    <row r="9" spans="1:42" ht="11.25" customHeight="1" x14ac:dyDescent="0.3">
      <c r="A9" s="90"/>
      <c r="B9" s="17" t="s">
        <v>476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471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-4.8227333375842673E-4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-4.8227333375842673E-4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-5.4790495610310373E-2</v>
      </c>
      <c r="AD9" s="13">
        <f>SUM($AC$9:$AC$9)</f>
        <v>-5.4790495610310373E-2</v>
      </c>
      <c r="AE9" s="13">
        <f ca="1">$AO$9*$AO$55</f>
        <v>-0.14627314900792909</v>
      </c>
      <c r="AF9" s="13">
        <f ca="1">$AP$9*$AP$55</f>
        <v>0</v>
      </c>
      <c r="AG9" s="13">
        <f ca="1">SUM($AE$9:$AF$9)</f>
        <v>-0.14627314900792909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-0.20154591795199789</v>
      </c>
      <c r="AO9" s="20">
        <f ca="1">+'TUSD BE'!$T$9+'TUSD BE'!$AB$9+'TUSD BE'!$AD$9+'TUSD BE'!$AL$9</f>
        <v>13.258226212892417</v>
      </c>
      <c r="AP9" s="20">
        <f ca="1">+'TUSD BE'!$T$9+'TUSD BE'!$AB$9+'TUSD BE'!$AD$9+'TUSD BE'!$AL$9</f>
        <v>13.258226212892417</v>
      </c>
    </row>
    <row r="10" spans="1:42" ht="11.25" customHeight="1" x14ac:dyDescent="0.3">
      <c r="A10" s="90"/>
      <c r="B10" s="90" t="s">
        <v>40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471</v>
      </c>
      <c r="I10" s="18">
        <f>'MERCADO TUSD'!$U$7</f>
        <v>63475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0.47368930541488602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0.47368930541488602</v>
      </c>
      <c r="AC10" s="13">
        <f>'TUSD BE'!$AC$10*'TUSD BE'!$AC$58</f>
        <v>-0.12111013957181713</v>
      </c>
      <c r="AD10" s="13">
        <f>SUM($AC$10:$AC$10)</f>
        <v>-0.12111013957181713</v>
      </c>
      <c r="AE10" s="13">
        <f ca="1">$AO$10*$AO$55</f>
        <v>-0.50978442892569942</v>
      </c>
      <c r="AF10" s="13">
        <f ca="1">$AP$10*$AP$55</f>
        <v>0</v>
      </c>
      <c r="AG10" s="13">
        <f ca="1">SUM($AE$10:$AF$10)</f>
        <v>-0.50978442892569942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-0.1572052630826305</v>
      </c>
      <c r="AO10" s="20">
        <f ca="1">+'TUSD BE'!$T$10+'TUSD BE'!$AB$10+'TUSD BE'!$AD$10+'TUSD BE'!$AL$10</f>
        <v>46.206958176177089</v>
      </c>
      <c r="AP10" s="20">
        <f ca="1">+'TUSD BE'!$T$10+'TUSD BE'!$AB$10+'TUSD BE'!$AD$10+'TUSD BE'!$AL$10</f>
        <v>46.206958176177089</v>
      </c>
    </row>
    <row r="11" spans="1:42" ht="11.25" customHeight="1" x14ac:dyDescent="0.3">
      <c r="A11" s="90"/>
      <c r="B11" s="90"/>
      <c r="C11" s="90"/>
      <c r="D11" s="90"/>
      <c r="E11" s="90"/>
      <c r="F11" s="90"/>
      <c r="G11" s="18" t="s">
        <v>468</v>
      </c>
      <c r="H11" s="18" t="s">
        <v>467</v>
      </c>
      <c r="I11" s="18">
        <f>'MERCADO TUSD'!$U$8</f>
        <v>409.63599999999997</v>
      </c>
      <c r="J11" s="15"/>
      <c r="L11" s="13">
        <f>'TUSD BE'!$L$11*'TUSD BE'!$L$58</f>
        <v>0</v>
      </c>
      <c r="M11" s="13">
        <f>'TUSD BE'!$M$11*'TUSD BE'!$M$58</f>
        <v>-4.6765709009661663E-2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-2.6111677043076607</v>
      </c>
      <c r="R11" s="13">
        <f>'TUSD BE'!$R$11*'TUSD BE'!$R$58</f>
        <v>-0.48204295509036404</v>
      </c>
      <c r="S11" s="13">
        <f>'TUSD BE'!$R$11*'TUSD BE'!$S$58</f>
        <v>0</v>
      </c>
      <c r="T11" s="13">
        <f ca="1">SUM($L$11:$S$11)</f>
        <v>-3.1399763684076865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28.196764057040301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28.196764057040301</v>
      </c>
      <c r="AC11" s="13">
        <f>'TUSD BE'!$AC$11*'TUSD BE'!$AC$58</f>
        <v>-10.423586597006169</v>
      </c>
      <c r="AD11" s="13">
        <f>SUM($AC$11:$AC$11)</f>
        <v>-10.423586597006169</v>
      </c>
      <c r="AE11" s="13">
        <f ca="1">$AO$11*$AO$55</f>
        <v>-40.023572732792296</v>
      </c>
      <c r="AF11" s="13">
        <f ca="1">$AP$11*$AP$55</f>
        <v>0</v>
      </c>
      <c r="AG11" s="13">
        <f ca="1">SUM($AE$11:$AF$11)</f>
        <v>-40.023572732792296</v>
      </c>
      <c r="AH11" s="13">
        <f>'TUSD BE'!$AH$11*'TUSD BE'!$AH$58</f>
        <v>-4.3934243179614239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-4.3934243179614239</v>
      </c>
      <c r="AM11" s="13">
        <f ca="1">SUMIF($L$4:$AL$4,"SUBTOTAL",$L$11:$AL$11)</f>
        <v>-29.783795959127275</v>
      </c>
      <c r="AO11" s="20">
        <f ca="1">+'TUSD BE'!$T$11+'TUSD BE'!$AB$11+'TUSD BE'!$AD$11+'TUSD BE'!$AL$11</f>
        <v>3627.7442903122865</v>
      </c>
      <c r="AP11" s="20">
        <f ca="1">+'TUSD BE'!$T$11+'TUSD BE'!$AB$11+'TUSD BE'!$AD$11+'TUSD BE'!$AL$11</f>
        <v>3627.7442903122865</v>
      </c>
    </row>
    <row r="12" spans="1:42" ht="11.25" customHeight="1" x14ac:dyDescent="0.3">
      <c r="A12" s="90"/>
      <c r="B12" s="90"/>
      <c r="C12" s="90"/>
      <c r="D12" s="90"/>
      <c r="E12" s="90"/>
      <c r="F12" s="90"/>
      <c r="G12" s="18" t="s">
        <v>469</v>
      </c>
      <c r="H12" s="18" t="s">
        <v>467</v>
      </c>
      <c r="I12" s="18">
        <f>'MERCADO TUSD'!$U$9</f>
        <v>11292.635999999999</v>
      </c>
      <c r="J12" s="15"/>
      <c r="L12" s="13">
        <f>'TUSD BE'!$L$12*'TUSD BE'!$L$58</f>
        <v>0</v>
      </c>
      <c r="M12" s="13">
        <f>'TUSD BE'!$M$12*'TUSD BE'!$M$58</f>
        <v>-4.6765709009661663E-2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-2.6111677043076607</v>
      </c>
      <c r="R12" s="13">
        <f>'TUSD BE'!$R$12*'TUSD BE'!$R$58</f>
        <v>-0.48204295509036404</v>
      </c>
      <c r="S12" s="13">
        <f>'TUSD BE'!$R$12*'TUSD BE'!$S$58</f>
        <v>0</v>
      </c>
      <c r="T12" s="13">
        <f ca="1">SUM($L$12:$S$12)</f>
        <v>-3.1399763684076865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-1.1039111191031383</v>
      </c>
      <c r="AF12" s="13">
        <f ca="1">$AP$12*$AP$55</f>
        <v>0</v>
      </c>
      <c r="AG12" s="13">
        <f ca="1">SUM($AE$12:$AF$12)</f>
        <v>-1.1039111191031383</v>
      </c>
      <c r="AH12" s="13">
        <f>'TUSD BE'!$AH$12*'TUSD BE'!$AH$58</f>
        <v>-4.3934243179614239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-4.3934243179614239</v>
      </c>
      <c r="AM12" s="13">
        <f ca="1">SUMIF($L$4:$AL$4,"SUBTOTAL",$L$12:$AL$12)</f>
        <v>-8.6373118054722475</v>
      </c>
      <c r="AO12" s="20">
        <f ca="1">+'TUSD BE'!$T$12+'TUSD BE'!$AB$12+'TUSD BE'!$AD$12+'TUSD BE'!$AL$12</f>
        <v>100.05871504963127</v>
      </c>
      <c r="AP12" s="20">
        <f ca="1">+'TUSD BE'!$T$12+'TUSD BE'!$AB$12+'TUSD BE'!$AD$12+'TUSD BE'!$AL$12</f>
        <v>100.05871504963127</v>
      </c>
    </row>
    <row r="13" spans="1:42" ht="11.25" customHeight="1" x14ac:dyDescent="0.3">
      <c r="A13" s="90"/>
      <c r="B13" s="90"/>
      <c r="C13" s="90"/>
      <c r="D13" s="90"/>
      <c r="E13" s="90" t="s">
        <v>475</v>
      </c>
      <c r="F13" s="90" t="s">
        <v>25</v>
      </c>
      <c r="G13" s="18" t="s">
        <v>468</v>
      </c>
      <c r="H13" s="18" t="s">
        <v>467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-4.6765709009661663E-2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-4.6765709009661663E-2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28.196764057040301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28.196764057040301</v>
      </c>
      <c r="AC13" s="13">
        <f>'TUSD BE'!$AC$13*'TUSD BE'!$AC$58</f>
        <v>-10.423586597006169</v>
      </c>
      <c r="AD13" s="13">
        <f>SUM($AC$13:$AC$13)</f>
        <v>-10.423586597006169</v>
      </c>
      <c r="AE13" s="13">
        <f ca="1">$AO$13*$AO$55</f>
        <v>-39.013198640513473</v>
      </c>
      <c r="AF13" s="13">
        <f ca="1">$AP$13*$AP$55</f>
        <v>0</v>
      </c>
      <c r="AG13" s="13">
        <f ca="1">SUM($AE$13:$AF$13)</f>
        <v>-39.013198640513473</v>
      </c>
      <c r="AH13" s="13">
        <f>'TUSD BE'!$AH$13*'TUSD BE'!$AH$58</f>
        <v>-4.3934243179614239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-4.3934243179614239</v>
      </c>
      <c r="AM13" s="13">
        <f ca="1">SUMIF($L$4:$AL$4,"SUBTOTAL",$L$13:$AL$13)</f>
        <v>-25.680211207450427</v>
      </c>
      <c r="AO13" s="20">
        <f ca="1">+'TUSD BE'!$T$13+'TUSD BE'!$AB$13+'TUSD BE'!$AD$13+'TUSD BE'!$AL$13</f>
        <v>3536.1637892706881</v>
      </c>
      <c r="AP13" s="20">
        <f ca="1">+'TUSD BE'!$T$13+'TUSD BE'!$AB$13+'TUSD BE'!$AD$13+'TUSD BE'!$AL$13</f>
        <v>3536.1637892706881</v>
      </c>
    </row>
    <row r="14" spans="1:42" ht="11.25" customHeight="1" x14ac:dyDescent="0.3">
      <c r="A14" s="90"/>
      <c r="B14" s="90"/>
      <c r="C14" s="90"/>
      <c r="D14" s="90"/>
      <c r="E14" s="90"/>
      <c r="F14" s="90"/>
      <c r="G14" s="18" t="s">
        <v>469</v>
      </c>
      <c r="H14" s="18" t="s">
        <v>467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-4.6765709009661663E-2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-4.6765709009661663E-2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-9.3537026824313557E-2</v>
      </c>
      <c r="AF14" s="13">
        <f ca="1">$AP$14*$AP$55</f>
        <v>0</v>
      </c>
      <c r="AG14" s="13">
        <f ca="1">SUM($AE$14:$AF$14)</f>
        <v>-9.3537026824313557E-2</v>
      </c>
      <c r="AH14" s="13">
        <f>'TUSD BE'!$AH$14*'TUSD BE'!$AH$58</f>
        <v>-4.3934243179614239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-4.3934243179614239</v>
      </c>
      <c r="AM14" s="13">
        <f ca="1">SUMIF($L$4:$AL$4,"SUBTOTAL",$L$14:$AL$14)</f>
        <v>-4.5337270537953991</v>
      </c>
      <c r="AO14" s="20">
        <f ca="1">+'TUSD BE'!$T$14+'TUSD BE'!$AB$14+'TUSD BE'!$AD$14+'TUSD BE'!$AL$14</f>
        <v>8.4782140080330848</v>
      </c>
      <c r="AP14" s="20">
        <f ca="1">+'TUSD BE'!$T$14+'TUSD BE'!$AB$14+'TUSD BE'!$AD$14+'TUSD BE'!$AL$14</f>
        <v>8.4782140080330848</v>
      </c>
    </row>
    <row r="15" spans="1:42" ht="11.25" customHeight="1" x14ac:dyDescent="0.3">
      <c r="A15" s="90" t="s">
        <v>477</v>
      </c>
      <c r="B15" s="90" t="s">
        <v>476</v>
      </c>
      <c r="C15" s="90" t="s">
        <v>25</v>
      </c>
      <c r="D15" s="90" t="s">
        <v>25</v>
      </c>
      <c r="E15" s="17" t="s">
        <v>478</v>
      </c>
      <c r="F15" s="17" t="s">
        <v>25</v>
      </c>
      <c r="G15" s="18" t="s">
        <v>9</v>
      </c>
      <c r="H15" s="18" t="s">
        <v>471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-4.9579501601333589E-4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-4.9579501601333589E-4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-5.6515569046549037E-2</v>
      </c>
      <c r="AD15" s="13">
        <f>SUM($AC$15:$AC$15)</f>
        <v>-5.6515569046549037E-2</v>
      </c>
      <c r="AE15" s="13">
        <f ca="1">$AO$15*$AO$55</f>
        <v>-0.15087812640270049</v>
      </c>
      <c r="AF15" s="13">
        <f ca="1">$AP$15*$AP$55</f>
        <v>0</v>
      </c>
      <c r="AG15" s="13">
        <f ca="1">SUM($AE$15:$AF$15)</f>
        <v>-0.15087812640270049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-0.20788949046526287</v>
      </c>
      <c r="AO15" s="20">
        <f ca="1">+'TUSD BE'!$T$15+'TUSD BE'!$AB$15+'TUSD BE'!$AD$15+'TUSD BE'!$AL$15</f>
        <v>13.675622245036536</v>
      </c>
      <c r="AP15" s="20">
        <f ca="1">+'TUSD BE'!$T$15+'TUSD BE'!$AB$15+'TUSD BE'!$AD$15+'TUSD BE'!$AL$15</f>
        <v>13.675622245036536</v>
      </c>
    </row>
    <row r="16" spans="1:42" ht="11.25" customHeight="1" x14ac:dyDescent="0.3">
      <c r="A16" s="90"/>
      <c r="B16" s="90"/>
      <c r="C16" s="90"/>
      <c r="D16" s="90"/>
      <c r="E16" s="17" t="s">
        <v>479</v>
      </c>
      <c r="F16" s="17" t="s">
        <v>25</v>
      </c>
      <c r="G16" s="18" t="s">
        <v>9</v>
      </c>
      <c r="H16" s="18" t="s">
        <v>471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-4.9579501601333589E-4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-4.9579501601333589E-4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-0.11498363278620422</v>
      </c>
      <c r="AD16" s="13">
        <f>SUM($AC$16:$AC$16)</f>
        <v>-0.11498363278620422</v>
      </c>
      <c r="AE16" s="13">
        <f ca="1">$AO$16*$AO$55</f>
        <v>-0.3068396686312389</v>
      </c>
      <c r="AF16" s="13">
        <f ca="1">$AP$16*$AP$55</f>
        <v>0</v>
      </c>
      <c r="AG16" s="13">
        <f ca="1">SUM($AE$16:$AF$16)</f>
        <v>-0.3068396686312389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-0.42231909643345644</v>
      </c>
      <c r="AO16" s="20">
        <f ca="1">+'TUSD BE'!$T$16+'TUSD BE'!$AB$16+'TUSD BE'!$AD$16+'TUSD BE'!$AL$16</f>
        <v>27.812006273149905</v>
      </c>
      <c r="AP16" s="20">
        <f ca="1">+'TUSD BE'!$T$16+'TUSD BE'!$AB$16+'TUSD BE'!$AD$16+'TUSD BE'!$AL$16</f>
        <v>27.812006273149905</v>
      </c>
    </row>
    <row r="17" spans="1:42" ht="11.25" customHeight="1" x14ac:dyDescent="0.3">
      <c r="A17" s="90" t="s">
        <v>22</v>
      </c>
      <c r="B17" s="90" t="s">
        <v>33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468</v>
      </c>
      <c r="H17" s="18" t="s">
        <v>467</v>
      </c>
      <c r="I17" s="18">
        <f>'MERCADO TUSD'!$U$14</f>
        <v>0.495</v>
      </c>
      <c r="J17" s="15"/>
      <c r="L17" s="13">
        <f>'TUSD BE'!$L$17*'TUSD BE'!$L$58</f>
        <v>0</v>
      </c>
      <c r="M17" s="13">
        <f>'TUSD BE'!$M$17*'TUSD BE'!$M$58</f>
        <v>-8.2473988921045335E-2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-3.108532981318644</v>
      </c>
      <c r="R17" s="13">
        <f>'TUSD BE'!$R$17*'TUSD BE'!$R$58</f>
        <v>-0.48204295509036404</v>
      </c>
      <c r="S17" s="13">
        <f>'TUSD BE'!$R$17*'TUSD BE'!$S$58</f>
        <v>0</v>
      </c>
      <c r="T17" s="13">
        <f ca="1">SUM($L$17:$S$17)</f>
        <v>-3.6730499253300533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10.323024910751959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10.323024910751959</v>
      </c>
      <c r="AC17" s="13">
        <f>'TUSD BE'!$AC$17*'TUSD BE'!$AC$58</f>
        <v>-4.870203103900681</v>
      </c>
      <c r="AD17" s="13">
        <f>SUM($AC$17:$AC$17)</f>
        <v>-4.870203103900681</v>
      </c>
      <c r="AE17" s="13">
        <f ca="1">$AO$17*$AO$55</f>
        <v>-18.465308039426798</v>
      </c>
      <c r="AF17" s="13">
        <f ca="1">$AP$17*$AP$55</f>
        <v>0</v>
      </c>
      <c r="AG17" s="13">
        <f ca="1">SUM($AE$17:$AF$17)</f>
        <v>-18.465308039426798</v>
      </c>
      <c r="AH17" s="13">
        <f>'TUSD BE'!$AH$17*'TUSD BE'!$AH$58</f>
        <v>-11.379269784586951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-11.379269784586951</v>
      </c>
      <c r="AM17" s="13">
        <f ca="1">SUMIF($L$4:$AL$4,"SUBTOTAL",$L$17:$AL$17)</f>
        <v>-28.064805942492526</v>
      </c>
      <c r="AO17" s="20">
        <f ca="1">+'TUSD BE'!$T$17+'TUSD BE'!$AB$17+'TUSD BE'!$AD$17+'TUSD BE'!$AL$17</f>
        <v>1673.6990537080087</v>
      </c>
      <c r="AP17" s="20">
        <f ca="1">+'TUSD BE'!$T$17+'TUSD BE'!$AB$17+'TUSD BE'!$AD$17+'TUSD BE'!$AL$17</f>
        <v>1673.6990537080087</v>
      </c>
    </row>
    <row r="18" spans="1:42" ht="11.25" customHeight="1" x14ac:dyDescent="0.3">
      <c r="A18" s="90"/>
      <c r="B18" s="90"/>
      <c r="C18" s="90"/>
      <c r="D18" s="90"/>
      <c r="E18" s="90"/>
      <c r="F18" s="90"/>
      <c r="G18" s="18" t="s">
        <v>480</v>
      </c>
      <c r="H18" s="18" t="s">
        <v>467</v>
      </c>
      <c r="I18" s="18">
        <f>'MERCADO TUSD'!$U$15</f>
        <v>0.24800000000000003</v>
      </c>
      <c r="J18" s="15"/>
      <c r="L18" s="13">
        <f>'TUSD BE'!$L$18*'TUSD BE'!$L$58</f>
        <v>0</v>
      </c>
      <c r="M18" s="13">
        <f>'TUSD BE'!$M$18*'TUSD BE'!$M$58</f>
        <v>-8.2473988921045335E-2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-3.108532981318644</v>
      </c>
      <c r="R18" s="13">
        <f>'TUSD BE'!$R$18*'TUSD BE'!$R$58</f>
        <v>-0.48204295509036404</v>
      </c>
      <c r="S18" s="13">
        <f>'TUSD BE'!$R$18*'TUSD BE'!$S$58</f>
        <v>0</v>
      </c>
      <c r="T18" s="13">
        <f ca="1">SUM($L$18:$S$18)</f>
        <v>-3.6730499253300533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6.1938161101068259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6.1938161101068259</v>
      </c>
      <c r="AC18" s="13">
        <f>'TUSD BE'!$AC$18*'TUSD BE'!$AC$58</f>
        <v>-2.9221237112937164</v>
      </c>
      <c r="AD18" s="13">
        <f>SUM($AC$18:$AC$18)</f>
        <v>-2.9221237112937164</v>
      </c>
      <c r="AE18" s="13">
        <f ca="1">$AO$18*$AO$55</f>
        <v>-11.641148210652366</v>
      </c>
      <c r="AF18" s="13">
        <f ca="1">$AP$18*$AP$55</f>
        <v>0</v>
      </c>
      <c r="AG18" s="13">
        <f ca="1">SUM($AE$18:$AF$18)</f>
        <v>-11.641148210652366</v>
      </c>
      <c r="AH18" s="13">
        <f>'TUSD BE'!$AH$18*'TUSD BE'!$AH$58</f>
        <v>-11.379269784586951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-11.379269784586951</v>
      </c>
      <c r="AM18" s="13">
        <f ca="1">SUMIF($L$4:$AL$4,"SUBTOTAL",$L$18:$AL$18)</f>
        <v>-23.42177552175626</v>
      </c>
      <c r="AO18" s="20">
        <f ca="1">+'TUSD BE'!$T$18+'TUSD BE'!$AB$18+'TUSD BE'!$AD$18+'TUSD BE'!$AL$18</f>
        <v>1055.1559011440331</v>
      </c>
      <c r="AP18" s="20">
        <f ca="1">+'TUSD BE'!$T$18+'TUSD BE'!$AB$18+'TUSD BE'!$AD$18+'TUSD BE'!$AL$18</f>
        <v>1055.1559011440331</v>
      </c>
    </row>
    <row r="19" spans="1:42" ht="11.25" customHeight="1" x14ac:dyDescent="0.3">
      <c r="A19" s="90"/>
      <c r="B19" s="90"/>
      <c r="C19" s="90"/>
      <c r="D19" s="90"/>
      <c r="E19" s="90"/>
      <c r="F19" s="90"/>
      <c r="G19" s="18" t="s">
        <v>469</v>
      </c>
      <c r="H19" s="18" t="s">
        <v>467</v>
      </c>
      <c r="I19" s="18">
        <f>'MERCADO TUSD'!$U$16</f>
        <v>6.5449999999999999</v>
      </c>
      <c r="J19" s="15"/>
      <c r="L19" s="13">
        <f>'TUSD BE'!$L$19*'TUSD BE'!$L$58</f>
        <v>0</v>
      </c>
      <c r="M19" s="13">
        <f>'TUSD BE'!$M$19*'TUSD BE'!$M$58</f>
        <v>-8.2473988921045335E-2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-3.108532981318644</v>
      </c>
      <c r="R19" s="13">
        <f>'TUSD BE'!$R$19*'TUSD BE'!$R$58</f>
        <v>-0.48204295509036404</v>
      </c>
      <c r="S19" s="13">
        <f>'TUSD BE'!$R$19*'TUSD BE'!$S$58</f>
        <v>0</v>
      </c>
      <c r="T19" s="13">
        <f ca="1">SUM($L$19:$S$19)</f>
        <v>-3.6730499253300533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2.0664924316145701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2.0664924316145701</v>
      </c>
      <c r="AC19" s="13">
        <f>'TUSD BE'!$AC$19*'TUSD BE'!$AC$58</f>
        <v>-0.97404015854180914</v>
      </c>
      <c r="AD19" s="13">
        <f>SUM($AC$19:$AC$19)</f>
        <v>-0.97404015854180914</v>
      </c>
      <c r="AE19" s="13">
        <f ca="1">$AO$19*$AO$55</f>
        <v>-4.8177203959564032</v>
      </c>
      <c r="AF19" s="13">
        <f ca="1">$AP$19*$AP$55</f>
        <v>0</v>
      </c>
      <c r="AG19" s="13">
        <f ca="1">SUM($AE$19:$AF$19)</f>
        <v>-4.8177203959564032</v>
      </c>
      <c r="AH19" s="13">
        <f>'TUSD BE'!$AH$19*'TUSD BE'!$AH$58</f>
        <v>-11.379269784586951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-11.379269784586951</v>
      </c>
      <c r="AM19" s="13">
        <f ca="1">SUMIF($L$4:$AL$4,"SUBTOTAL",$L$19:$AL$19)</f>
        <v>-18.777587832800648</v>
      </c>
      <c r="AO19" s="20">
        <f ca="1">+'TUSD BE'!$T$19+'TUSD BE'!$AB$19+'TUSD BE'!$AD$19+'TUSD BE'!$AL$19</f>
        <v>436.67909847618824</v>
      </c>
      <c r="AP19" s="20">
        <f ca="1">+'TUSD BE'!$T$19+'TUSD BE'!$AB$19+'TUSD BE'!$AD$19+'TUSD BE'!$AL$19</f>
        <v>436.67909847618824</v>
      </c>
    </row>
    <row r="20" spans="1:42" ht="11.25" customHeight="1" x14ac:dyDescent="0.3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474</v>
      </c>
      <c r="H20" s="18" t="s">
        <v>467</v>
      </c>
      <c r="I20" s="18">
        <f>'MERCADO TUSD'!$U$17</f>
        <v>29737.986000000001</v>
      </c>
      <c r="J20" s="15"/>
      <c r="L20" s="13">
        <f>'TUSD BE'!$L$20*'TUSD BE'!$L$58</f>
        <v>0</v>
      </c>
      <c r="M20" s="13">
        <f>'TUSD BE'!$M$20*'TUSD BE'!$M$58</f>
        <v>-8.2473988921045335E-2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-3.108532981318644</v>
      </c>
      <c r="R20" s="13">
        <f>'TUSD BE'!$R$20*'TUSD BE'!$R$58</f>
        <v>-0.48204295509036404</v>
      </c>
      <c r="S20" s="13">
        <f>'TUSD BE'!$R$20*'TUSD BE'!$S$58</f>
        <v>0</v>
      </c>
      <c r="T20" s="13">
        <f ca="1">SUM($L$20:$S$20)</f>
        <v>-3.6730499253300533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3.821596429587514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3.821596429587514</v>
      </c>
      <c r="AC20" s="13">
        <f>'TUSD BE'!$AC$20*'TUSD BE'!$AC$58</f>
        <v>-1.8037796806478958</v>
      </c>
      <c r="AD20" s="13">
        <f>SUM($AC$20:$AC$20)</f>
        <v>-1.8037796806478958</v>
      </c>
      <c r="AE20" s="13">
        <f ca="1">$AO$20*$AO$55</f>
        <v>-7.7228801788559664</v>
      </c>
      <c r="AF20" s="13">
        <f ca="1">$AP$20*$AP$55</f>
        <v>0</v>
      </c>
      <c r="AG20" s="13">
        <f ca="1">SUM($AE$20:$AF$20)</f>
        <v>-7.7228801788559664</v>
      </c>
      <c r="AH20" s="13">
        <f>'TUSD BE'!$AH$20*'TUSD BE'!$AH$58</f>
        <v>-11.379269784586951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-11.379269784586951</v>
      </c>
      <c r="AM20" s="13">
        <f ca="1">SUMIF($L$4:$AL$4,"SUBTOTAL",$L$20:$AL$20)</f>
        <v>-20.757383139833351</v>
      </c>
      <c r="AO20" s="20">
        <f ca="1">+'TUSD BE'!$T$20+'TUSD BE'!$AB$20+'TUSD BE'!$AD$20+'TUSD BE'!$AL$20</f>
        <v>700.00333704981676</v>
      </c>
      <c r="AP20" s="20">
        <f ca="1">+'TUSD BE'!$T$20+'TUSD BE'!$AB$20+'TUSD BE'!$AD$20+'TUSD BE'!$AL$20</f>
        <v>700.00333704981676</v>
      </c>
    </row>
    <row r="21" spans="1:42" ht="11.25" customHeight="1" x14ac:dyDescent="0.3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474</v>
      </c>
      <c r="H21" s="18" t="s">
        <v>467</v>
      </c>
      <c r="I21" s="18">
        <f>'MERCADO TUSD'!$U$18</f>
        <v>83.323000000000008</v>
      </c>
      <c r="J21" s="15"/>
      <c r="L21" s="13">
        <f>'TUSD BE'!$L$21*'TUSD BE'!$L$58</f>
        <v>0</v>
      </c>
      <c r="M21" s="13">
        <f>'TUSD BE'!$M$21*'TUSD BE'!$M$58</f>
        <v>-8.2473988921045335E-2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-8.2473988921045335E-2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3.821596429587514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3.821596429587514</v>
      </c>
      <c r="AC21" s="13">
        <f>'TUSD BE'!$AC$21*'TUSD BE'!$AC$58</f>
        <v>-1.8037796806478958</v>
      </c>
      <c r="AD21" s="13">
        <f>SUM($AC$21:$AC$21)</f>
        <v>-1.8037796806478958</v>
      </c>
      <c r="AE21" s="13">
        <f ca="1">$AO$21*$AO$55</f>
        <v>-6.5505233102572298</v>
      </c>
      <c r="AF21" s="13">
        <f ca="1">$AP$21*$AP$55</f>
        <v>0</v>
      </c>
      <c r="AG21" s="13">
        <f ca="1">SUM($AE$21:$AF$21)</f>
        <v>-6.5505233102572298</v>
      </c>
      <c r="AH21" s="13">
        <f>'TUSD BE'!$AH$21*'TUSD BE'!$AH$58</f>
        <v>-11.379269784586951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-11.379269784586951</v>
      </c>
      <c r="AM21" s="13">
        <f ca="1">SUMIF($L$4:$AL$4,"SUBTOTAL",$L$21:$AL$21)</f>
        <v>-15.994450334825608</v>
      </c>
      <c r="AO21" s="20">
        <f ca="1">+'TUSD BE'!$T$21+'TUSD BE'!$AB$21+'TUSD BE'!$AD$21+'TUSD BE'!$AL$21</f>
        <v>593.74068617000501</v>
      </c>
      <c r="AP21" s="20">
        <f ca="1">+'TUSD BE'!$T$21+'TUSD BE'!$AB$21+'TUSD BE'!$AD$21+'TUSD BE'!$AL$21</f>
        <v>593.74068617000501</v>
      </c>
    </row>
    <row r="22" spans="1:42" ht="11.25" customHeight="1" x14ac:dyDescent="0.3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474</v>
      </c>
      <c r="H22" s="18" t="s">
        <v>467</v>
      </c>
      <c r="I22" s="18">
        <f>'MERCADO TUSD'!$U$19</f>
        <v>175.95599999999999</v>
      </c>
      <c r="J22" s="15"/>
      <c r="L22" s="13">
        <f>'TUSD BE'!$L$22*'TUSD BE'!$L$58</f>
        <v>0</v>
      </c>
      <c r="M22" s="13">
        <f>'TUSD BE'!$M$22*'TUSD BE'!$M$58</f>
        <v>-8.2473988921045335E-2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-8.2473988921045335E-2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3.821596429587514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3.821596429587514</v>
      </c>
      <c r="AC22" s="13">
        <f>'TUSD BE'!$AC$22*'TUSD BE'!$AC$58</f>
        <v>-1.8037796806478958</v>
      </c>
      <c r="AD22" s="13">
        <f>SUM($AC$22:$AC$22)</f>
        <v>-1.8037796806478958</v>
      </c>
      <c r="AE22" s="13">
        <f ca="1">$AO$22*$AO$55</f>
        <v>-6.5505233102572298</v>
      </c>
      <c r="AF22" s="13">
        <f ca="1">$AP$22*$AP$55</f>
        <v>0</v>
      </c>
      <c r="AG22" s="13">
        <f ca="1">SUM($AE$22:$AF$22)</f>
        <v>-6.5505233102572298</v>
      </c>
      <c r="AH22" s="13">
        <f>'TUSD BE'!$AH$22*'TUSD BE'!$AH$58</f>
        <v>-11.379269784586951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-11.379269784586951</v>
      </c>
      <c r="AM22" s="13">
        <f ca="1">SUMIF($L$4:$AL$4,"SUBTOTAL",$L$22:$AL$22)</f>
        <v>-15.994450334825608</v>
      </c>
      <c r="AO22" s="20">
        <f ca="1">+'TUSD BE'!$T$22+'TUSD BE'!$AB$22+'TUSD BE'!$AD$22+'TUSD BE'!$AL$22</f>
        <v>593.74068617000501</v>
      </c>
      <c r="AP22" s="20">
        <f ca="1">+'TUSD BE'!$T$22+'TUSD BE'!$AB$22+'TUSD BE'!$AD$22+'TUSD BE'!$AL$22</f>
        <v>593.74068617000501</v>
      </c>
    </row>
    <row r="23" spans="1:42" ht="11.25" customHeight="1" x14ac:dyDescent="0.3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474</v>
      </c>
      <c r="H23" s="18" t="s">
        <v>467</v>
      </c>
      <c r="I23" s="18">
        <f>'MERCADO TUSD'!$U$20</f>
        <v>193.03699999999998</v>
      </c>
      <c r="J23" s="15"/>
      <c r="L23" s="13">
        <f>'TUSD BE'!$L$23*'TUSD BE'!$L$58</f>
        <v>0</v>
      </c>
      <c r="M23" s="13">
        <f>'TUSD BE'!$M$23*'TUSD BE'!$M$58</f>
        <v>-8.2473988921045335E-2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-8.2473988921045335E-2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3.821596429587514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3.821596429587514</v>
      </c>
      <c r="AC23" s="13">
        <f>'TUSD BE'!$AC$23*'TUSD BE'!$AC$58</f>
        <v>-1.8037796806478958</v>
      </c>
      <c r="AD23" s="13">
        <f>SUM($AC$23:$AC$23)</f>
        <v>-1.8037796806478958</v>
      </c>
      <c r="AE23" s="13">
        <f ca="1">$AO$23*$AO$55</f>
        <v>-6.5505233102572298</v>
      </c>
      <c r="AF23" s="13">
        <f ca="1">$AP$23*$AP$55</f>
        <v>0</v>
      </c>
      <c r="AG23" s="13">
        <f ca="1">SUM($AE$23:$AF$23)</f>
        <v>-6.5505233102572298</v>
      </c>
      <c r="AH23" s="13">
        <f>'TUSD BE'!$AH$23*'TUSD BE'!$AH$58</f>
        <v>-11.379269784586951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-11.379269784586951</v>
      </c>
      <c r="AM23" s="13">
        <f ca="1">SUMIF($L$4:$AL$4,"SUBTOTAL",$L$23:$AL$23)</f>
        <v>-15.994450334825608</v>
      </c>
      <c r="AO23" s="20">
        <f ca="1">+'TUSD BE'!$T$23+'TUSD BE'!$AB$23+'TUSD BE'!$AD$23+'TUSD BE'!$AL$23</f>
        <v>593.74068617000501</v>
      </c>
      <c r="AP23" s="20">
        <f ca="1">+'TUSD BE'!$T$23+'TUSD BE'!$AB$23+'TUSD BE'!$AD$23+'TUSD BE'!$AL$23</f>
        <v>593.74068617000501</v>
      </c>
    </row>
    <row r="24" spans="1:42" ht="11.25" customHeight="1" x14ac:dyDescent="0.3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474</v>
      </c>
      <c r="H24" s="18" t="s">
        <v>467</v>
      </c>
      <c r="I24" s="18">
        <f>'MERCADO TUSD'!$U$21</f>
        <v>98.578999999999994</v>
      </c>
      <c r="J24" s="15"/>
      <c r="L24" s="13">
        <f>'TUSD BE'!$L$24*'TUSD BE'!$L$58</f>
        <v>0</v>
      </c>
      <c r="M24" s="13">
        <f>'TUSD BE'!$M$24*'TUSD BE'!$M$58</f>
        <v>-8.2473988921045335E-2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-8.2473988921045335E-2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3.821596429587514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3.821596429587514</v>
      </c>
      <c r="AC24" s="13">
        <f>'TUSD BE'!$AC$24*'TUSD BE'!$AC$58</f>
        <v>-1.8037796806478958</v>
      </c>
      <c r="AD24" s="13">
        <f>SUM($AC$24:$AC$24)</f>
        <v>-1.8037796806478958</v>
      </c>
      <c r="AE24" s="13">
        <f ca="1">$AO$24*$AO$55</f>
        <v>-6.5505233102572298</v>
      </c>
      <c r="AF24" s="13">
        <f ca="1">$AP$24*$AP$55</f>
        <v>0</v>
      </c>
      <c r="AG24" s="13">
        <f ca="1">SUM($AE$24:$AF$24)</f>
        <v>-6.5505233102572298</v>
      </c>
      <c r="AH24" s="13">
        <f>'TUSD BE'!$AH$24*'TUSD BE'!$AH$58</f>
        <v>-11.379269784586951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-11.379269784586951</v>
      </c>
      <c r="AM24" s="13">
        <f ca="1">SUMIF($L$4:$AL$4,"SUBTOTAL",$L$24:$AL$24)</f>
        <v>-15.994450334825608</v>
      </c>
      <c r="AO24" s="20">
        <f ca="1">+'TUSD BE'!$T$24+'TUSD BE'!$AB$24+'TUSD BE'!$AD$24+'TUSD BE'!$AL$24</f>
        <v>593.74068617000501</v>
      </c>
      <c r="AP24" s="20">
        <f ca="1">+'TUSD BE'!$T$24+'TUSD BE'!$AB$24+'TUSD BE'!$AD$24+'TUSD BE'!$AL$24</f>
        <v>593.74068617000501</v>
      </c>
    </row>
    <row r="25" spans="1:42" ht="11.25" customHeight="1" x14ac:dyDescent="0.3">
      <c r="A25" s="90"/>
      <c r="B25" s="90" t="s">
        <v>483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474</v>
      </c>
      <c r="H25" s="18" t="s">
        <v>467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-8.2473988921045335E-2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-3.108532981318644</v>
      </c>
      <c r="R25" s="13">
        <f>'TUSD BE'!$R$25*'TUSD BE'!$R$58</f>
        <v>-0.48204295509036404</v>
      </c>
      <c r="S25" s="13">
        <f>'TUSD BE'!$R$25*'TUSD BE'!$S$58</f>
        <v>0</v>
      </c>
      <c r="T25" s="13">
        <f ca="1">SUM($L$25:$S$25)</f>
        <v>-3.6730499253300533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3.821596429587514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3.821596429587514</v>
      </c>
      <c r="AC25" s="13">
        <f>'TUSD BE'!$AC$25*'TUSD BE'!$AC$58</f>
        <v>-1.8037796806478958</v>
      </c>
      <c r="AD25" s="13">
        <f>SUM($AC$25:$AC$25)</f>
        <v>-1.8037796806478958</v>
      </c>
      <c r="AE25" s="13">
        <f ca="1">$AO$25*$AO$55</f>
        <v>-7.7228801788559664</v>
      </c>
      <c r="AF25" s="13">
        <f ca="1">$AP$25*$AP$55</f>
        <v>0</v>
      </c>
      <c r="AG25" s="13">
        <f ca="1">SUM($AE$25:$AF$25)</f>
        <v>-7.7228801788559664</v>
      </c>
      <c r="AH25" s="13">
        <f>'TUSD BE'!$AH$25*'TUSD BE'!$AH$58</f>
        <v>-11.379269784586951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-11.379269784586951</v>
      </c>
      <c r="AM25" s="13">
        <f ca="1">SUMIF($L$4:$AL$4,"SUBTOTAL",$L$25:$AL$25)</f>
        <v>-20.757383139833351</v>
      </c>
      <c r="AO25" s="20">
        <f ca="1">+'TUSD BE'!$T$25+'TUSD BE'!$AB$25+'TUSD BE'!$AD$25+'TUSD BE'!$AL$25</f>
        <v>700.00333704981676</v>
      </c>
      <c r="AP25" s="20">
        <f ca="1">+'TUSD BE'!$T$25+'TUSD BE'!$AB$25+'TUSD BE'!$AD$25+'TUSD BE'!$AL$25</f>
        <v>700.00333704981676</v>
      </c>
    </row>
    <row r="26" spans="1:42" ht="11.25" customHeight="1" x14ac:dyDescent="0.3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474</v>
      </c>
      <c r="H26" s="18" t="s">
        <v>467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-8.2473988921045335E-2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-8.2473988921045335E-2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3.821596429587514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3.821596429587514</v>
      </c>
      <c r="AC26" s="13">
        <f>'TUSD BE'!$AC$26*'TUSD BE'!$AC$58</f>
        <v>-1.8037796806478958</v>
      </c>
      <c r="AD26" s="13">
        <f>SUM($AC$26:$AC$26)</f>
        <v>-1.8037796806478958</v>
      </c>
      <c r="AE26" s="13">
        <f ca="1">$AO$26*$AO$55</f>
        <v>-6.5505233102572298</v>
      </c>
      <c r="AF26" s="13">
        <f ca="1">$AP$26*$AP$55</f>
        <v>0</v>
      </c>
      <c r="AG26" s="13">
        <f ca="1">SUM($AE$26:$AF$26)</f>
        <v>-6.5505233102572298</v>
      </c>
      <c r="AH26" s="13">
        <f>'TUSD BE'!$AH$26*'TUSD BE'!$AH$58</f>
        <v>-11.379269784586951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-11.379269784586951</v>
      </c>
      <c r="AM26" s="13">
        <f ca="1">SUMIF($L$4:$AL$4,"SUBTOTAL",$L$26:$AL$26)</f>
        <v>-15.994450334825608</v>
      </c>
      <c r="AO26" s="20">
        <f ca="1">+'TUSD BE'!$T$26+'TUSD BE'!$AB$26+'TUSD BE'!$AD$26+'TUSD BE'!$AL$26</f>
        <v>593.74068617000501</v>
      </c>
      <c r="AP26" s="20">
        <f ca="1">+'TUSD BE'!$T$26+'TUSD BE'!$AB$26+'TUSD BE'!$AD$26+'TUSD BE'!$AL$26</f>
        <v>593.74068617000501</v>
      </c>
    </row>
    <row r="27" spans="1:42" ht="11.25" customHeight="1" x14ac:dyDescent="0.3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474</v>
      </c>
      <c r="H27" s="18" t="s">
        <v>467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-8.2473988921045335E-2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-8.2473988921045335E-2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3.821596429587514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3.821596429587514</v>
      </c>
      <c r="AC27" s="13">
        <f>'TUSD BE'!$AC$27*'TUSD BE'!$AC$58</f>
        <v>-1.8037796806478958</v>
      </c>
      <c r="AD27" s="13">
        <f>SUM($AC$27:$AC$27)</f>
        <v>-1.8037796806478958</v>
      </c>
      <c r="AE27" s="13">
        <f ca="1">$AO$27*$AO$55</f>
        <v>-6.5505233102572298</v>
      </c>
      <c r="AF27" s="13">
        <f ca="1">$AP$27*$AP$55</f>
        <v>0</v>
      </c>
      <c r="AG27" s="13">
        <f ca="1">SUM($AE$27:$AF$27)</f>
        <v>-6.5505233102572298</v>
      </c>
      <c r="AH27" s="13">
        <f>'TUSD BE'!$AH$27*'TUSD BE'!$AH$58</f>
        <v>-11.379269784586951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-11.379269784586951</v>
      </c>
      <c r="AM27" s="13">
        <f ca="1">SUMIF($L$4:$AL$4,"SUBTOTAL",$L$27:$AL$27)</f>
        <v>-15.994450334825608</v>
      </c>
      <c r="AO27" s="20">
        <f ca="1">+'TUSD BE'!$T$27+'TUSD BE'!$AB$27+'TUSD BE'!$AD$27+'TUSD BE'!$AL$27</f>
        <v>593.74068617000501</v>
      </c>
      <c r="AP27" s="20">
        <f ca="1">+'TUSD BE'!$T$27+'TUSD BE'!$AB$27+'TUSD BE'!$AD$27+'TUSD BE'!$AL$27</f>
        <v>593.74068617000501</v>
      </c>
    </row>
    <row r="28" spans="1:42" ht="11.25" customHeight="1" x14ac:dyDescent="0.3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474</v>
      </c>
      <c r="H28" s="18" t="s">
        <v>467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-8.2473988921045335E-2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-8.2473988921045335E-2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3.821596429587514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3.821596429587514</v>
      </c>
      <c r="AC28" s="13">
        <f>'TUSD BE'!$AC$28*'TUSD BE'!$AC$58</f>
        <v>-1.8037796806478958</v>
      </c>
      <c r="AD28" s="13">
        <f>SUM($AC$28:$AC$28)</f>
        <v>-1.8037796806478958</v>
      </c>
      <c r="AE28" s="13">
        <f ca="1">$AO$28*$AO$55</f>
        <v>-6.5505233102572298</v>
      </c>
      <c r="AF28" s="13">
        <f ca="1">$AP$28*$AP$55</f>
        <v>0</v>
      </c>
      <c r="AG28" s="13">
        <f ca="1">SUM($AE$28:$AF$28)</f>
        <v>-6.5505233102572298</v>
      </c>
      <c r="AH28" s="13">
        <f>'TUSD BE'!$AH$28*'TUSD BE'!$AH$58</f>
        <v>-11.379269784586951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-11.379269784586951</v>
      </c>
      <c r="AM28" s="13">
        <f ca="1">SUMIF($L$4:$AL$4,"SUBTOTAL",$L$28:$AL$28)</f>
        <v>-15.994450334825608</v>
      </c>
      <c r="AO28" s="20">
        <f ca="1">+'TUSD BE'!$T$28+'TUSD BE'!$AB$28+'TUSD BE'!$AD$28+'TUSD BE'!$AL$28</f>
        <v>593.74068617000501</v>
      </c>
      <c r="AP28" s="20">
        <f ca="1">+'TUSD BE'!$T$28+'TUSD BE'!$AB$28+'TUSD BE'!$AD$28+'TUSD BE'!$AL$28</f>
        <v>593.74068617000501</v>
      </c>
    </row>
    <row r="29" spans="1:42" ht="11.25" customHeight="1" x14ac:dyDescent="0.3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474</v>
      </c>
      <c r="H29" s="18" t="s">
        <v>467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-8.2473988921045335E-2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-8.2473988921045335E-2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3.821596429587514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3.821596429587514</v>
      </c>
      <c r="AC29" s="13">
        <f>'TUSD BE'!$AC$29*'TUSD BE'!$AC$58</f>
        <v>-1.8037796806478958</v>
      </c>
      <c r="AD29" s="13">
        <f>SUM($AC$29:$AC$29)</f>
        <v>-1.8037796806478958</v>
      </c>
      <c r="AE29" s="13">
        <f ca="1">$AO$29*$AO$55</f>
        <v>-6.5505233102572298</v>
      </c>
      <c r="AF29" s="13">
        <f ca="1">$AP$29*$AP$55</f>
        <v>0</v>
      </c>
      <c r="AG29" s="13">
        <f ca="1">SUM($AE$29:$AF$29)</f>
        <v>-6.5505233102572298</v>
      </c>
      <c r="AH29" s="13">
        <f>'TUSD BE'!$AH$29*'TUSD BE'!$AH$58</f>
        <v>-11.379269784586951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-11.379269784586951</v>
      </c>
      <c r="AM29" s="13">
        <f ca="1">SUMIF($L$4:$AL$4,"SUBTOTAL",$L$29:$AL$29)</f>
        <v>-15.994450334825608</v>
      </c>
      <c r="AO29" s="20">
        <f ca="1">+'TUSD BE'!$T$29+'TUSD BE'!$AB$29+'TUSD BE'!$AD$29+'TUSD BE'!$AL$29</f>
        <v>593.74068617000501</v>
      </c>
      <c r="AP29" s="20">
        <f ca="1">+'TUSD BE'!$T$29+'TUSD BE'!$AB$29+'TUSD BE'!$AD$29+'TUSD BE'!$AL$29</f>
        <v>593.74068617000501</v>
      </c>
    </row>
    <row r="30" spans="1:42" ht="11.25" customHeight="1" x14ac:dyDescent="0.3">
      <c r="A30" s="90" t="s">
        <v>42</v>
      </c>
      <c r="B30" s="90" t="s">
        <v>33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468</v>
      </c>
      <c r="H30" s="18" t="s">
        <v>467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-8.2473988921045335E-2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-3.108532981318644</v>
      </c>
      <c r="R30" s="13">
        <f>'TUSD BE'!$R$30*'TUSD BE'!$R$58</f>
        <v>-0.48204295509036404</v>
      </c>
      <c r="S30" s="13">
        <f>'TUSD BE'!$R$30*'TUSD BE'!$S$58</f>
        <v>0</v>
      </c>
      <c r="T30" s="13">
        <f ca="1">SUM($L$30:$S$30)</f>
        <v>-3.6730499253300533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11.274176675026615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11.274176675026615</v>
      </c>
      <c r="AC30" s="13">
        <f>'TUSD BE'!$AC$30*'TUSD BE'!$AC$58</f>
        <v>-5.3211489485393093</v>
      </c>
      <c r="AD30" s="13">
        <f>SUM($AC$30:$AC$30)</f>
        <v>-5.3211489485393093</v>
      </c>
      <c r="AE30" s="13">
        <f ca="1">$AO$30*$AO$55</f>
        <v>-20.043132508907451</v>
      </c>
      <c r="AF30" s="13">
        <f ca="1">$AP$30*$AP$55</f>
        <v>0</v>
      </c>
      <c r="AG30" s="13">
        <f ca="1">SUM($AE$30:$AF$30)</f>
        <v>-20.043132508907451</v>
      </c>
      <c r="AH30" s="13">
        <f>'TUSD BE'!$AH$30*'TUSD BE'!$AH$58</f>
        <v>-11.379269784586951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-11.379269784586951</v>
      </c>
      <c r="AM30" s="13">
        <f ca="1">SUMIF($L$4:$AL$4,"SUBTOTAL",$L$30:$AL$30)</f>
        <v>-29.142424492337149</v>
      </c>
      <c r="AO30" s="20">
        <f ca="1">+'TUSD BE'!$T$30+'TUSD BE'!$AB$30+'TUSD BE'!$AD$30+'TUSD BE'!$AL$30</f>
        <v>1816.7133655109049</v>
      </c>
      <c r="AP30" s="20">
        <f ca="1">+'TUSD BE'!$T$30+'TUSD BE'!$AB$30+'TUSD BE'!$AD$30+'TUSD BE'!$AL$30</f>
        <v>1816.7133655109049</v>
      </c>
    </row>
    <row r="31" spans="1:42" ht="11.25" customHeight="1" x14ac:dyDescent="0.3">
      <c r="A31" s="90"/>
      <c r="B31" s="90"/>
      <c r="C31" s="90"/>
      <c r="D31" s="90"/>
      <c r="E31" s="90"/>
      <c r="F31" s="90"/>
      <c r="G31" s="18" t="s">
        <v>480</v>
      </c>
      <c r="H31" s="18" t="s">
        <v>467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-8.2473988921045335E-2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-3.108532981318644</v>
      </c>
      <c r="R31" s="13">
        <f>'TUSD BE'!$R$31*'TUSD BE'!$R$58</f>
        <v>-0.48204295509036404</v>
      </c>
      <c r="S31" s="13">
        <f>'TUSD BE'!$R$31*'TUSD BE'!$S$58</f>
        <v>0</v>
      </c>
      <c r="T31" s="13">
        <f ca="1">SUM($L$31:$S$31)</f>
        <v>-3.6730499253300533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6.7637513743269917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6.7637513743269917</v>
      </c>
      <c r="AC31" s="13">
        <f>'TUSD BE'!$AC$31*'TUSD BE'!$AC$58</f>
        <v>-3.1926884446469312</v>
      </c>
      <c r="AD31" s="13">
        <f>SUM($AC$31:$AC$31)</f>
        <v>-3.1926884446469312</v>
      </c>
      <c r="AE31" s="13">
        <f ca="1">$AO$31*$AO$55</f>
        <v>-12.587537561797578</v>
      </c>
      <c r="AF31" s="13">
        <f ca="1">$AP$31*$AP$55</f>
        <v>0</v>
      </c>
      <c r="AG31" s="13">
        <f ca="1">SUM($AE$31:$AF$31)</f>
        <v>-12.587537561797578</v>
      </c>
      <c r="AH31" s="13">
        <f>'TUSD BE'!$AH$31*'TUSD BE'!$AH$58</f>
        <v>-11.379269784586951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-11.379269784586951</v>
      </c>
      <c r="AM31" s="13">
        <f ca="1">SUMIF($L$4:$AL$4,"SUBTOTAL",$L$31:$AL$31)</f>
        <v>-24.068794342034522</v>
      </c>
      <c r="AO31" s="20">
        <f ca="1">+'TUSD BE'!$T$31+'TUSD BE'!$AB$31+'TUSD BE'!$AD$31+'TUSD BE'!$AL$31</f>
        <v>1140.9368130069174</v>
      </c>
      <c r="AP31" s="20">
        <f ca="1">+'TUSD BE'!$T$31+'TUSD BE'!$AB$31+'TUSD BE'!$AD$31+'TUSD BE'!$AL$31</f>
        <v>1140.9368130069174</v>
      </c>
    </row>
    <row r="32" spans="1:42" ht="11.25" customHeight="1" x14ac:dyDescent="0.3">
      <c r="A32" s="90"/>
      <c r="B32" s="90"/>
      <c r="C32" s="90"/>
      <c r="D32" s="90"/>
      <c r="E32" s="90"/>
      <c r="F32" s="90"/>
      <c r="G32" s="18" t="s">
        <v>469</v>
      </c>
      <c r="H32" s="18" t="s">
        <v>467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-8.2473988921045335E-2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-3.108532981318644</v>
      </c>
      <c r="R32" s="13">
        <f>'TUSD BE'!$R$32*'TUSD BE'!$R$58</f>
        <v>-0.48204295509036404</v>
      </c>
      <c r="S32" s="13">
        <f>'TUSD BE'!$R$32*'TUSD BE'!$S$58</f>
        <v>0</v>
      </c>
      <c r="T32" s="13">
        <f ca="1">SUM($L$32:$S$32)</f>
        <v>-3.6730499253300533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2.2533260736273704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2.2533260736273704</v>
      </c>
      <c r="AC32" s="13">
        <f>'TUSD BE'!$AC$32*'TUSD BE'!$AC$58</f>
        <v>-1.0642293274695349</v>
      </c>
      <c r="AD32" s="13">
        <f>SUM($AC$32:$AC$32)</f>
        <v>-1.0642293274695349</v>
      </c>
      <c r="AE32" s="13">
        <f ca="1">$AO$32*$AO$55</f>
        <v>-5.1319463137020627</v>
      </c>
      <c r="AF32" s="13">
        <f ca="1">$AP$32*$AP$55</f>
        <v>0</v>
      </c>
      <c r="AG32" s="13">
        <f ca="1">SUM($AE$32:$AF$32)</f>
        <v>-5.1319463137020627</v>
      </c>
      <c r="AH32" s="13">
        <f>'TUSD BE'!$AH$32*'TUSD BE'!$AH$58</f>
        <v>-11.379269784586951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-11.379269784586951</v>
      </c>
      <c r="AM32" s="13">
        <f ca="1">SUMIF($L$4:$AL$4,"SUBTOTAL",$L$32:$AL$32)</f>
        <v>-18.99516927746123</v>
      </c>
      <c r="AO32" s="20">
        <f ca="1">+'TUSD BE'!$T$32+'TUSD BE'!$AB$32+'TUSD BE'!$AD$32+'TUSD BE'!$AL$32</f>
        <v>465.16059578229903</v>
      </c>
      <c r="AP32" s="20">
        <f ca="1">+'TUSD BE'!$T$32+'TUSD BE'!$AB$32+'TUSD BE'!$AD$32+'TUSD BE'!$AL$32</f>
        <v>465.16059578229903</v>
      </c>
    </row>
    <row r="33" spans="1:42" ht="11.25" customHeight="1" x14ac:dyDescent="0.3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474</v>
      </c>
      <c r="H33" s="18" t="s">
        <v>467</v>
      </c>
      <c r="I33" s="18">
        <f>'MERCADO TUSD'!$U$30</f>
        <v>513.57799999999997</v>
      </c>
      <c r="J33" s="15"/>
      <c r="L33" s="13">
        <f>'TUSD BE'!$L$33*'TUSD BE'!$L$58</f>
        <v>0</v>
      </c>
      <c r="M33" s="13">
        <f>'TUSD BE'!$M$33*'TUSD BE'!$M$58</f>
        <v>-8.2473988921045335E-2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-3.108532981318644</v>
      </c>
      <c r="R33" s="13">
        <f>'TUSD BE'!$R$33*'TUSD BE'!$R$58</f>
        <v>-0.48204295509036404</v>
      </c>
      <c r="S33" s="13">
        <f>'TUSD BE'!$R$33*'TUSD BE'!$S$58</f>
        <v>0</v>
      </c>
      <c r="T33" s="13">
        <f ca="1">SUM($L$33:$S$33)</f>
        <v>-3.6730499253300533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3.821596429587514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3.821596429587514</v>
      </c>
      <c r="AC33" s="13">
        <f>'TUSD BE'!$AC$33*'TUSD BE'!$AC$58</f>
        <v>-1.8037796806478958</v>
      </c>
      <c r="AD33" s="13">
        <f>SUM($AC$33:$AC$33)</f>
        <v>-1.8037796806478958</v>
      </c>
      <c r="AE33" s="13">
        <f ca="1">$AO$33*$AO$55</f>
        <v>-7.7228801788559664</v>
      </c>
      <c r="AF33" s="13">
        <f ca="1">$AP$33*$AP$55</f>
        <v>0</v>
      </c>
      <c r="AG33" s="13">
        <f ca="1">SUM($AE$33:$AF$33)</f>
        <v>-7.7228801788559664</v>
      </c>
      <c r="AH33" s="13">
        <f>'TUSD BE'!$AH$33*'TUSD BE'!$AH$58</f>
        <v>-11.379269784586951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-11.379269784586951</v>
      </c>
      <c r="AM33" s="13">
        <f ca="1">SUMIF($L$4:$AL$4,"SUBTOTAL",$L$33:$AL$33)</f>
        <v>-20.757383139833351</v>
      </c>
      <c r="AO33" s="20">
        <f ca="1">+'TUSD BE'!$T$33+'TUSD BE'!$AB$33+'TUSD BE'!$AD$33+'TUSD BE'!$AL$33</f>
        <v>700.00333704981676</v>
      </c>
      <c r="AP33" s="20">
        <f ca="1">+'TUSD BE'!$T$33+'TUSD BE'!$AB$33+'TUSD BE'!$AD$33+'TUSD BE'!$AL$33</f>
        <v>700.00333704981676</v>
      </c>
    </row>
    <row r="34" spans="1:42" ht="11.25" customHeight="1" x14ac:dyDescent="0.3">
      <c r="A34" s="90"/>
      <c r="B34" s="90" t="s">
        <v>33</v>
      </c>
      <c r="C34" s="90" t="s">
        <v>43</v>
      </c>
      <c r="D34" s="90" t="s">
        <v>484</v>
      </c>
      <c r="E34" s="90" t="s">
        <v>25</v>
      </c>
      <c r="F34" s="90" t="s">
        <v>25</v>
      </c>
      <c r="G34" s="18" t="s">
        <v>468</v>
      </c>
      <c r="H34" s="18" t="s">
        <v>467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-8.2473988921045335E-2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-3.108532981318644</v>
      </c>
      <c r="R34" s="13">
        <f>'TUSD BE'!$R$34*'TUSD BE'!$R$58</f>
        <v>-0.48204295509036404</v>
      </c>
      <c r="S34" s="13">
        <f>'TUSD BE'!$R$34*'TUSD BE'!$S$58</f>
        <v>0</v>
      </c>
      <c r="T34" s="13">
        <f ca="1">SUM($L$34:$S$34)</f>
        <v>-3.6730499253300533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11.274176675026615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11.274176675026615</v>
      </c>
      <c r="AC34" s="13">
        <f>'TUSD BE'!$AC$34*'TUSD BE'!$AC$58</f>
        <v>-5.3211489485393093</v>
      </c>
      <c r="AD34" s="13">
        <f>SUM($AC$34:$AC$34)</f>
        <v>-5.3211489485393093</v>
      </c>
      <c r="AE34" s="13">
        <f ca="1">$AO$34*$AO$55</f>
        <v>-20.043132508907451</v>
      </c>
      <c r="AF34" s="13">
        <f ca="1">$AP$34*$AP$55</f>
        <v>0</v>
      </c>
      <c r="AG34" s="13">
        <f ca="1">SUM($AE$34:$AF$34)</f>
        <v>-20.043132508907451</v>
      </c>
      <c r="AH34" s="13">
        <f>'TUSD BE'!$AH$34*'TUSD BE'!$AH$58</f>
        <v>-11.379269784586951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-11.379269784586951</v>
      </c>
      <c r="AM34" s="13">
        <f ca="1">SUMIF($L$4:$AL$4,"SUBTOTAL",$L$34:$AL$34)</f>
        <v>-29.142424492337149</v>
      </c>
      <c r="AO34" s="20">
        <f ca="1">+'TUSD BE'!$T$34+'TUSD BE'!$AB$34+'TUSD BE'!$AD$34+'TUSD BE'!$AL$34</f>
        <v>1816.7133655109049</v>
      </c>
      <c r="AP34" s="20">
        <f ca="1">+'TUSD BE'!$T$34+'TUSD BE'!$AB$34+'TUSD BE'!$AD$34+'TUSD BE'!$AL$34</f>
        <v>1816.7133655109049</v>
      </c>
    </row>
    <row r="35" spans="1:42" ht="11.25" customHeight="1" x14ac:dyDescent="0.3">
      <c r="A35" s="90"/>
      <c r="B35" s="90"/>
      <c r="C35" s="90"/>
      <c r="D35" s="90"/>
      <c r="E35" s="90"/>
      <c r="F35" s="90"/>
      <c r="G35" s="18" t="s">
        <v>480</v>
      </c>
      <c r="H35" s="18" t="s">
        <v>467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-8.2473988921045335E-2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-3.108532981318644</v>
      </c>
      <c r="R35" s="13">
        <f>'TUSD BE'!$R$35*'TUSD BE'!$R$58</f>
        <v>-0.48204295509036404</v>
      </c>
      <c r="S35" s="13">
        <f>'TUSD BE'!$R$35*'TUSD BE'!$S$58</f>
        <v>0</v>
      </c>
      <c r="T35" s="13">
        <f ca="1">SUM($L$35:$S$35)</f>
        <v>-3.6730499253300533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6.7637513743269917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6.7637513743269917</v>
      </c>
      <c r="AC35" s="13">
        <f>'TUSD BE'!$AC$35*'TUSD BE'!$AC$58</f>
        <v>-3.1926884446469312</v>
      </c>
      <c r="AD35" s="13">
        <f>SUM($AC$35:$AC$35)</f>
        <v>-3.1926884446469312</v>
      </c>
      <c r="AE35" s="13">
        <f ca="1">$AO$35*$AO$55</f>
        <v>-12.587537561797578</v>
      </c>
      <c r="AF35" s="13">
        <f ca="1">$AP$35*$AP$55</f>
        <v>0</v>
      </c>
      <c r="AG35" s="13">
        <f ca="1">SUM($AE$35:$AF$35)</f>
        <v>-12.587537561797578</v>
      </c>
      <c r="AH35" s="13">
        <f>'TUSD BE'!$AH$35*'TUSD BE'!$AH$58</f>
        <v>-11.379269784586951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-11.379269784586951</v>
      </c>
      <c r="AM35" s="13">
        <f ca="1">SUMIF($L$4:$AL$4,"SUBTOTAL",$L$35:$AL$35)</f>
        <v>-24.068794342034522</v>
      </c>
      <c r="AO35" s="20">
        <f ca="1">+'TUSD BE'!$T$35+'TUSD BE'!$AB$35+'TUSD BE'!$AD$35+'TUSD BE'!$AL$35</f>
        <v>1140.9368130069174</v>
      </c>
      <c r="AP35" s="20">
        <f ca="1">+'TUSD BE'!$T$35+'TUSD BE'!$AB$35+'TUSD BE'!$AD$35+'TUSD BE'!$AL$35</f>
        <v>1140.9368130069174</v>
      </c>
    </row>
    <row r="36" spans="1:42" ht="11.25" customHeight="1" x14ac:dyDescent="0.3">
      <c r="A36" s="90"/>
      <c r="B36" s="90"/>
      <c r="C36" s="90"/>
      <c r="D36" s="90"/>
      <c r="E36" s="90"/>
      <c r="F36" s="90"/>
      <c r="G36" s="18" t="s">
        <v>469</v>
      </c>
      <c r="H36" s="18" t="s">
        <v>467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-8.2473988921045335E-2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-3.108532981318644</v>
      </c>
      <c r="R36" s="13">
        <f>'TUSD BE'!$R$36*'TUSD BE'!$R$58</f>
        <v>-0.48204295509036404</v>
      </c>
      <c r="S36" s="13">
        <f>'TUSD BE'!$R$36*'TUSD BE'!$S$58</f>
        <v>0</v>
      </c>
      <c r="T36" s="13">
        <f ca="1">SUM($L$36:$S$36)</f>
        <v>-3.6730499253300533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2.2533260736273704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2.2533260736273704</v>
      </c>
      <c r="AC36" s="13">
        <f>'TUSD BE'!$AC$36*'TUSD BE'!$AC$58</f>
        <v>-1.0642293274695349</v>
      </c>
      <c r="AD36" s="13">
        <f>SUM($AC$36:$AC$36)</f>
        <v>-1.0642293274695349</v>
      </c>
      <c r="AE36" s="13">
        <f ca="1">$AO$36*$AO$55</f>
        <v>-5.1319463137020627</v>
      </c>
      <c r="AF36" s="13">
        <f ca="1">$AP$36*$AP$55</f>
        <v>0</v>
      </c>
      <c r="AG36" s="13">
        <f ca="1">SUM($AE$36:$AF$36)</f>
        <v>-5.1319463137020627</v>
      </c>
      <c r="AH36" s="13">
        <f>'TUSD BE'!$AH$36*'TUSD BE'!$AH$58</f>
        <v>-11.379269784586951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-11.379269784586951</v>
      </c>
      <c r="AM36" s="13">
        <f ca="1">SUMIF($L$4:$AL$4,"SUBTOTAL",$L$36:$AL$36)</f>
        <v>-18.99516927746123</v>
      </c>
      <c r="AO36" s="20">
        <f ca="1">+'TUSD BE'!$T$36+'TUSD BE'!$AB$36+'TUSD BE'!$AD$36+'TUSD BE'!$AL$36</f>
        <v>465.16059578229903</v>
      </c>
      <c r="AP36" s="20">
        <f ca="1">+'TUSD BE'!$T$36+'TUSD BE'!$AB$36+'TUSD BE'!$AD$36+'TUSD BE'!$AL$36</f>
        <v>465.16059578229903</v>
      </c>
    </row>
    <row r="37" spans="1:42" ht="11.25" customHeight="1" x14ac:dyDescent="0.3">
      <c r="A37" s="90"/>
      <c r="B37" s="17" t="s">
        <v>23</v>
      </c>
      <c r="C37" s="17" t="s">
        <v>43</v>
      </c>
      <c r="D37" s="17" t="s">
        <v>484</v>
      </c>
      <c r="E37" s="17" t="s">
        <v>25</v>
      </c>
      <c r="F37" s="17" t="s">
        <v>25</v>
      </c>
      <c r="G37" s="18" t="s">
        <v>474</v>
      </c>
      <c r="H37" s="18" t="s">
        <v>467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-8.2473988921045335E-2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-3.108532981318644</v>
      </c>
      <c r="R37" s="13">
        <f>'TUSD BE'!$R$37*'TUSD BE'!$R$58</f>
        <v>-0.48204295509036404</v>
      </c>
      <c r="S37" s="13">
        <f>'TUSD BE'!$R$37*'TUSD BE'!$S$58</f>
        <v>0</v>
      </c>
      <c r="T37" s="13">
        <f ca="1">SUM($L$37:$S$37)</f>
        <v>-3.6730499253300533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3.821596429587514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3.821596429587514</v>
      </c>
      <c r="AC37" s="13">
        <f>'TUSD BE'!$AC$37*'TUSD BE'!$AC$58</f>
        <v>-1.8037796806478958</v>
      </c>
      <c r="AD37" s="13">
        <f>SUM($AC$37:$AC$37)</f>
        <v>-1.8037796806478958</v>
      </c>
      <c r="AE37" s="13">
        <f ca="1">$AO$37*$AO$55</f>
        <v>-7.7228801788559664</v>
      </c>
      <c r="AF37" s="13">
        <f ca="1">$AP$37*$AP$55</f>
        <v>0</v>
      </c>
      <c r="AG37" s="13">
        <f ca="1">SUM($AE$37:$AF$37)</f>
        <v>-7.7228801788559664</v>
      </c>
      <c r="AH37" s="13">
        <f>'TUSD BE'!$AH$37*'TUSD BE'!$AH$58</f>
        <v>-11.379269784586951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-11.379269784586951</v>
      </c>
      <c r="AM37" s="13">
        <f ca="1">SUMIF($L$4:$AL$4,"SUBTOTAL",$L$37:$AL$37)</f>
        <v>-20.757383139833351</v>
      </c>
      <c r="AO37" s="20">
        <f ca="1">+'TUSD BE'!$T$37+'TUSD BE'!$AB$37+'TUSD BE'!$AD$37+'TUSD BE'!$AL$37</f>
        <v>700.00333704981676</v>
      </c>
      <c r="AP37" s="20">
        <f ca="1">+'TUSD BE'!$T$37+'TUSD BE'!$AB$37+'TUSD BE'!$AD$37+'TUSD BE'!$AL$37</f>
        <v>700.00333704981676</v>
      </c>
    </row>
    <row r="38" spans="1:42" ht="11.25" customHeight="1" x14ac:dyDescent="0.3">
      <c r="A38" s="90"/>
      <c r="B38" s="90" t="s">
        <v>33</v>
      </c>
      <c r="C38" s="90" t="s">
        <v>43</v>
      </c>
      <c r="D38" s="90" t="s">
        <v>485</v>
      </c>
      <c r="E38" s="90" t="s">
        <v>25</v>
      </c>
      <c r="F38" s="90" t="s">
        <v>25</v>
      </c>
      <c r="G38" s="18" t="s">
        <v>468</v>
      </c>
      <c r="H38" s="18" t="s">
        <v>467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-8.2473988921045335E-2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-3.108532981318644</v>
      </c>
      <c r="R38" s="13">
        <f>'TUSD BE'!$R$38*'TUSD BE'!$R$58</f>
        <v>-0.48204295509036404</v>
      </c>
      <c r="S38" s="13">
        <f>'TUSD BE'!$R$38*'TUSD BE'!$S$58</f>
        <v>0</v>
      </c>
      <c r="T38" s="13">
        <f ca="1">SUM($L$38:$S$38)</f>
        <v>-3.6730499253300533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11.274176675026615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11.274176675026615</v>
      </c>
      <c r="AC38" s="13">
        <f>'TUSD BE'!$AC$38*'TUSD BE'!$AC$58</f>
        <v>-5.3211489485393093</v>
      </c>
      <c r="AD38" s="13">
        <f>SUM($AC$38:$AC$38)</f>
        <v>-5.3211489485393093</v>
      </c>
      <c r="AE38" s="13">
        <f ca="1">$AO$38*$AO$55</f>
        <v>-20.043132508907451</v>
      </c>
      <c r="AF38" s="13">
        <f ca="1">$AP$38*$AP$55</f>
        <v>0</v>
      </c>
      <c r="AG38" s="13">
        <f ca="1">SUM($AE$38:$AF$38)</f>
        <v>-20.043132508907451</v>
      </c>
      <c r="AH38" s="13">
        <f>'TUSD BE'!$AH$38*'TUSD BE'!$AH$58</f>
        <v>-11.379269784586951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-11.379269784586951</v>
      </c>
      <c r="AM38" s="13">
        <f ca="1">SUMIF($L$4:$AL$4,"SUBTOTAL",$L$38:$AL$38)</f>
        <v>-29.142424492337149</v>
      </c>
      <c r="AO38" s="20">
        <f ca="1">+'TUSD BE'!$T$38+'TUSD BE'!$AB$38+'TUSD BE'!$AD$38+'TUSD BE'!$AL$38</f>
        <v>1816.7133655109049</v>
      </c>
      <c r="AP38" s="20">
        <f ca="1">+'TUSD BE'!$T$38+'TUSD BE'!$AB$38+'TUSD BE'!$AD$38+'TUSD BE'!$AL$38</f>
        <v>1816.7133655109049</v>
      </c>
    </row>
    <row r="39" spans="1:42" ht="11.25" customHeight="1" x14ac:dyDescent="0.3">
      <c r="A39" s="90"/>
      <c r="B39" s="90"/>
      <c r="C39" s="90"/>
      <c r="D39" s="90"/>
      <c r="E39" s="90"/>
      <c r="F39" s="90"/>
      <c r="G39" s="18" t="s">
        <v>480</v>
      </c>
      <c r="H39" s="18" t="s">
        <v>467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-8.2473988921045335E-2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-3.108532981318644</v>
      </c>
      <c r="R39" s="13">
        <f>'TUSD BE'!$R$39*'TUSD BE'!$R$58</f>
        <v>-0.48204295509036404</v>
      </c>
      <c r="S39" s="13">
        <f>'TUSD BE'!$R$39*'TUSD BE'!$S$58</f>
        <v>0</v>
      </c>
      <c r="T39" s="13">
        <f ca="1">SUM($L$39:$S$39)</f>
        <v>-3.6730499253300533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6.7637513743269917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6.7637513743269917</v>
      </c>
      <c r="AC39" s="13">
        <f>'TUSD BE'!$AC$39*'TUSD BE'!$AC$58</f>
        <v>-3.1926884446469312</v>
      </c>
      <c r="AD39" s="13">
        <f>SUM($AC$39:$AC$39)</f>
        <v>-3.1926884446469312</v>
      </c>
      <c r="AE39" s="13">
        <f ca="1">$AO$39*$AO$55</f>
        <v>-12.587537561797578</v>
      </c>
      <c r="AF39" s="13">
        <f ca="1">$AP$39*$AP$55</f>
        <v>0</v>
      </c>
      <c r="AG39" s="13">
        <f ca="1">SUM($AE$39:$AF$39)</f>
        <v>-12.587537561797578</v>
      </c>
      <c r="AH39" s="13">
        <f>'TUSD BE'!$AH$39*'TUSD BE'!$AH$58</f>
        <v>-11.379269784586951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-11.379269784586951</v>
      </c>
      <c r="AM39" s="13">
        <f ca="1">SUMIF($L$4:$AL$4,"SUBTOTAL",$L$39:$AL$39)</f>
        <v>-24.068794342034522</v>
      </c>
      <c r="AO39" s="20">
        <f ca="1">+'TUSD BE'!$T$39+'TUSD BE'!$AB$39+'TUSD BE'!$AD$39+'TUSD BE'!$AL$39</f>
        <v>1140.9368130069174</v>
      </c>
      <c r="AP39" s="20">
        <f ca="1">+'TUSD BE'!$T$39+'TUSD BE'!$AB$39+'TUSD BE'!$AD$39+'TUSD BE'!$AL$39</f>
        <v>1140.9368130069174</v>
      </c>
    </row>
    <row r="40" spans="1:42" ht="11.25" customHeight="1" x14ac:dyDescent="0.3">
      <c r="A40" s="90"/>
      <c r="B40" s="90"/>
      <c r="C40" s="90"/>
      <c r="D40" s="90"/>
      <c r="E40" s="90"/>
      <c r="F40" s="90"/>
      <c r="G40" s="18" t="s">
        <v>469</v>
      </c>
      <c r="H40" s="18" t="s">
        <v>467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-8.2473988921045335E-2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-3.108532981318644</v>
      </c>
      <c r="R40" s="13">
        <f>'TUSD BE'!$R$40*'TUSD BE'!$R$58</f>
        <v>-0.48204295509036404</v>
      </c>
      <c r="S40" s="13">
        <f>'TUSD BE'!$R$40*'TUSD BE'!$S$58</f>
        <v>0</v>
      </c>
      <c r="T40" s="13">
        <f ca="1">SUM($L$40:$S$40)</f>
        <v>-3.6730499253300533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2.2533260736273704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2.2533260736273704</v>
      </c>
      <c r="AC40" s="13">
        <f>'TUSD BE'!$AC$40*'TUSD BE'!$AC$58</f>
        <v>-1.0642293274695349</v>
      </c>
      <c r="AD40" s="13">
        <f>SUM($AC$40:$AC$40)</f>
        <v>-1.0642293274695349</v>
      </c>
      <c r="AE40" s="13">
        <f ca="1">$AO$40*$AO$55</f>
        <v>-5.1319463137020627</v>
      </c>
      <c r="AF40" s="13">
        <f ca="1">$AP$40*$AP$55</f>
        <v>0</v>
      </c>
      <c r="AG40" s="13">
        <f ca="1">SUM($AE$40:$AF$40)</f>
        <v>-5.1319463137020627</v>
      </c>
      <c r="AH40" s="13">
        <f>'TUSD BE'!$AH$40*'TUSD BE'!$AH$58</f>
        <v>-11.379269784586951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-11.379269784586951</v>
      </c>
      <c r="AM40" s="13">
        <f ca="1">SUMIF($L$4:$AL$4,"SUBTOTAL",$L$40:$AL$40)</f>
        <v>-18.99516927746123</v>
      </c>
      <c r="AO40" s="20">
        <f ca="1">+'TUSD BE'!$T$40+'TUSD BE'!$AB$40+'TUSD BE'!$AD$40+'TUSD BE'!$AL$40</f>
        <v>465.16059578229903</v>
      </c>
      <c r="AP40" s="20">
        <f ca="1">+'TUSD BE'!$T$40+'TUSD BE'!$AB$40+'TUSD BE'!$AD$40+'TUSD BE'!$AL$40</f>
        <v>465.16059578229903</v>
      </c>
    </row>
    <row r="41" spans="1:42" ht="11.25" customHeight="1" x14ac:dyDescent="0.3">
      <c r="A41" s="90"/>
      <c r="B41" s="17" t="s">
        <v>23</v>
      </c>
      <c r="C41" s="17" t="s">
        <v>43</v>
      </c>
      <c r="D41" s="17" t="s">
        <v>485</v>
      </c>
      <c r="E41" s="17" t="s">
        <v>25</v>
      </c>
      <c r="F41" s="17" t="s">
        <v>25</v>
      </c>
      <c r="G41" s="18" t="s">
        <v>474</v>
      </c>
      <c r="H41" s="18" t="s">
        <v>467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-8.2473988921045335E-2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-3.108532981318644</v>
      </c>
      <c r="R41" s="13">
        <f>'TUSD BE'!$R$41*'TUSD BE'!$R$58</f>
        <v>-0.48204295509036404</v>
      </c>
      <c r="S41" s="13">
        <f>'TUSD BE'!$R$41*'TUSD BE'!$S$58</f>
        <v>0</v>
      </c>
      <c r="T41" s="13">
        <f ca="1">SUM($L$41:$S$41)</f>
        <v>-3.6730499253300533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3.821596429587514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3.821596429587514</v>
      </c>
      <c r="AC41" s="13">
        <f>'TUSD BE'!$AC$41*'TUSD BE'!$AC$58</f>
        <v>-1.8037796806478958</v>
      </c>
      <c r="AD41" s="13">
        <f>SUM($AC$41:$AC$41)</f>
        <v>-1.8037796806478958</v>
      </c>
      <c r="AE41" s="13">
        <f ca="1">$AO$41*$AO$55</f>
        <v>-7.7228801788559664</v>
      </c>
      <c r="AF41" s="13">
        <f ca="1">$AP$41*$AP$55</f>
        <v>0</v>
      </c>
      <c r="AG41" s="13">
        <f ca="1">SUM($AE$41:$AF$41)</f>
        <v>-7.7228801788559664</v>
      </c>
      <c r="AH41" s="13">
        <f>'TUSD BE'!$AH$41*'TUSD BE'!$AH$58</f>
        <v>-11.379269784586951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-11.379269784586951</v>
      </c>
      <c r="AM41" s="13">
        <f ca="1">SUMIF($L$4:$AL$4,"SUBTOTAL",$L$41:$AL$41)</f>
        <v>-20.757383139833351</v>
      </c>
      <c r="AO41" s="20">
        <f ca="1">+'TUSD BE'!$T$41+'TUSD BE'!$AB$41+'TUSD BE'!$AD$41+'TUSD BE'!$AL$41</f>
        <v>700.00333704981676</v>
      </c>
      <c r="AP41" s="20">
        <f ca="1">+'TUSD BE'!$T$41+'TUSD BE'!$AB$41+'TUSD BE'!$AD$41+'TUSD BE'!$AL$41</f>
        <v>700.00333704981676</v>
      </c>
    </row>
    <row r="42" spans="1:42" ht="11.25" customHeight="1" x14ac:dyDescent="0.3">
      <c r="A42" s="90"/>
      <c r="B42" s="90" t="s">
        <v>483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474</v>
      </c>
      <c r="H42" s="18" t="s">
        <v>467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-8.2473988921045335E-2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-3.108532981318644</v>
      </c>
      <c r="R42" s="13">
        <f>'TUSD BE'!$R$42*'TUSD BE'!$R$58</f>
        <v>-0.48204295509036404</v>
      </c>
      <c r="S42" s="13">
        <f>'TUSD BE'!$R$42*'TUSD BE'!$S$58</f>
        <v>0</v>
      </c>
      <c r="T42" s="13">
        <f ca="1">SUM($L$42:$S$42)</f>
        <v>-3.6730499253300533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3.821596429587514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3.821596429587514</v>
      </c>
      <c r="AC42" s="13">
        <f>'TUSD BE'!$AC$42*'TUSD BE'!$AC$58</f>
        <v>-1.8037796806478958</v>
      </c>
      <c r="AD42" s="13">
        <f>SUM($AC$42:$AC$42)</f>
        <v>-1.8037796806478958</v>
      </c>
      <c r="AE42" s="13">
        <f ca="1">$AO$42*$AO$55</f>
        <v>-7.7228801788559664</v>
      </c>
      <c r="AF42" s="13">
        <f ca="1">$AP$42*$AP$55</f>
        <v>0</v>
      </c>
      <c r="AG42" s="13">
        <f ca="1">SUM($AE$42:$AF$42)</f>
        <v>-7.7228801788559664</v>
      </c>
      <c r="AH42" s="13">
        <f>'TUSD BE'!$AH$42*'TUSD BE'!$AH$58</f>
        <v>-11.379269784586951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-11.379269784586951</v>
      </c>
      <c r="AM42" s="13">
        <f ca="1">SUMIF($L$4:$AL$4,"SUBTOTAL",$L$42:$AL$42)</f>
        <v>-20.757383139833351</v>
      </c>
      <c r="AO42" s="20">
        <f ca="1">+'TUSD BE'!$T$42+'TUSD BE'!$AB$42+'TUSD BE'!$AD$42+'TUSD BE'!$AL$42</f>
        <v>700.00333704981676</v>
      </c>
      <c r="AP42" s="20">
        <f ca="1">+'TUSD BE'!$T$42+'TUSD BE'!$AB$42+'TUSD BE'!$AD$42+'TUSD BE'!$AL$42</f>
        <v>700.00333704981676</v>
      </c>
    </row>
    <row r="43" spans="1:42" ht="11.25" customHeight="1" x14ac:dyDescent="0.3">
      <c r="A43" s="90"/>
      <c r="B43" s="90"/>
      <c r="C43" s="90"/>
      <c r="D43" s="17" t="s">
        <v>484</v>
      </c>
      <c r="E43" s="17" t="s">
        <v>25</v>
      </c>
      <c r="F43" s="17" t="s">
        <v>25</v>
      </c>
      <c r="G43" s="18" t="s">
        <v>474</v>
      </c>
      <c r="H43" s="18" t="s">
        <v>467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-8.2473988921045335E-2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-3.108532981318644</v>
      </c>
      <c r="R43" s="13">
        <f>'TUSD BE'!$R$43*'TUSD BE'!$R$58</f>
        <v>-0.48204295509036404</v>
      </c>
      <c r="S43" s="13">
        <f>'TUSD BE'!$R$43*'TUSD BE'!$S$58</f>
        <v>0</v>
      </c>
      <c r="T43" s="13">
        <f ca="1">SUM($L$43:$S$43)</f>
        <v>-3.6730499253300533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3.821596429587514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3.821596429587514</v>
      </c>
      <c r="AC43" s="13">
        <f>'TUSD BE'!$AC$43*'TUSD BE'!$AC$58</f>
        <v>-1.8037796806478958</v>
      </c>
      <c r="AD43" s="13">
        <f>SUM($AC$43:$AC$43)</f>
        <v>-1.8037796806478958</v>
      </c>
      <c r="AE43" s="13">
        <f ca="1">$AO$43*$AO$55</f>
        <v>-7.7228801788559664</v>
      </c>
      <c r="AF43" s="13">
        <f ca="1">$AP$43*$AP$55</f>
        <v>0</v>
      </c>
      <c r="AG43" s="13">
        <f ca="1">SUM($AE$43:$AF$43)</f>
        <v>-7.7228801788559664</v>
      </c>
      <c r="AH43" s="13">
        <f>'TUSD BE'!$AH$43*'TUSD BE'!$AH$58</f>
        <v>-11.379269784586951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-11.379269784586951</v>
      </c>
      <c r="AM43" s="13">
        <f ca="1">SUMIF($L$4:$AL$4,"SUBTOTAL",$L$43:$AL$43)</f>
        <v>-20.757383139833351</v>
      </c>
      <c r="AO43" s="20">
        <f ca="1">+'TUSD BE'!$T$43+'TUSD BE'!$AB$43+'TUSD BE'!$AD$43+'TUSD BE'!$AL$43</f>
        <v>700.00333704981676</v>
      </c>
      <c r="AP43" s="20">
        <f ca="1">+'TUSD BE'!$T$43+'TUSD BE'!$AB$43+'TUSD BE'!$AD$43+'TUSD BE'!$AL$43</f>
        <v>700.00333704981676</v>
      </c>
    </row>
    <row r="44" spans="1:42" ht="11.25" customHeight="1" x14ac:dyDescent="0.3">
      <c r="A44" s="90"/>
      <c r="B44" s="90"/>
      <c r="C44" s="90"/>
      <c r="D44" s="17" t="s">
        <v>485</v>
      </c>
      <c r="E44" s="17" t="s">
        <v>25</v>
      </c>
      <c r="F44" s="17" t="s">
        <v>25</v>
      </c>
      <c r="G44" s="18" t="s">
        <v>474</v>
      </c>
      <c r="H44" s="18" t="s">
        <v>467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-8.2473988921045335E-2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-3.108532981318644</v>
      </c>
      <c r="R44" s="13">
        <f>'TUSD BE'!$R$44*'TUSD BE'!$R$58</f>
        <v>-0.48204295509036404</v>
      </c>
      <c r="S44" s="13">
        <f>'TUSD BE'!$R$44*'TUSD BE'!$S$58</f>
        <v>0</v>
      </c>
      <c r="T44" s="13">
        <f ca="1">SUM($L$44:$S$44)</f>
        <v>-3.6730499253300533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3.821596429587514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3.821596429587514</v>
      </c>
      <c r="AC44" s="13">
        <f>'TUSD BE'!$AC$44*'TUSD BE'!$AC$58</f>
        <v>-1.8037796806478958</v>
      </c>
      <c r="AD44" s="13">
        <f>SUM($AC$44:$AC$44)</f>
        <v>-1.8037796806478958</v>
      </c>
      <c r="AE44" s="13">
        <f ca="1">$AO$44*$AO$55</f>
        <v>-7.7228801788559664</v>
      </c>
      <c r="AF44" s="13">
        <f ca="1">$AP$44*$AP$55</f>
        <v>0</v>
      </c>
      <c r="AG44" s="13">
        <f ca="1">SUM($AE$44:$AF$44)</f>
        <v>-7.7228801788559664</v>
      </c>
      <c r="AH44" s="13">
        <f>'TUSD BE'!$AH$44*'TUSD BE'!$AH$58</f>
        <v>-11.379269784586951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-11.379269784586951</v>
      </c>
      <c r="AM44" s="13">
        <f ca="1">SUMIF($L$4:$AL$4,"SUBTOTAL",$L$44:$AL$44)</f>
        <v>-20.757383139833351</v>
      </c>
      <c r="AO44" s="20">
        <f ca="1">+'TUSD BE'!$T$44+'TUSD BE'!$AB$44+'TUSD BE'!$AD$44+'TUSD BE'!$AL$44</f>
        <v>700.00333704981676</v>
      </c>
      <c r="AP44" s="20">
        <f ca="1">+'TUSD BE'!$T$44+'TUSD BE'!$AB$44+'TUSD BE'!$AD$44+'TUSD BE'!$AL$44</f>
        <v>700.00333704981676</v>
      </c>
    </row>
    <row r="45" spans="1:42" ht="11.25" customHeight="1" x14ac:dyDescent="0.3">
      <c r="A45" s="90" t="s">
        <v>37</v>
      </c>
      <c r="B45" s="90" t="s">
        <v>33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468</v>
      </c>
      <c r="H45" s="18" t="s">
        <v>467</v>
      </c>
      <c r="I45" s="18">
        <f>'MERCADO TUSD'!$U$42</f>
        <v>3.0390000000000001</v>
      </c>
      <c r="J45" s="15"/>
      <c r="L45" s="13">
        <f>'TUSD BE'!$L$45*'TUSD BE'!$L$58</f>
        <v>0</v>
      </c>
      <c r="M45" s="13">
        <f>'TUSD BE'!$M$45*'TUSD BE'!$M$58</f>
        <v>-8.2473988921045335E-2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-3.108532981318644</v>
      </c>
      <c r="R45" s="13">
        <f>'TUSD BE'!$R$45*'TUSD BE'!$R$58</f>
        <v>-0.48204295509036404</v>
      </c>
      <c r="S45" s="13">
        <f>'TUSD BE'!$R$45*'TUSD BE'!$S$58</f>
        <v>0</v>
      </c>
      <c r="T45" s="13">
        <f ca="1">SUM($L$45:$S$45)</f>
        <v>-3.6730499253300533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13.187805482188814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13.187805482188814</v>
      </c>
      <c r="AC45" s="13">
        <f>'TUSD BE'!$AC$45*'TUSD BE'!$AC$58</f>
        <v>-6.2230369399099494</v>
      </c>
      <c r="AD45" s="13">
        <f>SUM($AC$45:$AC$45)</f>
        <v>-6.2230369399099494</v>
      </c>
      <c r="AE45" s="13">
        <f ca="1">$AO$45*$AO$55</f>
        <v>-23.203235984441797</v>
      </c>
      <c r="AF45" s="13">
        <f ca="1">$AP$45*$AP$55</f>
        <v>0</v>
      </c>
      <c r="AG45" s="13">
        <f ca="1">SUM($AE$45:$AF$45)</f>
        <v>-23.203235984441797</v>
      </c>
      <c r="AH45" s="13">
        <f>'TUSD BE'!$AH$45*'TUSD BE'!$AH$58</f>
        <v>-11.379269784586951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-11.379269784586951</v>
      </c>
      <c r="AM45" s="13">
        <f ca="1">SUMIF($L$4:$AL$4,"SUBTOTAL",$L$45:$AL$45)</f>
        <v>-31.290787152079936</v>
      </c>
      <c r="AO45" s="20">
        <f ca="1">+'TUSD BE'!$T$45+'TUSD BE'!$AB$45+'TUSD BE'!$AD$45+'TUSD BE'!$AL$45</f>
        <v>2103.1457491639753</v>
      </c>
      <c r="AP45" s="20">
        <f ca="1">+'TUSD BE'!$T$45+'TUSD BE'!$AB$45+'TUSD BE'!$AD$45+'TUSD BE'!$AL$45</f>
        <v>2103.1457491639753</v>
      </c>
    </row>
    <row r="46" spans="1:42" ht="11.25" customHeight="1" x14ac:dyDescent="0.3">
      <c r="A46" s="90"/>
      <c r="B46" s="90"/>
      <c r="C46" s="90"/>
      <c r="D46" s="90"/>
      <c r="E46" s="90"/>
      <c r="F46" s="90"/>
      <c r="G46" s="18" t="s">
        <v>480</v>
      </c>
      <c r="H46" s="18" t="s">
        <v>467</v>
      </c>
      <c r="I46" s="18">
        <f>'MERCADO TUSD'!$U$43</f>
        <v>5.1750000000000007</v>
      </c>
      <c r="J46" s="15"/>
      <c r="L46" s="13">
        <f>'TUSD BE'!$L$46*'TUSD BE'!$L$58</f>
        <v>0</v>
      </c>
      <c r="M46" s="13">
        <f>'TUSD BE'!$M$46*'TUSD BE'!$M$58</f>
        <v>-8.2473988921045335E-2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-3.108532981318644</v>
      </c>
      <c r="R46" s="13">
        <f>'TUSD BE'!$R$46*'TUSD BE'!$R$58</f>
        <v>-0.48204295509036404</v>
      </c>
      <c r="S46" s="13">
        <f>'TUSD BE'!$R$46*'TUSD BE'!$S$58</f>
        <v>0</v>
      </c>
      <c r="T46" s="13">
        <f ca="1">SUM($L$46:$S$46)</f>
        <v>-3.6730499253300533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7.9111711187962106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7.9111711187962106</v>
      </c>
      <c r="AC46" s="13">
        <f>'TUSD BE'!$AC$46*'TUSD BE'!$AC$58</f>
        <v>-3.7338220714983041</v>
      </c>
      <c r="AD46" s="13">
        <f>SUM($AC$46:$AC$46)</f>
        <v>-3.7338220714983041</v>
      </c>
      <c r="AE46" s="13">
        <f ca="1">$AO$46*$AO$55</f>
        <v>-14.48330324594648</v>
      </c>
      <c r="AF46" s="13">
        <f ca="1">$AP$46*$AP$55</f>
        <v>0</v>
      </c>
      <c r="AG46" s="13">
        <f ca="1">SUM($AE$46:$AF$46)</f>
        <v>-14.48330324594648</v>
      </c>
      <c r="AH46" s="13">
        <f>'TUSD BE'!$AH$46*'TUSD BE'!$AH$58</f>
        <v>-11.379269784586951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-11.379269784586951</v>
      </c>
      <c r="AM46" s="13">
        <f ca="1">SUMIF($L$4:$AL$4,"SUBTOTAL",$L$46:$AL$46)</f>
        <v>-25.358273908565579</v>
      </c>
      <c r="AO46" s="20">
        <f ca="1">+'TUSD BE'!$T$46+'TUSD BE'!$AB$46+'TUSD BE'!$AD$46+'TUSD BE'!$AL$46</f>
        <v>1312.7693773398451</v>
      </c>
      <c r="AP46" s="20">
        <f ca="1">+'TUSD BE'!$T$46+'TUSD BE'!$AB$46+'TUSD BE'!$AD$46+'TUSD BE'!$AL$46</f>
        <v>1312.7693773398451</v>
      </c>
    </row>
    <row r="47" spans="1:42" ht="11.25" customHeight="1" x14ac:dyDescent="0.3">
      <c r="A47" s="90"/>
      <c r="B47" s="90"/>
      <c r="C47" s="90"/>
      <c r="D47" s="90"/>
      <c r="E47" s="90"/>
      <c r="F47" s="90"/>
      <c r="G47" s="18" t="s">
        <v>469</v>
      </c>
      <c r="H47" s="18" t="s">
        <v>467</v>
      </c>
      <c r="I47" s="18">
        <f>'MERCADO TUSD'!$U$44</f>
        <v>190.53300000000002</v>
      </c>
      <c r="J47" s="15"/>
      <c r="L47" s="13">
        <f>'TUSD BE'!$L$47*'TUSD BE'!$L$58</f>
        <v>0</v>
      </c>
      <c r="M47" s="13">
        <f>'TUSD BE'!$M$47*'TUSD BE'!$M$58</f>
        <v>-8.2473988921045335E-2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-3.108532981318644</v>
      </c>
      <c r="R47" s="13">
        <f>'TUSD BE'!$R$47*'TUSD BE'!$R$58</f>
        <v>-0.48204295509036404</v>
      </c>
      <c r="S47" s="13">
        <f>'TUSD BE'!$R$47*'TUSD BE'!$S$58</f>
        <v>0</v>
      </c>
      <c r="T47" s="13">
        <f ca="1">SUM($L$47:$S$47)</f>
        <v>-3.6730499253300533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2.6364276958347359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2.6364276958347359</v>
      </c>
      <c r="AC47" s="13">
        <f>'TUSD BE'!$AC$47*'TUSD BE'!$AC$58</f>
        <v>-1.2446081275633127</v>
      </c>
      <c r="AD47" s="13">
        <f>SUM($AC$47:$AC$47)</f>
        <v>-1.2446081275633127</v>
      </c>
      <c r="AE47" s="13">
        <f ca="1">$AO$47*$AO$55</f>
        <v>-5.7641183781351106</v>
      </c>
      <c r="AF47" s="13">
        <f ca="1">$AP$47*$AP$55</f>
        <v>0</v>
      </c>
      <c r="AG47" s="13">
        <f ca="1">SUM($AE$47:$AF$47)</f>
        <v>-5.7641183781351106</v>
      </c>
      <c r="AH47" s="13">
        <f>'TUSD BE'!$AH$47*'TUSD BE'!$AH$58</f>
        <v>-11.379269784586951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-11.379269784586951</v>
      </c>
      <c r="AM47" s="13">
        <f ca="1">SUMIF($L$4:$AL$4,"SUBTOTAL",$L$47:$AL$47)</f>
        <v>-19.424618519780694</v>
      </c>
      <c r="AO47" s="20">
        <f ca="1">+'TUSD BE'!$T$47+'TUSD BE'!$AB$47+'TUSD BE'!$AD$47+'TUSD BE'!$AL$47</f>
        <v>522.46079265759988</v>
      </c>
      <c r="AP47" s="20">
        <f ca="1">+'TUSD BE'!$T$47+'TUSD BE'!$AB$47+'TUSD BE'!$AD$47+'TUSD BE'!$AL$47</f>
        <v>522.46079265759988</v>
      </c>
    </row>
    <row r="48" spans="1:42" ht="11.25" customHeight="1" x14ac:dyDescent="0.3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474</v>
      </c>
      <c r="H48" s="18" t="s">
        <v>467</v>
      </c>
      <c r="I48" s="18">
        <f>'MERCADO TUSD'!$U$45</f>
        <v>13839.034999999998</v>
      </c>
      <c r="J48" s="15"/>
      <c r="L48" s="13">
        <f>'TUSD BE'!$L$48*'TUSD BE'!$L$58</f>
        <v>0</v>
      </c>
      <c r="M48" s="13">
        <f>'TUSD BE'!$M$48*'TUSD BE'!$M$58</f>
        <v>-8.2473988921045335E-2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-3.108532981318644</v>
      </c>
      <c r="R48" s="13">
        <f>'TUSD BE'!$R$48*'TUSD BE'!$R$58</f>
        <v>-0.48204295509036404</v>
      </c>
      <c r="S48" s="13">
        <f>'TUSD BE'!$R$48*'TUSD BE'!$S$58</f>
        <v>0</v>
      </c>
      <c r="T48" s="13">
        <f ca="1">SUM($L$48:$S$48)</f>
        <v>-3.6730499253300533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3.821596429587514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3.821596429587514</v>
      </c>
      <c r="AC48" s="13">
        <f>'TUSD BE'!$AC$48*'TUSD BE'!$AC$58</f>
        <v>-1.8037796806478958</v>
      </c>
      <c r="AD48" s="13">
        <f>SUM($AC$48:$AC$48)</f>
        <v>-1.8037796806478958</v>
      </c>
      <c r="AE48" s="13">
        <f ca="1">$AO$48*$AO$55</f>
        <v>-7.7228801788559664</v>
      </c>
      <c r="AF48" s="13">
        <f ca="1">$AP$48*$AP$55</f>
        <v>0</v>
      </c>
      <c r="AG48" s="13">
        <f ca="1">SUM($AE$48:$AF$48)</f>
        <v>-7.7228801788559664</v>
      </c>
      <c r="AH48" s="13">
        <f>'TUSD BE'!$AH$48*'TUSD BE'!$AH$58</f>
        <v>-11.379269784586951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-11.379269784586951</v>
      </c>
      <c r="AM48" s="13">
        <f ca="1">SUMIF($L$4:$AL$4,"SUBTOTAL",$L$48:$AL$48)</f>
        <v>-20.757383139833351</v>
      </c>
      <c r="AO48" s="20">
        <f ca="1">+'TUSD BE'!$T$48+'TUSD BE'!$AB$48+'TUSD BE'!$AD$48+'TUSD BE'!$AL$48</f>
        <v>700.00333704981676</v>
      </c>
      <c r="AP48" s="20">
        <f ca="1">+'TUSD BE'!$T$48+'TUSD BE'!$AB$48+'TUSD BE'!$AD$48+'TUSD BE'!$AL$48</f>
        <v>700.00333704981676</v>
      </c>
    </row>
    <row r="49" spans="1:42" ht="11.25" customHeight="1" x14ac:dyDescent="0.3">
      <c r="A49" s="90"/>
      <c r="B49" s="17" t="s">
        <v>483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474</v>
      </c>
      <c r="H49" s="18" t="s">
        <v>467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-8.2473988921045335E-2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-3.108532981318644</v>
      </c>
      <c r="R49" s="13">
        <f>'TUSD BE'!$R$49*'TUSD BE'!$R$58</f>
        <v>-0.48204295509036404</v>
      </c>
      <c r="S49" s="13">
        <f>'TUSD BE'!$R$49*'TUSD BE'!$S$58</f>
        <v>0</v>
      </c>
      <c r="T49" s="13">
        <f ca="1">SUM($L$49:$S$49)</f>
        <v>-3.6730499253300533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3.821596429587514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3.821596429587514</v>
      </c>
      <c r="AC49" s="13">
        <f>'TUSD BE'!$AC$49*'TUSD BE'!$AC$58</f>
        <v>-1.8037796806478958</v>
      </c>
      <c r="AD49" s="13">
        <f>SUM($AC$49:$AC$49)</f>
        <v>-1.8037796806478958</v>
      </c>
      <c r="AE49" s="13">
        <f ca="1">$AO$49*$AO$55</f>
        <v>-7.7228801788559664</v>
      </c>
      <c r="AF49" s="13">
        <f ca="1">$AP$49*$AP$55</f>
        <v>0</v>
      </c>
      <c r="AG49" s="13">
        <f ca="1">SUM($AE$49:$AF$49)</f>
        <v>-7.7228801788559664</v>
      </c>
      <c r="AH49" s="13">
        <f>'TUSD BE'!$AH$49*'TUSD BE'!$AH$58</f>
        <v>-11.379269784586951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-11.379269784586951</v>
      </c>
      <c r="AM49" s="13">
        <f ca="1">SUMIF($L$4:$AL$4,"SUBTOTAL",$L$49:$AL$49)</f>
        <v>-20.757383139833351</v>
      </c>
      <c r="AO49" s="20">
        <f ca="1">+'TUSD BE'!$T$49+'TUSD BE'!$AB$49+'TUSD BE'!$AD$49+'TUSD BE'!$AL$49</f>
        <v>700.00333704981676</v>
      </c>
      <c r="AP49" s="20">
        <f ca="1">+'TUSD BE'!$T$49+'TUSD BE'!$AB$49+'TUSD BE'!$AD$49+'TUSD BE'!$AL$49</f>
        <v>700.00333704981676</v>
      </c>
    </row>
    <row r="50" spans="1:42" ht="11.25" customHeight="1" x14ac:dyDescent="0.3">
      <c r="A50" s="90" t="s">
        <v>45</v>
      </c>
      <c r="B50" s="90" t="s">
        <v>23</v>
      </c>
      <c r="C50" s="90" t="s">
        <v>46</v>
      </c>
      <c r="D50" s="17" t="s">
        <v>486</v>
      </c>
      <c r="E50" s="17" t="s">
        <v>25</v>
      </c>
      <c r="F50" s="17" t="s">
        <v>25</v>
      </c>
      <c r="G50" s="18" t="s">
        <v>474</v>
      </c>
      <c r="H50" s="18" t="s">
        <v>467</v>
      </c>
      <c r="I50" s="18">
        <f>'MERCADO TUSD'!$U$47</f>
        <v>0</v>
      </c>
      <c r="J50" s="15"/>
      <c r="L50" s="13">
        <f>'TUSD BE'!$L$50*'TUSD BE'!$L$58</f>
        <v>0</v>
      </c>
      <c r="M50" s="13">
        <f>'TUSD BE'!$M$50*'TUSD BE'!$M$58</f>
        <v>-4.5360693906574934E-2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-1.7096931397252544</v>
      </c>
      <c r="R50" s="13">
        <f>'TUSD BE'!$R$50*'TUSD BE'!$R$58</f>
        <v>-0.26512362529970024</v>
      </c>
      <c r="S50" s="13">
        <f>'TUSD BE'!$R$50*'TUSD BE'!$S$58</f>
        <v>0</v>
      </c>
      <c r="T50" s="13">
        <f ca="1">SUM($L$50:$S$50)</f>
        <v>-2.0201774589315296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2.1018780362731335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2.1018780362731335</v>
      </c>
      <c r="AC50" s="13">
        <f>'TUSD BE'!$AC$50*'TUSD BE'!$AC$58</f>
        <v>-0.99207882435634287</v>
      </c>
      <c r="AD50" s="13">
        <f>SUM($AC$50:$AC$50)</f>
        <v>-0.99207882435634287</v>
      </c>
      <c r="AE50" s="13">
        <f ca="1">$AO$50*$AO$55</f>
        <v>-4.2475840983707833</v>
      </c>
      <c r="AF50" s="13">
        <f ca="1">$AP$50*$AP$55</f>
        <v>0</v>
      </c>
      <c r="AG50" s="13">
        <f ca="1">SUM($AE$50:$AF$50)</f>
        <v>-4.2475840983707833</v>
      </c>
      <c r="AH50" s="13">
        <f>'TUSD BE'!$AH$50*'TUSD BE'!$AH$58</f>
        <v>-6.2585983815228232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-6.2585983815228232</v>
      </c>
      <c r="AM50" s="13">
        <f ca="1">SUMIF($L$4:$AL$4,"SUBTOTAL",$L$50:$AL$50)</f>
        <v>-11.416560726908346</v>
      </c>
      <c r="AO50" s="20">
        <f ca="1">+'TUSD BE'!$T$50+'TUSD BE'!$AB$50+'TUSD BE'!$AD$50+'TUSD BE'!$AL$50</f>
        <v>385.00183537739935</v>
      </c>
      <c r="AP50" s="20">
        <f ca="1">+'TUSD BE'!$T$50+'TUSD BE'!$AB$50+'TUSD BE'!$AD$50+'TUSD BE'!$AL$50</f>
        <v>385.00183537739935</v>
      </c>
    </row>
    <row r="51" spans="1:42" ht="11.25" customHeight="1" x14ac:dyDescent="0.3">
      <c r="A51" s="90"/>
      <c r="B51" s="90"/>
      <c r="C51" s="90"/>
      <c r="D51" s="18" t="s">
        <v>47</v>
      </c>
      <c r="E51" s="18" t="s">
        <v>25</v>
      </c>
      <c r="F51" s="18" t="s">
        <v>25</v>
      </c>
      <c r="G51" s="18" t="s">
        <v>474</v>
      </c>
      <c r="H51" s="18" t="s">
        <v>467</v>
      </c>
      <c r="I51" s="18">
        <f>'MERCADO TUSD'!$U$48</f>
        <v>3807.3310000000001</v>
      </c>
      <c r="J51" s="15"/>
      <c r="L51" s="13">
        <f>'TUSD BE'!$L$51*'TUSD BE'!$L$58</f>
        <v>0</v>
      </c>
      <c r="M51" s="13">
        <f>'TUSD BE'!$M$51*'TUSD BE'!$M$58</f>
        <v>-4.94843933526272E-2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-1.8651197887911863</v>
      </c>
      <c r="R51" s="13">
        <f>'TUSD BE'!$R$51*'TUSD BE'!$R$58</f>
        <v>-0.28922577305421843</v>
      </c>
      <c r="S51" s="13">
        <f>'TUSD BE'!$R$51*'TUSD BE'!$S$58</f>
        <v>0</v>
      </c>
      <c r="T51" s="13">
        <f ca="1">SUM($L$51:$S$51)</f>
        <v>-2.203829955198032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2.2929578577525085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2.2929578577525085</v>
      </c>
      <c r="AC51" s="13">
        <f>'TUSD BE'!$AC$51*'TUSD BE'!$AC$58</f>
        <v>-1.0822678083887376</v>
      </c>
      <c r="AD51" s="13">
        <f>SUM($AC$51:$AC$51)</f>
        <v>-1.0822678083887376</v>
      </c>
      <c r="AE51" s="13">
        <f ca="1">$AO$51*$AO$55</f>
        <v>-4.6337281073135808</v>
      </c>
      <c r="AF51" s="13">
        <f ca="1">$AP$51*$AP$55</f>
        <v>0</v>
      </c>
      <c r="AG51" s="13">
        <f ca="1">SUM($AE$51:$AF$51)</f>
        <v>-4.6337281073135808</v>
      </c>
      <c r="AH51" s="13">
        <f>'TUSD BE'!$AH$51*'TUSD BE'!$AH$58</f>
        <v>-6.827561870752171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-6.827561870752171</v>
      </c>
      <c r="AM51" s="13">
        <f ca="1">SUMIF($L$4:$AL$4,"SUBTOTAL",$L$51:$AL$51)</f>
        <v>-12.454429883900012</v>
      </c>
      <c r="AO51" s="20">
        <f ca="1">+'TUSD BE'!$T$51+'TUSD BE'!$AB$51+'TUSD BE'!$AD$51+'TUSD BE'!$AL$51</f>
        <v>420.00200222989008</v>
      </c>
      <c r="AP51" s="20">
        <f ca="1">+'TUSD BE'!$T$51+'TUSD BE'!$AB$51+'TUSD BE'!$AD$51+'TUSD BE'!$AL$51</f>
        <v>420.00200222989008</v>
      </c>
    </row>
    <row r="53" spans="1:42" ht="11.25" customHeight="1" x14ac:dyDescent="0.3">
      <c r="K53" s="16" t="s">
        <v>602</v>
      </c>
      <c r="L53" s="13">
        <f>SUMPRODUCT($I$5:$I51,$L$5:$L51)</f>
        <v>0</v>
      </c>
      <c r="M53" s="13">
        <f>SUMPRODUCT($I$5:$I51,$M$5:$M51)</f>
        <v>-4434.423121813832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-175355.27085440274</v>
      </c>
      <c r="R53" s="13">
        <f>SUMPRODUCT($I$5:$I51,$R$5:$R51)</f>
        <v>-28095.056381815808</v>
      </c>
      <c r="S53" s="13">
        <f>SUMPRODUCT($I$5:$I51,$S$5:$S51)</f>
        <v>0</v>
      </c>
      <c r="T53" s="13">
        <f ca="1">SUMPRODUCT($I$5:$I51,$T$5:$T51)</f>
        <v>-207884.75035803238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221553.17760410844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221553.17760410844</v>
      </c>
      <c r="AC53" s="13">
        <f>SUMPRODUCT($I$5:$I51,$AC$5:$AC51)</f>
        <v>-96886.197785623386</v>
      </c>
      <c r="AD53" s="13">
        <f>SUMPRODUCT($I$5:$I51,$AD$5:$AD51)</f>
        <v>-96886.197785623386</v>
      </c>
      <c r="AE53" s="13">
        <f ca="1">SUMPRODUCT($I$5:$I51,$AE$5:$AE51)</f>
        <v>-424264.20941657794</v>
      </c>
      <c r="AF53" s="13">
        <f ca="1">SUMPRODUCT($I$5:$I51,$AF$5:$AF51)</f>
        <v>0</v>
      </c>
      <c r="AG53" s="13">
        <f ca="1">SUMPRODUCT($I$5:$I51,$AG$5:$AG51)</f>
        <v>-424264.20941657794</v>
      </c>
      <c r="AH53" s="13">
        <f>SUMPRODUCT($I$5:$I51,$AH$5:$AH51)</f>
        <v>-587739.9660082187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-587739.9660082187</v>
      </c>
      <c r="AM53" s="13">
        <f ca="1">SUMPRODUCT($I$5:$I51,$AM$5:$AM51)</f>
        <v>-1095221.9459643438</v>
      </c>
      <c r="AO53" s="18">
        <f ca="1">SUMPRODUCT($I$5:$I51,$AO$5:$AO51)</f>
        <v>38455389.11706917</v>
      </c>
      <c r="AP53" s="18">
        <f ca="1">SUMPRODUCT($I$5:$I51,$AP$5:$AP51)</f>
        <v>38455389.11706917</v>
      </c>
    </row>
    <row r="54" spans="1:42" ht="11.25" customHeight="1" x14ac:dyDescent="0.3">
      <c r="K54" s="16" t="s">
        <v>534</v>
      </c>
      <c r="L54" s="13">
        <f>'TR TUSD'!$L$56</f>
        <v>0</v>
      </c>
      <c r="M54" s="13">
        <f>'TR TUSD'!$M$56</f>
        <v>101171.40779676361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5176461.8090699986</v>
      </c>
      <c r="R54" s="13">
        <f>'TR TUSD'!$R$56</f>
        <v>845062.12880999979</v>
      </c>
      <c r="S54" s="13">
        <f>'TR TUSD'!$S$56</f>
        <v>0</v>
      </c>
      <c r="T54" s="13">
        <f>'TR TUSD'!$T$56</f>
        <v>6122695.3456767621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7916132.6110183997</v>
      </c>
      <c r="Z54" s="13">
        <f>'TR TUSD'!$Z$56</f>
        <v>0</v>
      </c>
      <c r="AA54" s="13">
        <f>'TR TUSD'!$AA$56</f>
        <v>0</v>
      </c>
      <c r="AB54" s="13">
        <f>'TR TUSD'!$AB$56</f>
        <v>7916132.6110183997</v>
      </c>
      <c r="AC54" s="13">
        <f>'TR TUSD'!$AC$56</f>
        <v>23425104.43</v>
      </c>
      <c r="AD54" s="13">
        <f>'TR TUSD'!$AD$56</f>
        <v>23425104.43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991456.7303740012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991456.7303740012</v>
      </c>
      <c r="AM54" s="13">
        <f>'TUSD BE'!$AM$54</f>
        <v>38455389.117069162</v>
      </c>
      <c r="AO54" s="18">
        <f>$AE$55</f>
        <v>-424264.20941657806</v>
      </c>
      <c r="AP54" s="18">
        <f>$AF$55</f>
        <v>0</v>
      </c>
    </row>
    <row r="55" spans="1:42" ht="11.25" customHeight="1" x14ac:dyDescent="0.3">
      <c r="K55" s="16" t="s">
        <v>535</v>
      </c>
      <c r="L55" s="13">
        <f>CUSTOS!$E$2</f>
        <v>0</v>
      </c>
      <c r="M55" s="13">
        <f>CUSTOS!$E$3</f>
        <v>-4434.423121813832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-175355.2708544028</v>
      </c>
      <c r="R55" s="13">
        <f>CUSTOS!$E$8</f>
        <v>-28095.056381815815</v>
      </c>
      <c r="S55" s="13">
        <f>CUSTOS!$E$9</f>
        <v>0</v>
      </c>
      <c r="T55" s="13">
        <f>CUSTOS!$E$10</f>
        <v>-207884.75035803244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221553.17760410844</v>
      </c>
      <c r="Z55" s="13">
        <f>CUSTOS!$E$16</f>
        <v>0</v>
      </c>
      <c r="AA55" s="13">
        <f>CUSTOS!$E$17</f>
        <v>0</v>
      </c>
      <c r="AB55" s="13">
        <f>CUSTOS!$E$18</f>
        <v>221553.17760410844</v>
      </c>
      <c r="AC55" s="13">
        <f>CUSTOS!$E$19</f>
        <v>-96886.197785623372</v>
      </c>
      <c r="AD55" s="13">
        <f>CUSTOS!$E$20</f>
        <v>-96886.197785623372</v>
      </c>
      <c r="AE55" s="13">
        <f>CUSTOS!$E$21</f>
        <v>-424264.20941657806</v>
      </c>
      <c r="AF55" s="13">
        <f>CUSTOS!$E$22</f>
        <v>0</v>
      </c>
      <c r="AG55" s="13">
        <f>CUSTOS!$E$23</f>
        <v>-424264.20941657806</v>
      </c>
      <c r="AH55" s="13">
        <f>CUSTOS!$E$24</f>
        <v>-587739.9660082187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-587739.9660082187</v>
      </c>
      <c r="AM55" s="13">
        <f>CUSTOS!$E$29</f>
        <v>-1095221.9459643441</v>
      </c>
      <c r="AO55" s="18">
        <f ca="1">IF(AO53&lt;&gt;0,AO54/AO53,0)</f>
        <v>-1.1032633374869693E-2</v>
      </c>
      <c r="AP55" s="18">
        <f ca="1">IF(AP53&lt;&gt;0,AP54/AP53,0)</f>
        <v>0</v>
      </c>
    </row>
    <row r="56" spans="1:42" ht="11.25" customHeight="1" x14ac:dyDescent="0.3">
      <c r="K56" s="16" t="s">
        <v>536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599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3">
      <c r="K58" s="16" t="s">
        <v>611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0.38737738134256711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58" priority="55" operator="notEqual">
      <formula>$L$55</formula>
    </cfRule>
    <cfRule type="cellIs" dxfId="857" priority="56" operator="equal">
      <formula>$L$55</formula>
    </cfRule>
  </conditionalFormatting>
  <conditionalFormatting sqref="M53">
    <cfRule type="cellIs" dxfId="856" priority="53" operator="notEqual">
      <formula>$M$55</formula>
    </cfRule>
    <cfRule type="cellIs" dxfId="855" priority="54" operator="equal">
      <formula>$M$55</formula>
    </cfRule>
  </conditionalFormatting>
  <conditionalFormatting sqref="N53">
    <cfRule type="cellIs" dxfId="854" priority="51" operator="notEqual">
      <formula>$N$55</formula>
    </cfRule>
    <cfRule type="cellIs" dxfId="853" priority="52" operator="equal">
      <formula>$N$55</formula>
    </cfRule>
  </conditionalFormatting>
  <conditionalFormatting sqref="O53">
    <cfRule type="cellIs" dxfId="852" priority="49" operator="notEqual">
      <formula>$O$55</formula>
    </cfRule>
    <cfRule type="cellIs" dxfId="851" priority="50" operator="equal">
      <formula>$O$55</formula>
    </cfRule>
  </conditionalFormatting>
  <conditionalFormatting sqref="P53">
    <cfRule type="cellIs" dxfId="850" priority="47" operator="notEqual">
      <formula>$P$55</formula>
    </cfRule>
    <cfRule type="cellIs" dxfId="849" priority="48" operator="equal">
      <formula>$P$55</formula>
    </cfRule>
  </conditionalFormatting>
  <conditionalFormatting sqref="Q53">
    <cfRule type="cellIs" dxfId="848" priority="45" operator="notEqual">
      <formula>$Q$55</formula>
    </cfRule>
    <cfRule type="cellIs" dxfId="847" priority="46" operator="equal">
      <formula>$Q$55</formula>
    </cfRule>
  </conditionalFormatting>
  <conditionalFormatting sqref="R53">
    <cfRule type="cellIs" dxfId="846" priority="43" operator="notEqual">
      <formula>$R$55</formula>
    </cfRule>
    <cfRule type="cellIs" dxfId="845" priority="44" operator="equal">
      <formula>$R$55</formula>
    </cfRule>
  </conditionalFormatting>
  <conditionalFormatting sqref="S53">
    <cfRule type="cellIs" dxfId="844" priority="41" operator="notEqual">
      <formula>$S$55</formula>
    </cfRule>
    <cfRule type="cellIs" dxfId="843" priority="42" operator="equal">
      <formula>$S$55</formula>
    </cfRule>
  </conditionalFormatting>
  <conditionalFormatting sqref="T53">
    <cfRule type="cellIs" dxfId="842" priority="39" operator="notEqual">
      <formula>$T$55</formula>
    </cfRule>
    <cfRule type="cellIs" dxfId="841" priority="40" operator="equal">
      <formula>$T$55</formula>
    </cfRule>
  </conditionalFormatting>
  <conditionalFormatting sqref="U53">
    <cfRule type="cellIs" dxfId="840" priority="37" operator="notEqual">
      <formula>$U$55</formula>
    </cfRule>
    <cfRule type="cellIs" dxfId="839" priority="38" operator="equal">
      <formula>$U$55</formula>
    </cfRule>
  </conditionalFormatting>
  <conditionalFormatting sqref="V53">
    <cfRule type="cellIs" dxfId="838" priority="35" operator="notEqual">
      <formula>$V$55</formula>
    </cfRule>
    <cfRule type="cellIs" dxfId="837" priority="36" operator="equal">
      <formula>$V$55</formula>
    </cfRule>
  </conditionalFormatting>
  <conditionalFormatting sqref="W53">
    <cfRule type="cellIs" dxfId="836" priority="33" operator="notEqual">
      <formula>$W$55</formula>
    </cfRule>
    <cfRule type="cellIs" dxfId="835" priority="34" operator="equal">
      <formula>$W$55</formula>
    </cfRule>
  </conditionalFormatting>
  <conditionalFormatting sqref="X53">
    <cfRule type="cellIs" dxfId="834" priority="31" operator="notEqual">
      <formula>$X$55</formula>
    </cfRule>
    <cfRule type="cellIs" dxfId="833" priority="32" operator="equal">
      <formula>$X$55</formula>
    </cfRule>
  </conditionalFormatting>
  <conditionalFormatting sqref="Y53">
    <cfRule type="cellIs" dxfId="832" priority="29" operator="notEqual">
      <formula>$Y$55</formula>
    </cfRule>
    <cfRule type="cellIs" dxfId="831" priority="30" operator="equal">
      <formula>$Y$55</formula>
    </cfRule>
  </conditionalFormatting>
  <conditionalFormatting sqref="Z53">
    <cfRule type="cellIs" dxfId="830" priority="27" operator="notEqual">
      <formula>$Z$55</formula>
    </cfRule>
    <cfRule type="cellIs" dxfId="829" priority="28" operator="equal">
      <formula>$Z$55</formula>
    </cfRule>
  </conditionalFormatting>
  <conditionalFormatting sqref="AA53">
    <cfRule type="cellIs" dxfId="828" priority="25" operator="notEqual">
      <formula>$AA$55</formula>
    </cfRule>
    <cfRule type="cellIs" dxfId="827" priority="26" operator="equal">
      <formula>$AA$55</formula>
    </cfRule>
  </conditionalFormatting>
  <conditionalFormatting sqref="AB53">
    <cfRule type="cellIs" dxfId="826" priority="23" operator="notEqual">
      <formula>$AB$55</formula>
    </cfRule>
    <cfRule type="cellIs" dxfId="825" priority="24" operator="equal">
      <formula>$AB$55</formula>
    </cfRule>
  </conditionalFormatting>
  <conditionalFormatting sqref="AC53">
    <cfRule type="cellIs" dxfId="824" priority="21" operator="notEqual">
      <formula>$AC$55</formula>
    </cfRule>
    <cfRule type="cellIs" dxfId="823" priority="22" operator="equal">
      <formula>$AC$55</formula>
    </cfRule>
  </conditionalFormatting>
  <conditionalFormatting sqref="AD53">
    <cfRule type="cellIs" dxfId="822" priority="19" operator="notEqual">
      <formula>$AD$55</formula>
    </cfRule>
    <cfRule type="cellIs" dxfId="821" priority="20" operator="equal">
      <formula>$AD$55</formula>
    </cfRule>
  </conditionalFormatting>
  <conditionalFormatting sqref="AE53">
    <cfRule type="cellIs" dxfId="820" priority="17" operator="notEqual">
      <formula>$AE$55</formula>
    </cfRule>
    <cfRule type="cellIs" dxfId="819" priority="18" operator="equal">
      <formula>$AE$55</formula>
    </cfRule>
  </conditionalFormatting>
  <conditionalFormatting sqref="AF53">
    <cfRule type="cellIs" dxfId="818" priority="16" operator="equal">
      <formula>$AF$55</formula>
    </cfRule>
  </conditionalFormatting>
  <conditionalFormatting sqref="AF53">
    <cfRule type="cellIs" dxfId="817" priority="15" operator="notEqual">
      <formula>$AF$55</formula>
    </cfRule>
  </conditionalFormatting>
  <conditionalFormatting sqref="AG53">
    <cfRule type="cellIs" dxfId="816" priority="14" operator="equal">
      <formula>$AG$55</formula>
    </cfRule>
  </conditionalFormatting>
  <conditionalFormatting sqref="AG53">
    <cfRule type="cellIs" dxfId="815" priority="13" operator="notEqual">
      <formula>$AG$55</formula>
    </cfRule>
  </conditionalFormatting>
  <conditionalFormatting sqref="AH53">
    <cfRule type="cellIs" dxfId="814" priority="12" operator="equal">
      <formula>$AH$55</formula>
    </cfRule>
  </conditionalFormatting>
  <conditionalFormatting sqref="AH53">
    <cfRule type="cellIs" dxfId="813" priority="11" operator="notEqual">
      <formula>$AH$55</formula>
    </cfRule>
  </conditionalFormatting>
  <conditionalFormatting sqref="AI53">
    <cfRule type="cellIs" dxfId="812" priority="10" operator="equal">
      <formula>$AI$55</formula>
    </cfRule>
  </conditionalFormatting>
  <conditionalFormatting sqref="AI53">
    <cfRule type="cellIs" dxfId="811" priority="9" operator="notEqual">
      <formula>$AI$55</formula>
    </cfRule>
  </conditionalFormatting>
  <conditionalFormatting sqref="AJ53">
    <cfRule type="cellIs" dxfId="810" priority="8" operator="equal">
      <formula>$AJ$55</formula>
    </cfRule>
  </conditionalFormatting>
  <conditionalFormatting sqref="AJ53">
    <cfRule type="cellIs" dxfId="809" priority="7" operator="notEqual">
      <formula>$AJ$55</formula>
    </cfRule>
  </conditionalFormatting>
  <conditionalFormatting sqref="AK53">
    <cfRule type="cellIs" dxfId="808" priority="6" operator="equal">
      <formula>$AK$55</formula>
    </cfRule>
  </conditionalFormatting>
  <conditionalFormatting sqref="AK53">
    <cfRule type="cellIs" dxfId="807" priority="5" operator="notEqual">
      <formula>$AK$55</formula>
    </cfRule>
  </conditionalFormatting>
  <conditionalFormatting sqref="AL53">
    <cfRule type="cellIs" dxfId="806" priority="4" operator="equal">
      <formula>$AL$55</formula>
    </cfRule>
  </conditionalFormatting>
  <conditionalFormatting sqref="AL53">
    <cfRule type="cellIs" dxfId="805" priority="3" operator="notEqual">
      <formula>$AL$55</formula>
    </cfRule>
  </conditionalFormatting>
  <conditionalFormatting sqref="AM53">
    <cfRule type="cellIs" dxfId="804" priority="2" operator="equal">
      <formula>$AM$55</formula>
    </cfRule>
  </conditionalFormatting>
  <conditionalFormatting sqref="AM53">
    <cfRule type="cellIs" dxfId="803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EE12-F190-41CF-8D4A-8AE02C297EA6}">
  <dimension ref="A1:AP57"/>
  <sheetViews>
    <sheetView showGridLines="0" topLeftCell="Z36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77734375" style="9" bestFit="1" customWidth="1"/>
    <col min="15" max="16" width="4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7.886718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1" t="s">
        <v>457</v>
      </c>
      <c r="B1" s="91" t="s">
        <v>458</v>
      </c>
      <c r="C1" s="91" t="s">
        <v>459</v>
      </c>
      <c r="D1" s="91" t="s">
        <v>460</v>
      </c>
      <c r="E1" s="91" t="s">
        <v>461</v>
      </c>
      <c r="F1" s="91" t="s">
        <v>15</v>
      </c>
      <c r="G1" s="91" t="s">
        <v>463</v>
      </c>
      <c r="H1" s="91" t="s">
        <v>464</v>
      </c>
      <c r="I1" s="91" t="s">
        <v>593</v>
      </c>
      <c r="J1" s="84"/>
      <c r="L1" s="92" t="s">
        <v>613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5" t="s">
        <v>595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492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6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493</v>
      </c>
      <c r="M3" s="92"/>
      <c r="N3" s="92"/>
      <c r="O3" s="92"/>
      <c r="P3" s="92"/>
      <c r="Q3" s="92"/>
      <c r="R3" s="92"/>
      <c r="S3" s="92"/>
      <c r="T3" s="92"/>
      <c r="U3" s="92" t="s">
        <v>502</v>
      </c>
      <c r="V3" s="92"/>
      <c r="W3" s="92"/>
      <c r="X3" s="92"/>
      <c r="Y3" s="92"/>
      <c r="Z3" s="92"/>
      <c r="AA3" s="92"/>
      <c r="AB3" s="92"/>
      <c r="AC3" s="92" t="s">
        <v>510</v>
      </c>
      <c r="AD3" s="92"/>
      <c r="AE3" s="92" t="s">
        <v>512</v>
      </c>
      <c r="AF3" s="92"/>
      <c r="AG3" s="92"/>
      <c r="AH3" s="92" t="s">
        <v>515</v>
      </c>
      <c r="AI3" s="92"/>
      <c r="AJ3" s="92"/>
      <c r="AK3" s="92"/>
      <c r="AL3" s="92"/>
      <c r="AM3" s="92" t="s">
        <v>501</v>
      </c>
      <c r="AO3" s="20"/>
      <c r="AP3" s="96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578</v>
      </c>
      <c r="M4" s="10" t="s">
        <v>494</v>
      </c>
      <c r="N4" s="10" t="s">
        <v>495</v>
      </c>
      <c r="O4" s="10" t="s">
        <v>496</v>
      </c>
      <c r="P4" s="10" t="s">
        <v>497</v>
      </c>
      <c r="Q4" s="10" t="s">
        <v>498</v>
      </c>
      <c r="R4" s="10" t="s">
        <v>499</v>
      </c>
      <c r="S4" s="10" t="s">
        <v>500</v>
      </c>
      <c r="T4" s="10" t="s">
        <v>501</v>
      </c>
      <c r="U4" s="10" t="s">
        <v>503</v>
      </c>
      <c r="V4" s="10" t="s">
        <v>504</v>
      </c>
      <c r="W4" s="10" t="s">
        <v>505</v>
      </c>
      <c r="X4" s="10" t="s">
        <v>506</v>
      </c>
      <c r="Y4" s="10" t="s">
        <v>507</v>
      </c>
      <c r="Z4" s="10" t="s">
        <v>508</v>
      </c>
      <c r="AA4" s="10" t="s">
        <v>509</v>
      </c>
      <c r="AB4" s="10" t="s">
        <v>501</v>
      </c>
      <c r="AC4" s="10" t="s">
        <v>511</v>
      </c>
      <c r="AD4" s="10" t="s">
        <v>501</v>
      </c>
      <c r="AE4" s="10" t="s">
        <v>513</v>
      </c>
      <c r="AF4" s="10" t="s">
        <v>514</v>
      </c>
      <c r="AG4" s="10" t="s">
        <v>501</v>
      </c>
      <c r="AH4" s="10" t="s">
        <v>516</v>
      </c>
      <c r="AI4" s="10" t="s">
        <v>517</v>
      </c>
      <c r="AJ4" s="10" t="s">
        <v>518</v>
      </c>
      <c r="AK4" s="10" t="s">
        <v>519</v>
      </c>
      <c r="AL4" s="10" t="s">
        <v>501</v>
      </c>
      <c r="AM4" s="94"/>
      <c r="AO4" s="21" t="s">
        <v>612</v>
      </c>
      <c r="AP4" s="97"/>
    </row>
    <row r="5" spans="1:42" ht="11.25" customHeight="1" x14ac:dyDescent="0.3">
      <c r="A5" s="90" t="s">
        <v>39</v>
      </c>
      <c r="B5" s="90" t="s">
        <v>470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472</v>
      </c>
      <c r="H5" s="18" t="s">
        <v>471</v>
      </c>
      <c r="I5" s="18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146.66461518760588</v>
      </c>
      <c r="AP5" s="20">
        <f ca="1">+'TUSD BE'!$T$5+'TUSD BE'!$AB$5+'TUSD BE'!$AD$5+'TUSD BE'!$AL$5</f>
        <v>146.66461518760588</v>
      </c>
    </row>
    <row r="6" spans="1:42" ht="11.25" customHeight="1" x14ac:dyDescent="0.3">
      <c r="A6" s="90"/>
      <c r="B6" s="90"/>
      <c r="C6" s="90"/>
      <c r="D6" s="90"/>
      <c r="E6" s="90"/>
      <c r="F6" s="90"/>
      <c r="G6" s="18" t="s">
        <v>473</v>
      </c>
      <c r="H6" s="18" t="s">
        <v>471</v>
      </c>
      <c r="I6" s="18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46.206958176177089</v>
      </c>
      <c r="AP6" s="20">
        <f ca="1">+'TUSD BE'!$T$6+'TUSD BE'!$AB$6+'TUSD BE'!$AD$6+'TUSD BE'!$AL$6</f>
        <v>46.206958176177089</v>
      </c>
    </row>
    <row r="7" spans="1:42" ht="11.25" customHeight="1" x14ac:dyDescent="0.3">
      <c r="A7" s="90"/>
      <c r="B7" s="90"/>
      <c r="C7" s="90"/>
      <c r="D7" s="90"/>
      <c r="E7" s="90"/>
      <c r="F7" s="90"/>
      <c r="G7" s="18" t="s">
        <v>474</v>
      </c>
      <c r="H7" s="18" t="s">
        <v>467</v>
      </c>
      <c r="I7" s="18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100.05871504963127</v>
      </c>
      <c r="AP7" s="20">
        <f ca="1">+'TUSD BE'!$T$7+'TUSD BE'!$AB$7+'TUSD BE'!$AD$7+'TUSD BE'!$AL$7</f>
        <v>100.05871504963127</v>
      </c>
    </row>
    <row r="8" spans="1:42" ht="11.25" customHeight="1" x14ac:dyDescent="0.3">
      <c r="A8" s="90"/>
      <c r="B8" s="90"/>
      <c r="C8" s="90"/>
      <c r="D8" s="90"/>
      <c r="E8" s="17" t="s">
        <v>475</v>
      </c>
      <c r="F8" s="17" t="s">
        <v>25</v>
      </c>
      <c r="G8" s="18" t="s">
        <v>474</v>
      </c>
      <c r="H8" s="18" t="s">
        <v>467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8.4782140080330848</v>
      </c>
      <c r="AP8" s="20">
        <f ca="1">+'TUSD BE'!$T$8+'TUSD BE'!$AB$8+'TUSD BE'!$AD$8+'TUSD BE'!$AL$8</f>
        <v>8.4782140080330848</v>
      </c>
    </row>
    <row r="9" spans="1:42" ht="11.25" customHeight="1" x14ac:dyDescent="0.3">
      <c r="A9" s="90"/>
      <c r="B9" s="17" t="s">
        <v>476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471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13.258226212892417</v>
      </c>
      <c r="AP9" s="20">
        <f ca="1">+'TUSD BE'!$T$9+'TUSD BE'!$AB$9+'TUSD BE'!$AD$9+'TUSD BE'!$AL$9</f>
        <v>13.258226212892417</v>
      </c>
    </row>
    <row r="10" spans="1:42" ht="11.25" customHeight="1" x14ac:dyDescent="0.3">
      <c r="A10" s="90"/>
      <c r="B10" s="90" t="s">
        <v>40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471</v>
      </c>
      <c r="I10" s="18">
        <f>'MERCADO TUSD'!$U$7</f>
        <v>63475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46.206958176177089</v>
      </c>
      <c r="AP10" s="20">
        <f ca="1">+'TUSD BE'!$T$10+'TUSD BE'!$AB$10+'TUSD BE'!$AD$10+'TUSD BE'!$AL$10</f>
        <v>46.206958176177089</v>
      </c>
    </row>
    <row r="11" spans="1:42" ht="11.25" customHeight="1" x14ac:dyDescent="0.3">
      <c r="A11" s="90"/>
      <c r="B11" s="90"/>
      <c r="C11" s="90"/>
      <c r="D11" s="90"/>
      <c r="E11" s="90"/>
      <c r="F11" s="90"/>
      <c r="G11" s="18" t="s">
        <v>468</v>
      </c>
      <c r="H11" s="18" t="s">
        <v>467</v>
      </c>
      <c r="I11" s="18">
        <f>'MERCADO TUSD'!$U$8</f>
        <v>409.63599999999997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3627.7442903122865</v>
      </c>
      <c r="AP11" s="20">
        <f ca="1">+'TUSD BE'!$T$11+'TUSD BE'!$AB$11+'TUSD BE'!$AD$11+'TUSD BE'!$AL$11</f>
        <v>3627.7442903122865</v>
      </c>
    </row>
    <row r="12" spans="1:42" ht="11.25" customHeight="1" x14ac:dyDescent="0.3">
      <c r="A12" s="90"/>
      <c r="B12" s="90"/>
      <c r="C12" s="90"/>
      <c r="D12" s="90"/>
      <c r="E12" s="90"/>
      <c r="F12" s="90"/>
      <c r="G12" s="18" t="s">
        <v>469</v>
      </c>
      <c r="H12" s="18" t="s">
        <v>467</v>
      </c>
      <c r="I12" s="18">
        <f>'MERCADO TUSD'!$U$9</f>
        <v>11292.635999999999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100.05871504963127</v>
      </c>
      <c r="AP12" s="20">
        <f ca="1">+'TUSD BE'!$T$12+'TUSD BE'!$AB$12+'TUSD BE'!$AD$12+'TUSD BE'!$AL$12</f>
        <v>100.05871504963127</v>
      </c>
    </row>
    <row r="13" spans="1:42" ht="11.25" customHeight="1" x14ac:dyDescent="0.3">
      <c r="A13" s="90"/>
      <c r="B13" s="90"/>
      <c r="C13" s="90"/>
      <c r="D13" s="90"/>
      <c r="E13" s="90" t="s">
        <v>475</v>
      </c>
      <c r="F13" s="90" t="s">
        <v>25</v>
      </c>
      <c r="G13" s="18" t="s">
        <v>468</v>
      </c>
      <c r="H13" s="18" t="s">
        <v>467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3536.1637892706881</v>
      </c>
      <c r="AP13" s="20">
        <f ca="1">+'TUSD BE'!$T$13+'TUSD BE'!$AB$13+'TUSD BE'!$AD$13+'TUSD BE'!$AL$13</f>
        <v>3536.1637892706881</v>
      </c>
    </row>
    <row r="14" spans="1:42" ht="11.25" customHeight="1" x14ac:dyDescent="0.3">
      <c r="A14" s="90"/>
      <c r="B14" s="90"/>
      <c r="C14" s="90"/>
      <c r="D14" s="90"/>
      <c r="E14" s="90"/>
      <c r="F14" s="90"/>
      <c r="G14" s="18" t="s">
        <v>469</v>
      </c>
      <c r="H14" s="18" t="s">
        <v>467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8.4782140080330848</v>
      </c>
      <c r="AP14" s="20">
        <f ca="1">+'TUSD BE'!$T$14+'TUSD BE'!$AB$14+'TUSD BE'!$AD$14+'TUSD BE'!$AL$14</f>
        <v>8.4782140080330848</v>
      </c>
    </row>
    <row r="15" spans="1:42" ht="11.25" customHeight="1" x14ac:dyDescent="0.3">
      <c r="A15" s="90" t="s">
        <v>477</v>
      </c>
      <c r="B15" s="90" t="s">
        <v>476</v>
      </c>
      <c r="C15" s="90" t="s">
        <v>25</v>
      </c>
      <c r="D15" s="90" t="s">
        <v>25</v>
      </c>
      <c r="E15" s="17" t="s">
        <v>478</v>
      </c>
      <c r="F15" s="17" t="s">
        <v>25</v>
      </c>
      <c r="G15" s="18" t="s">
        <v>9</v>
      </c>
      <c r="H15" s="18" t="s">
        <v>471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13.675622245036536</v>
      </c>
      <c r="AP15" s="20">
        <f ca="1">+'TUSD BE'!$T$15+'TUSD BE'!$AB$15+'TUSD BE'!$AD$15+'TUSD BE'!$AL$15</f>
        <v>13.675622245036536</v>
      </c>
    </row>
    <row r="16" spans="1:42" ht="11.25" customHeight="1" x14ac:dyDescent="0.3">
      <c r="A16" s="90"/>
      <c r="B16" s="90"/>
      <c r="C16" s="90"/>
      <c r="D16" s="90"/>
      <c r="E16" s="17" t="s">
        <v>479</v>
      </c>
      <c r="F16" s="17" t="s">
        <v>25</v>
      </c>
      <c r="G16" s="18" t="s">
        <v>9</v>
      </c>
      <c r="H16" s="18" t="s">
        <v>471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27.812006273149905</v>
      </c>
      <c r="AP16" s="20">
        <f ca="1">+'TUSD BE'!$T$16+'TUSD BE'!$AB$16+'TUSD BE'!$AD$16+'TUSD BE'!$AL$16</f>
        <v>27.812006273149905</v>
      </c>
    </row>
    <row r="17" spans="1:42" ht="11.25" customHeight="1" x14ac:dyDescent="0.3">
      <c r="A17" s="90" t="s">
        <v>22</v>
      </c>
      <c r="B17" s="90" t="s">
        <v>33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468</v>
      </c>
      <c r="H17" s="18" t="s">
        <v>467</v>
      </c>
      <c r="I17" s="18">
        <f>'MERCADO TUSD'!$U$14</f>
        <v>0.495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1673.6990537080087</v>
      </c>
      <c r="AP17" s="20">
        <f ca="1">+'TUSD BE'!$T$17+'TUSD BE'!$AB$17+'TUSD BE'!$AD$17+'TUSD BE'!$AL$17</f>
        <v>1673.6990537080087</v>
      </c>
    </row>
    <row r="18" spans="1:42" ht="11.25" customHeight="1" x14ac:dyDescent="0.3">
      <c r="A18" s="90"/>
      <c r="B18" s="90"/>
      <c r="C18" s="90"/>
      <c r="D18" s="90"/>
      <c r="E18" s="90"/>
      <c r="F18" s="90"/>
      <c r="G18" s="18" t="s">
        <v>480</v>
      </c>
      <c r="H18" s="18" t="s">
        <v>467</v>
      </c>
      <c r="I18" s="18">
        <f>'MERCADO TUSD'!$U$15</f>
        <v>0.24800000000000003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1055.1559011440331</v>
      </c>
      <c r="AP18" s="20">
        <f ca="1">+'TUSD BE'!$T$18+'TUSD BE'!$AB$18+'TUSD BE'!$AD$18+'TUSD BE'!$AL$18</f>
        <v>1055.1559011440331</v>
      </c>
    </row>
    <row r="19" spans="1:42" ht="11.25" customHeight="1" x14ac:dyDescent="0.3">
      <c r="A19" s="90"/>
      <c r="B19" s="90"/>
      <c r="C19" s="90"/>
      <c r="D19" s="90"/>
      <c r="E19" s="90"/>
      <c r="F19" s="90"/>
      <c r="G19" s="18" t="s">
        <v>469</v>
      </c>
      <c r="H19" s="18" t="s">
        <v>467</v>
      </c>
      <c r="I19" s="18">
        <f>'MERCADO TUSD'!$U$16</f>
        <v>6.5449999999999999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436.67909847618824</v>
      </c>
      <c r="AP19" s="20">
        <f ca="1">+'TUSD BE'!$T$19+'TUSD BE'!$AB$19+'TUSD BE'!$AD$19+'TUSD BE'!$AL$19</f>
        <v>436.67909847618824</v>
      </c>
    </row>
    <row r="20" spans="1:42" ht="11.25" customHeight="1" x14ac:dyDescent="0.3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474</v>
      </c>
      <c r="H20" s="18" t="s">
        <v>467</v>
      </c>
      <c r="I20" s="18">
        <f>'MERCADO TUSD'!$U$17</f>
        <v>29737.986000000001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700.00333704981676</v>
      </c>
      <c r="AP20" s="20">
        <f ca="1">+'TUSD BE'!$T$20+'TUSD BE'!$AB$20+'TUSD BE'!$AD$20+'TUSD BE'!$AL$20</f>
        <v>700.00333704981676</v>
      </c>
    </row>
    <row r="21" spans="1:42" ht="11.25" customHeight="1" x14ac:dyDescent="0.3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474</v>
      </c>
      <c r="H21" s="18" t="s">
        <v>467</v>
      </c>
      <c r="I21" s="18">
        <f>'MERCADO TUSD'!$U$18</f>
        <v>83.323000000000008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593.74068617000501</v>
      </c>
      <c r="AP21" s="20">
        <f ca="1">+'TUSD BE'!$T$21+'TUSD BE'!$AB$21+'TUSD BE'!$AD$21+'TUSD BE'!$AL$21</f>
        <v>593.74068617000501</v>
      </c>
    </row>
    <row r="22" spans="1:42" ht="11.25" customHeight="1" x14ac:dyDescent="0.3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474</v>
      </c>
      <c r="H22" s="18" t="s">
        <v>467</v>
      </c>
      <c r="I22" s="18">
        <f>'MERCADO TUSD'!$U$19</f>
        <v>175.95599999999999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593.74068617000501</v>
      </c>
      <c r="AP22" s="20">
        <f ca="1">+'TUSD BE'!$T$22+'TUSD BE'!$AB$22+'TUSD BE'!$AD$22+'TUSD BE'!$AL$22</f>
        <v>593.74068617000501</v>
      </c>
    </row>
    <row r="23" spans="1:42" ht="11.25" customHeight="1" x14ac:dyDescent="0.3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474</v>
      </c>
      <c r="H23" s="18" t="s">
        <v>467</v>
      </c>
      <c r="I23" s="18">
        <f>'MERCADO TUSD'!$U$20</f>
        <v>193.03699999999998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593.74068617000501</v>
      </c>
      <c r="AP23" s="20">
        <f ca="1">+'TUSD BE'!$T$23+'TUSD BE'!$AB$23+'TUSD BE'!$AD$23+'TUSD BE'!$AL$23</f>
        <v>593.74068617000501</v>
      </c>
    </row>
    <row r="24" spans="1:42" ht="11.25" customHeight="1" x14ac:dyDescent="0.3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474</v>
      </c>
      <c r="H24" s="18" t="s">
        <v>467</v>
      </c>
      <c r="I24" s="18">
        <f>'MERCADO TUSD'!$U$21</f>
        <v>98.578999999999994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593.74068617000501</v>
      </c>
      <c r="AP24" s="20">
        <f ca="1">+'TUSD BE'!$T$24+'TUSD BE'!$AB$24+'TUSD BE'!$AD$24+'TUSD BE'!$AL$24</f>
        <v>593.74068617000501</v>
      </c>
    </row>
    <row r="25" spans="1:42" ht="11.25" customHeight="1" x14ac:dyDescent="0.3">
      <c r="A25" s="90"/>
      <c r="B25" s="90" t="s">
        <v>483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474</v>
      </c>
      <c r="H25" s="18" t="s">
        <v>467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700.00333704981676</v>
      </c>
      <c r="AP25" s="20">
        <f ca="1">+'TUSD BE'!$T$25+'TUSD BE'!$AB$25+'TUSD BE'!$AD$25+'TUSD BE'!$AL$25</f>
        <v>700.00333704981676</v>
      </c>
    </row>
    <row r="26" spans="1:42" ht="11.25" customHeight="1" x14ac:dyDescent="0.3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474</v>
      </c>
      <c r="H26" s="18" t="s">
        <v>467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593.74068617000501</v>
      </c>
      <c r="AP26" s="20">
        <f ca="1">+'TUSD BE'!$T$26+'TUSD BE'!$AB$26+'TUSD BE'!$AD$26+'TUSD BE'!$AL$26</f>
        <v>593.74068617000501</v>
      </c>
    </row>
    <row r="27" spans="1:42" ht="11.25" customHeight="1" x14ac:dyDescent="0.3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474</v>
      </c>
      <c r="H27" s="18" t="s">
        <v>467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593.74068617000501</v>
      </c>
      <c r="AP27" s="20">
        <f ca="1">+'TUSD BE'!$T$27+'TUSD BE'!$AB$27+'TUSD BE'!$AD$27+'TUSD BE'!$AL$27</f>
        <v>593.74068617000501</v>
      </c>
    </row>
    <row r="28" spans="1:42" ht="11.25" customHeight="1" x14ac:dyDescent="0.3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474</v>
      </c>
      <c r="H28" s="18" t="s">
        <v>467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593.74068617000501</v>
      </c>
      <c r="AP28" s="20">
        <f ca="1">+'TUSD BE'!$T$28+'TUSD BE'!$AB$28+'TUSD BE'!$AD$28+'TUSD BE'!$AL$28</f>
        <v>593.74068617000501</v>
      </c>
    </row>
    <row r="29" spans="1:42" ht="11.25" customHeight="1" x14ac:dyDescent="0.3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474</v>
      </c>
      <c r="H29" s="18" t="s">
        <v>467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593.74068617000501</v>
      </c>
      <c r="AP29" s="20">
        <f ca="1">+'TUSD BE'!$T$29+'TUSD BE'!$AB$29+'TUSD BE'!$AD$29+'TUSD BE'!$AL$29</f>
        <v>593.74068617000501</v>
      </c>
    </row>
    <row r="30" spans="1:42" ht="11.25" customHeight="1" x14ac:dyDescent="0.3">
      <c r="A30" s="90" t="s">
        <v>42</v>
      </c>
      <c r="B30" s="90" t="s">
        <v>33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468</v>
      </c>
      <c r="H30" s="18" t="s">
        <v>467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1816.7133655109049</v>
      </c>
      <c r="AP30" s="20">
        <f ca="1">+'TUSD BE'!$T$30+'TUSD BE'!$AB$30+'TUSD BE'!$AD$30+'TUSD BE'!$AL$30</f>
        <v>1816.7133655109049</v>
      </c>
    </row>
    <row r="31" spans="1:42" ht="11.25" customHeight="1" x14ac:dyDescent="0.3">
      <c r="A31" s="90"/>
      <c r="B31" s="90"/>
      <c r="C31" s="90"/>
      <c r="D31" s="90"/>
      <c r="E31" s="90"/>
      <c r="F31" s="90"/>
      <c r="G31" s="18" t="s">
        <v>480</v>
      </c>
      <c r="H31" s="18" t="s">
        <v>467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1140.9368130069174</v>
      </c>
      <c r="AP31" s="20">
        <f ca="1">+'TUSD BE'!$T$31+'TUSD BE'!$AB$31+'TUSD BE'!$AD$31+'TUSD BE'!$AL$31</f>
        <v>1140.9368130069174</v>
      </c>
    </row>
    <row r="32" spans="1:42" ht="11.25" customHeight="1" x14ac:dyDescent="0.3">
      <c r="A32" s="90"/>
      <c r="B32" s="90"/>
      <c r="C32" s="90"/>
      <c r="D32" s="90"/>
      <c r="E32" s="90"/>
      <c r="F32" s="90"/>
      <c r="G32" s="18" t="s">
        <v>469</v>
      </c>
      <c r="H32" s="18" t="s">
        <v>467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465.16059578229903</v>
      </c>
      <c r="AP32" s="20">
        <f ca="1">+'TUSD BE'!$T$32+'TUSD BE'!$AB$32+'TUSD BE'!$AD$32+'TUSD BE'!$AL$32</f>
        <v>465.16059578229903</v>
      </c>
    </row>
    <row r="33" spans="1:42" ht="11.25" customHeight="1" x14ac:dyDescent="0.3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474</v>
      </c>
      <c r="H33" s="18" t="s">
        <v>467</v>
      </c>
      <c r="I33" s="18">
        <f>'MERCADO TUSD'!$U$30</f>
        <v>513.57799999999997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700.00333704981676</v>
      </c>
      <c r="AP33" s="20">
        <f ca="1">+'TUSD BE'!$T$33+'TUSD BE'!$AB$33+'TUSD BE'!$AD$33+'TUSD BE'!$AL$33</f>
        <v>700.00333704981676</v>
      </c>
    </row>
    <row r="34" spans="1:42" ht="11.25" customHeight="1" x14ac:dyDescent="0.3">
      <c r="A34" s="90"/>
      <c r="B34" s="90" t="s">
        <v>33</v>
      </c>
      <c r="C34" s="90" t="s">
        <v>43</v>
      </c>
      <c r="D34" s="90" t="s">
        <v>484</v>
      </c>
      <c r="E34" s="90" t="s">
        <v>25</v>
      </c>
      <c r="F34" s="90" t="s">
        <v>25</v>
      </c>
      <c r="G34" s="18" t="s">
        <v>468</v>
      </c>
      <c r="H34" s="18" t="s">
        <v>467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1816.7133655109049</v>
      </c>
      <c r="AP34" s="20">
        <f ca="1">+'TUSD BE'!$T$34+'TUSD BE'!$AB$34+'TUSD BE'!$AD$34+'TUSD BE'!$AL$34</f>
        <v>1816.7133655109049</v>
      </c>
    </row>
    <row r="35" spans="1:42" ht="11.25" customHeight="1" x14ac:dyDescent="0.3">
      <c r="A35" s="90"/>
      <c r="B35" s="90"/>
      <c r="C35" s="90"/>
      <c r="D35" s="90"/>
      <c r="E35" s="90"/>
      <c r="F35" s="90"/>
      <c r="G35" s="18" t="s">
        <v>480</v>
      </c>
      <c r="H35" s="18" t="s">
        <v>467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1140.9368130069174</v>
      </c>
      <c r="AP35" s="20">
        <f ca="1">+'TUSD BE'!$T$35+'TUSD BE'!$AB$35+'TUSD BE'!$AD$35+'TUSD BE'!$AL$35</f>
        <v>1140.9368130069174</v>
      </c>
    </row>
    <row r="36" spans="1:42" ht="11.25" customHeight="1" x14ac:dyDescent="0.3">
      <c r="A36" s="90"/>
      <c r="B36" s="90"/>
      <c r="C36" s="90"/>
      <c r="D36" s="90"/>
      <c r="E36" s="90"/>
      <c r="F36" s="90"/>
      <c r="G36" s="18" t="s">
        <v>469</v>
      </c>
      <c r="H36" s="18" t="s">
        <v>467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465.16059578229903</v>
      </c>
      <c r="AP36" s="20">
        <f ca="1">+'TUSD BE'!$T$36+'TUSD BE'!$AB$36+'TUSD BE'!$AD$36+'TUSD BE'!$AL$36</f>
        <v>465.16059578229903</v>
      </c>
    </row>
    <row r="37" spans="1:42" ht="11.25" customHeight="1" x14ac:dyDescent="0.3">
      <c r="A37" s="90"/>
      <c r="B37" s="17" t="s">
        <v>23</v>
      </c>
      <c r="C37" s="17" t="s">
        <v>43</v>
      </c>
      <c r="D37" s="17" t="s">
        <v>484</v>
      </c>
      <c r="E37" s="17" t="s">
        <v>25</v>
      </c>
      <c r="F37" s="17" t="s">
        <v>25</v>
      </c>
      <c r="G37" s="18" t="s">
        <v>474</v>
      </c>
      <c r="H37" s="18" t="s">
        <v>467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700.00333704981676</v>
      </c>
      <c r="AP37" s="20">
        <f ca="1">+'TUSD BE'!$T$37+'TUSD BE'!$AB$37+'TUSD BE'!$AD$37+'TUSD BE'!$AL$37</f>
        <v>700.00333704981676</v>
      </c>
    </row>
    <row r="38" spans="1:42" ht="11.25" customHeight="1" x14ac:dyDescent="0.3">
      <c r="A38" s="90"/>
      <c r="B38" s="90" t="s">
        <v>33</v>
      </c>
      <c r="C38" s="90" t="s">
        <v>43</v>
      </c>
      <c r="D38" s="90" t="s">
        <v>485</v>
      </c>
      <c r="E38" s="90" t="s">
        <v>25</v>
      </c>
      <c r="F38" s="90" t="s">
        <v>25</v>
      </c>
      <c r="G38" s="18" t="s">
        <v>468</v>
      </c>
      <c r="H38" s="18" t="s">
        <v>467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1816.7133655109049</v>
      </c>
      <c r="AP38" s="20">
        <f ca="1">+'TUSD BE'!$T$38+'TUSD BE'!$AB$38+'TUSD BE'!$AD$38+'TUSD BE'!$AL$38</f>
        <v>1816.7133655109049</v>
      </c>
    </row>
    <row r="39" spans="1:42" ht="11.25" customHeight="1" x14ac:dyDescent="0.3">
      <c r="A39" s="90"/>
      <c r="B39" s="90"/>
      <c r="C39" s="90"/>
      <c r="D39" s="90"/>
      <c r="E39" s="90"/>
      <c r="F39" s="90"/>
      <c r="G39" s="18" t="s">
        <v>480</v>
      </c>
      <c r="H39" s="18" t="s">
        <v>467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1140.9368130069174</v>
      </c>
      <c r="AP39" s="20">
        <f ca="1">+'TUSD BE'!$T$39+'TUSD BE'!$AB$39+'TUSD BE'!$AD$39+'TUSD BE'!$AL$39</f>
        <v>1140.9368130069174</v>
      </c>
    </row>
    <row r="40" spans="1:42" ht="11.25" customHeight="1" x14ac:dyDescent="0.3">
      <c r="A40" s="90"/>
      <c r="B40" s="90"/>
      <c r="C40" s="90"/>
      <c r="D40" s="90"/>
      <c r="E40" s="90"/>
      <c r="F40" s="90"/>
      <c r="G40" s="18" t="s">
        <v>469</v>
      </c>
      <c r="H40" s="18" t="s">
        <v>467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465.16059578229903</v>
      </c>
      <c r="AP40" s="20">
        <f ca="1">+'TUSD BE'!$T$40+'TUSD BE'!$AB$40+'TUSD BE'!$AD$40+'TUSD BE'!$AL$40</f>
        <v>465.16059578229903</v>
      </c>
    </row>
    <row r="41" spans="1:42" ht="11.25" customHeight="1" x14ac:dyDescent="0.3">
      <c r="A41" s="90"/>
      <c r="B41" s="17" t="s">
        <v>23</v>
      </c>
      <c r="C41" s="17" t="s">
        <v>43</v>
      </c>
      <c r="D41" s="17" t="s">
        <v>485</v>
      </c>
      <c r="E41" s="17" t="s">
        <v>25</v>
      </c>
      <c r="F41" s="17" t="s">
        <v>25</v>
      </c>
      <c r="G41" s="18" t="s">
        <v>474</v>
      </c>
      <c r="H41" s="18" t="s">
        <v>467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700.00333704981676</v>
      </c>
      <c r="AP41" s="20">
        <f ca="1">+'TUSD BE'!$T$41+'TUSD BE'!$AB$41+'TUSD BE'!$AD$41+'TUSD BE'!$AL$41</f>
        <v>700.00333704981676</v>
      </c>
    </row>
    <row r="42" spans="1:42" ht="11.25" customHeight="1" x14ac:dyDescent="0.3">
      <c r="A42" s="90"/>
      <c r="B42" s="90" t="s">
        <v>483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474</v>
      </c>
      <c r="H42" s="18" t="s">
        <v>467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700.00333704981676</v>
      </c>
      <c r="AP42" s="20">
        <f ca="1">+'TUSD BE'!$T$42+'TUSD BE'!$AB$42+'TUSD BE'!$AD$42+'TUSD BE'!$AL$42</f>
        <v>700.00333704981676</v>
      </c>
    </row>
    <row r="43" spans="1:42" ht="11.25" customHeight="1" x14ac:dyDescent="0.3">
      <c r="A43" s="90"/>
      <c r="B43" s="90"/>
      <c r="C43" s="90"/>
      <c r="D43" s="17" t="s">
        <v>484</v>
      </c>
      <c r="E43" s="17" t="s">
        <v>25</v>
      </c>
      <c r="F43" s="17" t="s">
        <v>25</v>
      </c>
      <c r="G43" s="18" t="s">
        <v>474</v>
      </c>
      <c r="H43" s="18" t="s">
        <v>467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700.00333704981676</v>
      </c>
      <c r="AP43" s="20">
        <f ca="1">+'TUSD BE'!$T$43+'TUSD BE'!$AB$43+'TUSD BE'!$AD$43+'TUSD BE'!$AL$43</f>
        <v>700.00333704981676</v>
      </c>
    </row>
    <row r="44" spans="1:42" ht="11.25" customHeight="1" x14ac:dyDescent="0.3">
      <c r="A44" s="90"/>
      <c r="B44" s="90"/>
      <c r="C44" s="90"/>
      <c r="D44" s="17" t="s">
        <v>485</v>
      </c>
      <c r="E44" s="17" t="s">
        <v>25</v>
      </c>
      <c r="F44" s="17" t="s">
        <v>25</v>
      </c>
      <c r="G44" s="18" t="s">
        <v>474</v>
      </c>
      <c r="H44" s="18" t="s">
        <v>467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700.00333704981676</v>
      </c>
      <c r="AP44" s="20">
        <f ca="1">+'TUSD BE'!$T$44+'TUSD BE'!$AB$44+'TUSD BE'!$AD$44+'TUSD BE'!$AL$44</f>
        <v>700.00333704981676</v>
      </c>
    </row>
    <row r="45" spans="1:42" ht="11.25" customHeight="1" x14ac:dyDescent="0.3">
      <c r="A45" s="90" t="s">
        <v>37</v>
      </c>
      <c r="B45" s="90" t="s">
        <v>33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468</v>
      </c>
      <c r="H45" s="18" t="s">
        <v>467</v>
      </c>
      <c r="I45" s="18">
        <f>'MERCADO TUSD'!$U$42</f>
        <v>3.0390000000000001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2103.1457491639753</v>
      </c>
      <c r="AP45" s="20">
        <f ca="1">+'TUSD BE'!$T$45+'TUSD BE'!$AB$45+'TUSD BE'!$AD$45+'TUSD BE'!$AL$45</f>
        <v>2103.1457491639753</v>
      </c>
    </row>
    <row r="46" spans="1:42" ht="11.25" customHeight="1" x14ac:dyDescent="0.3">
      <c r="A46" s="90"/>
      <c r="B46" s="90"/>
      <c r="C46" s="90"/>
      <c r="D46" s="90"/>
      <c r="E46" s="90"/>
      <c r="F46" s="90"/>
      <c r="G46" s="18" t="s">
        <v>480</v>
      </c>
      <c r="H46" s="18" t="s">
        <v>467</v>
      </c>
      <c r="I46" s="18">
        <f>'MERCADO TUSD'!$U$43</f>
        <v>5.1750000000000007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1312.7693773398451</v>
      </c>
      <c r="AP46" s="20">
        <f ca="1">+'TUSD BE'!$T$46+'TUSD BE'!$AB$46+'TUSD BE'!$AD$46+'TUSD BE'!$AL$46</f>
        <v>1312.7693773398451</v>
      </c>
    </row>
    <row r="47" spans="1:42" ht="11.25" customHeight="1" x14ac:dyDescent="0.3">
      <c r="A47" s="90"/>
      <c r="B47" s="90"/>
      <c r="C47" s="90"/>
      <c r="D47" s="90"/>
      <c r="E47" s="90"/>
      <c r="F47" s="90"/>
      <c r="G47" s="18" t="s">
        <v>469</v>
      </c>
      <c r="H47" s="18" t="s">
        <v>467</v>
      </c>
      <c r="I47" s="18">
        <f>'MERCADO TUSD'!$U$44</f>
        <v>190.53300000000002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522.46079265759988</v>
      </c>
      <c r="AP47" s="20">
        <f ca="1">+'TUSD BE'!$T$47+'TUSD BE'!$AB$47+'TUSD BE'!$AD$47+'TUSD BE'!$AL$47</f>
        <v>522.46079265759988</v>
      </c>
    </row>
    <row r="48" spans="1:42" ht="11.25" customHeight="1" x14ac:dyDescent="0.3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474</v>
      </c>
      <c r="H48" s="18" t="s">
        <v>467</v>
      </c>
      <c r="I48" s="18">
        <f>'MERCADO TUSD'!$U$45</f>
        <v>13839.034999999998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700.00333704981676</v>
      </c>
      <c r="AP48" s="20">
        <f ca="1">+'TUSD BE'!$T$48+'TUSD BE'!$AB$48+'TUSD BE'!$AD$48+'TUSD BE'!$AL$48</f>
        <v>700.00333704981676</v>
      </c>
    </row>
    <row r="49" spans="1:42" ht="11.25" customHeight="1" x14ac:dyDescent="0.3">
      <c r="A49" s="90"/>
      <c r="B49" s="17" t="s">
        <v>483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474</v>
      </c>
      <c r="H49" s="18" t="s">
        <v>467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700.00333704981676</v>
      </c>
      <c r="AP49" s="20">
        <f ca="1">+'TUSD BE'!$T$49+'TUSD BE'!$AB$49+'TUSD BE'!$AD$49+'TUSD BE'!$AL$49</f>
        <v>700.00333704981676</v>
      </c>
    </row>
    <row r="50" spans="1:42" ht="11.25" customHeight="1" x14ac:dyDescent="0.3">
      <c r="A50" s="90" t="s">
        <v>45</v>
      </c>
      <c r="B50" s="90" t="s">
        <v>23</v>
      </c>
      <c r="C50" s="90" t="s">
        <v>46</v>
      </c>
      <c r="D50" s="17" t="s">
        <v>486</v>
      </c>
      <c r="E50" s="17" t="s">
        <v>25</v>
      </c>
      <c r="F50" s="17" t="s">
        <v>25</v>
      </c>
      <c r="G50" s="18" t="s">
        <v>474</v>
      </c>
      <c r="H50" s="18" t="s">
        <v>467</v>
      </c>
      <c r="I50" s="18">
        <f>'MERCADO TUSD'!$U$47</f>
        <v>0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385.00183537739935</v>
      </c>
      <c r="AP50" s="20">
        <f ca="1">+'TUSD BE'!$T$50+'TUSD BE'!$AB$50+'TUSD BE'!$AD$50+'TUSD BE'!$AL$50</f>
        <v>385.00183537739935</v>
      </c>
    </row>
    <row r="51" spans="1:42" ht="11.25" customHeight="1" x14ac:dyDescent="0.3">
      <c r="A51" s="90"/>
      <c r="B51" s="90"/>
      <c r="C51" s="90"/>
      <c r="D51" s="18" t="s">
        <v>47</v>
      </c>
      <c r="E51" s="18" t="s">
        <v>25</v>
      </c>
      <c r="F51" s="18" t="s">
        <v>25</v>
      </c>
      <c r="G51" s="18" t="s">
        <v>474</v>
      </c>
      <c r="H51" s="18" t="s">
        <v>467</v>
      </c>
      <c r="I51" s="18">
        <f>'MERCADO TUSD'!$U$48</f>
        <v>3807.3310000000001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420.00200222989008</v>
      </c>
      <c r="AP51" s="20">
        <f ca="1">+'TUSD BE'!$T$51+'TUSD BE'!$AB$51+'TUSD BE'!$AD$51+'TUSD BE'!$AL$51</f>
        <v>420.00200222989008</v>
      </c>
    </row>
    <row r="53" spans="1:42" ht="11.25" customHeight="1" x14ac:dyDescent="0.3">
      <c r="K53" s="16" t="s">
        <v>602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38455389.11706917</v>
      </c>
      <c r="AP53" s="18">
        <f ca="1">SUMPRODUCT($I$5:$I51,$AP$5:$AP51)</f>
        <v>38455389.11706917</v>
      </c>
    </row>
    <row r="54" spans="1:42" ht="11.25" customHeight="1" x14ac:dyDescent="0.3">
      <c r="K54" s="16" t="s">
        <v>534</v>
      </c>
      <c r="L54" s="13">
        <f>'TR TUSD'!$L$56</f>
        <v>0</v>
      </c>
      <c r="M54" s="13">
        <f>'TR TUSD'!$M$56</f>
        <v>101171.40779676361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5176461.8090699986</v>
      </c>
      <c r="R54" s="13">
        <f>'TR TUSD'!$R$56</f>
        <v>845062.12880999979</v>
      </c>
      <c r="S54" s="13">
        <f>'TR TUSD'!$S$56</f>
        <v>0</v>
      </c>
      <c r="T54" s="13">
        <f>'TR TUSD'!$T$56</f>
        <v>6122695.3456767621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7916132.6110183997</v>
      </c>
      <c r="Z54" s="13">
        <f>'TR TUSD'!$Z$56</f>
        <v>0</v>
      </c>
      <c r="AA54" s="13">
        <f>'TR TUSD'!$AA$56</f>
        <v>0</v>
      </c>
      <c r="AB54" s="13">
        <f>'TR TUSD'!$AB$56</f>
        <v>7916132.6110183997</v>
      </c>
      <c r="AC54" s="13">
        <f>'TR TUSD'!$AC$56</f>
        <v>23425104.43</v>
      </c>
      <c r="AD54" s="13">
        <f>'TR TUSD'!$AD$56</f>
        <v>23425104.43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991456.7303740012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991456.7303740012</v>
      </c>
      <c r="AM54" s="13">
        <f>CUSTOS!$D$29</f>
        <v>38455389.117069162</v>
      </c>
      <c r="AO54" s="18">
        <f>$AE$56</f>
        <v>0</v>
      </c>
      <c r="AP54" s="18">
        <f>$AF$56</f>
        <v>0</v>
      </c>
    </row>
    <row r="55" spans="1:42" ht="11.25" customHeight="1" x14ac:dyDescent="0.3">
      <c r="K55" s="16" t="s">
        <v>535</v>
      </c>
      <c r="L55" s="13">
        <f>CUSTOS!$E$2</f>
        <v>0</v>
      </c>
      <c r="M55" s="13">
        <f>CUSTOS!$E$3</f>
        <v>-4434.423121813832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-175355.2708544028</v>
      </c>
      <c r="R55" s="13">
        <f>CUSTOS!$E$8</f>
        <v>-28095.056381815815</v>
      </c>
      <c r="S55" s="13">
        <f>CUSTOS!$E$9</f>
        <v>0</v>
      </c>
      <c r="T55" s="13">
        <f>CUSTOS!$E$10</f>
        <v>-207884.75035803244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221553.17760410844</v>
      </c>
      <c r="Z55" s="13">
        <f>CUSTOS!$E$16</f>
        <v>0</v>
      </c>
      <c r="AA55" s="13">
        <f>CUSTOS!$E$17</f>
        <v>0</v>
      </c>
      <c r="AB55" s="13">
        <f>CUSTOS!$E$18</f>
        <v>221553.17760410844</v>
      </c>
      <c r="AC55" s="13">
        <f>CUSTOS!$E$19</f>
        <v>-96886.197785623372</v>
      </c>
      <c r="AD55" s="13">
        <f>CUSTOS!$E$20</f>
        <v>-96886.197785623372</v>
      </c>
      <c r="AE55" s="13">
        <f>CUSTOS!$E$21</f>
        <v>-424264.20941657806</v>
      </c>
      <c r="AF55" s="13">
        <f>CUSTOS!$E$22</f>
        <v>0</v>
      </c>
      <c r="AG55" s="13">
        <f>CUSTOS!$E$23</f>
        <v>-424264.20941657806</v>
      </c>
      <c r="AH55" s="13">
        <f>CUSTOS!$E$24</f>
        <v>-587739.9660082187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-587739.9660082187</v>
      </c>
      <c r="AM55" s="13">
        <f>CUSTOS!$E$29</f>
        <v>-1095221.9459643441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536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599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02" priority="55" operator="notEqual">
      <formula>$L$56</formula>
    </cfRule>
    <cfRule type="cellIs" dxfId="801" priority="56" operator="equal">
      <formula>$L$56</formula>
    </cfRule>
  </conditionalFormatting>
  <conditionalFormatting sqref="M53">
    <cfRule type="cellIs" dxfId="800" priority="53" operator="notEqual">
      <formula>$M$56</formula>
    </cfRule>
    <cfRule type="cellIs" dxfId="799" priority="54" operator="equal">
      <formula>$M$56</formula>
    </cfRule>
  </conditionalFormatting>
  <conditionalFormatting sqref="N53">
    <cfRule type="cellIs" dxfId="798" priority="51" operator="notEqual">
      <formula>$N$56</formula>
    </cfRule>
    <cfRule type="cellIs" dxfId="797" priority="52" operator="equal">
      <formula>$N$56</formula>
    </cfRule>
  </conditionalFormatting>
  <conditionalFormatting sqref="O53">
    <cfRule type="cellIs" dxfId="796" priority="49" operator="notEqual">
      <formula>$O$56</formula>
    </cfRule>
    <cfRule type="cellIs" dxfId="795" priority="50" operator="equal">
      <formula>$O$56</formula>
    </cfRule>
  </conditionalFormatting>
  <conditionalFormatting sqref="P53">
    <cfRule type="cellIs" dxfId="794" priority="47" operator="notEqual">
      <formula>$P$56</formula>
    </cfRule>
    <cfRule type="cellIs" dxfId="793" priority="48" operator="equal">
      <formula>$P$56</formula>
    </cfRule>
  </conditionalFormatting>
  <conditionalFormatting sqref="Q53">
    <cfRule type="cellIs" dxfId="792" priority="45" operator="notEqual">
      <formula>$Q$56</formula>
    </cfRule>
    <cfRule type="cellIs" dxfId="791" priority="46" operator="equal">
      <formula>$Q$56</formula>
    </cfRule>
  </conditionalFormatting>
  <conditionalFormatting sqref="R53">
    <cfRule type="cellIs" dxfId="790" priority="43" operator="notEqual">
      <formula>$R$56</formula>
    </cfRule>
    <cfRule type="cellIs" dxfId="789" priority="44" operator="equal">
      <formula>$R$56</formula>
    </cfRule>
  </conditionalFormatting>
  <conditionalFormatting sqref="S53">
    <cfRule type="cellIs" dxfId="788" priority="41" operator="notEqual">
      <formula>$S$56</formula>
    </cfRule>
    <cfRule type="cellIs" dxfId="787" priority="42" operator="equal">
      <formula>$S$56</formula>
    </cfRule>
  </conditionalFormatting>
  <conditionalFormatting sqref="T53">
    <cfRule type="cellIs" dxfId="786" priority="39" operator="notEqual">
      <formula>$T$56</formula>
    </cfRule>
    <cfRule type="cellIs" dxfId="785" priority="40" operator="equal">
      <formula>$T$56</formula>
    </cfRule>
  </conditionalFormatting>
  <conditionalFormatting sqref="U53">
    <cfRule type="cellIs" dxfId="784" priority="37" operator="notEqual">
      <formula>$U$56</formula>
    </cfRule>
    <cfRule type="cellIs" dxfId="783" priority="38" operator="equal">
      <formula>$U$56</formula>
    </cfRule>
  </conditionalFormatting>
  <conditionalFormatting sqref="V53">
    <cfRule type="cellIs" dxfId="782" priority="35" operator="notEqual">
      <formula>$V$56</formula>
    </cfRule>
    <cfRule type="cellIs" dxfId="781" priority="36" operator="equal">
      <formula>$V$56</formula>
    </cfRule>
  </conditionalFormatting>
  <conditionalFormatting sqref="W53">
    <cfRule type="cellIs" dxfId="780" priority="33" operator="notEqual">
      <formula>$W$56</formula>
    </cfRule>
    <cfRule type="cellIs" dxfId="779" priority="34" operator="equal">
      <formula>$W$56</formula>
    </cfRule>
  </conditionalFormatting>
  <conditionalFormatting sqref="X53">
    <cfRule type="cellIs" dxfId="778" priority="31" operator="notEqual">
      <formula>$X$56</formula>
    </cfRule>
    <cfRule type="cellIs" dxfId="777" priority="32" operator="equal">
      <formula>$X$56</formula>
    </cfRule>
  </conditionalFormatting>
  <conditionalFormatting sqref="Y53">
    <cfRule type="cellIs" dxfId="776" priority="29" operator="notEqual">
      <formula>$Y$56</formula>
    </cfRule>
    <cfRule type="cellIs" dxfId="775" priority="30" operator="equal">
      <formula>$Y$56</formula>
    </cfRule>
  </conditionalFormatting>
  <conditionalFormatting sqref="Z53">
    <cfRule type="cellIs" dxfId="774" priority="27" operator="notEqual">
      <formula>$Z$56</formula>
    </cfRule>
    <cfRule type="cellIs" dxfId="773" priority="28" operator="equal">
      <formula>$Z$56</formula>
    </cfRule>
  </conditionalFormatting>
  <conditionalFormatting sqref="AA53">
    <cfRule type="cellIs" dxfId="772" priority="25" operator="notEqual">
      <formula>$AA$56</formula>
    </cfRule>
    <cfRule type="cellIs" dxfId="771" priority="26" operator="equal">
      <formula>$AA$56</formula>
    </cfRule>
  </conditionalFormatting>
  <conditionalFormatting sqref="AB53">
    <cfRule type="cellIs" dxfId="770" priority="23" operator="notEqual">
      <formula>$AB$56</formula>
    </cfRule>
    <cfRule type="cellIs" dxfId="769" priority="24" operator="equal">
      <formula>$AB$56</formula>
    </cfRule>
  </conditionalFormatting>
  <conditionalFormatting sqref="AC53">
    <cfRule type="cellIs" dxfId="768" priority="21" operator="notEqual">
      <formula>$AC$56</formula>
    </cfRule>
    <cfRule type="cellIs" dxfId="767" priority="22" operator="equal">
      <formula>$AC$56</formula>
    </cfRule>
  </conditionalFormatting>
  <conditionalFormatting sqref="AD53">
    <cfRule type="cellIs" dxfId="766" priority="19" operator="notEqual">
      <formula>$AD$56</formula>
    </cfRule>
    <cfRule type="cellIs" dxfId="765" priority="20" operator="equal">
      <formula>$AD$56</formula>
    </cfRule>
  </conditionalFormatting>
  <conditionalFormatting sqref="AE53">
    <cfRule type="cellIs" dxfId="764" priority="17" operator="notEqual">
      <formula>$AE$56</formula>
    </cfRule>
    <cfRule type="cellIs" dxfId="763" priority="18" operator="equal">
      <formula>$AE$56</formula>
    </cfRule>
  </conditionalFormatting>
  <conditionalFormatting sqref="AF53">
    <cfRule type="cellIs" dxfId="762" priority="16" operator="equal">
      <formula>$AF$56</formula>
    </cfRule>
  </conditionalFormatting>
  <conditionalFormatting sqref="AF53">
    <cfRule type="cellIs" dxfId="761" priority="15" operator="notEqual">
      <formula>$AF$56</formula>
    </cfRule>
  </conditionalFormatting>
  <conditionalFormatting sqref="AG53">
    <cfRule type="cellIs" dxfId="760" priority="14" operator="equal">
      <formula>$AG$56</formula>
    </cfRule>
  </conditionalFormatting>
  <conditionalFormatting sqref="AG53">
    <cfRule type="cellIs" dxfId="759" priority="13" operator="notEqual">
      <formula>$AG$56</formula>
    </cfRule>
  </conditionalFormatting>
  <conditionalFormatting sqref="AH53">
    <cfRule type="cellIs" dxfId="758" priority="12" operator="equal">
      <formula>$AH$56</formula>
    </cfRule>
  </conditionalFormatting>
  <conditionalFormatting sqref="AH53">
    <cfRule type="cellIs" dxfId="757" priority="11" operator="notEqual">
      <formula>$AH$56</formula>
    </cfRule>
  </conditionalFormatting>
  <conditionalFormatting sqref="AI53">
    <cfRule type="cellIs" dxfId="756" priority="10" operator="equal">
      <formula>$AI$56</formula>
    </cfRule>
  </conditionalFormatting>
  <conditionalFormatting sqref="AI53">
    <cfRule type="cellIs" dxfId="755" priority="9" operator="notEqual">
      <formula>$AI$56</formula>
    </cfRule>
  </conditionalFormatting>
  <conditionalFormatting sqref="AJ53">
    <cfRule type="cellIs" dxfId="754" priority="8" operator="equal">
      <formula>$AJ$56</formula>
    </cfRule>
  </conditionalFormatting>
  <conditionalFormatting sqref="AJ53">
    <cfRule type="cellIs" dxfId="753" priority="7" operator="notEqual">
      <formula>$AJ$56</formula>
    </cfRule>
  </conditionalFormatting>
  <conditionalFormatting sqref="AK53">
    <cfRule type="cellIs" dxfId="752" priority="6" operator="equal">
      <formula>$AK$56</formula>
    </cfRule>
  </conditionalFormatting>
  <conditionalFormatting sqref="AK53">
    <cfRule type="cellIs" dxfId="751" priority="5" operator="notEqual">
      <formula>$AK$56</formula>
    </cfRule>
  </conditionalFormatting>
  <conditionalFormatting sqref="AL53">
    <cfRule type="cellIs" dxfId="750" priority="4" operator="equal">
      <formula>$AL$56</formula>
    </cfRule>
  </conditionalFormatting>
  <conditionalFormatting sqref="AL53">
    <cfRule type="cellIs" dxfId="749" priority="3" operator="notEqual">
      <formula>$AL$56</formula>
    </cfRule>
  </conditionalFormatting>
  <conditionalFormatting sqref="AM53">
    <cfRule type="cellIs" dxfId="748" priority="2" operator="equal">
      <formula>$AM$56</formula>
    </cfRule>
  </conditionalFormatting>
  <conditionalFormatting sqref="AM53">
    <cfRule type="cellIs" dxfId="747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CCC1-FED3-4443-996A-969019892FCC}">
  <dimension ref="A1:AB49"/>
  <sheetViews>
    <sheetView showGridLines="0" topLeftCell="A26" workbookViewId="0">
      <selection activeCell="K43" sqref="K43:AB49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0" t="s">
        <v>457</v>
      </c>
      <c r="B1" s="100" t="s">
        <v>458</v>
      </c>
      <c r="C1" s="100" t="s">
        <v>459</v>
      </c>
      <c r="D1" s="100" t="s">
        <v>460</v>
      </c>
      <c r="E1" s="100" t="s">
        <v>461</v>
      </c>
      <c r="F1" s="100" t="s">
        <v>15</v>
      </c>
      <c r="G1" s="100" t="s">
        <v>463</v>
      </c>
      <c r="H1" s="100" t="s">
        <v>464</v>
      </c>
      <c r="I1" s="100" t="s">
        <v>593</v>
      </c>
      <c r="J1" s="84"/>
      <c r="L1" s="98" t="s">
        <v>614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98" t="s">
        <v>520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98" t="s">
        <v>493</v>
      </c>
      <c r="M3" s="98"/>
      <c r="N3" s="98"/>
      <c r="O3" s="98"/>
      <c r="P3" s="98"/>
      <c r="Q3" s="98"/>
      <c r="R3" s="98" t="s">
        <v>524</v>
      </c>
      <c r="S3" s="98"/>
      <c r="T3" s="98" t="s">
        <v>502</v>
      </c>
      <c r="U3" s="98"/>
      <c r="V3" s="98"/>
      <c r="W3" s="98"/>
      <c r="X3" s="98" t="s">
        <v>512</v>
      </c>
      <c r="Y3" s="98"/>
      <c r="Z3" s="98" t="s">
        <v>515</v>
      </c>
      <c r="AA3" s="98"/>
      <c r="AB3" s="98" t="s">
        <v>501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495</v>
      </c>
      <c r="M4" s="24" t="s">
        <v>521</v>
      </c>
      <c r="N4" s="24" t="s">
        <v>522</v>
      </c>
      <c r="O4" s="24" t="s">
        <v>581</v>
      </c>
      <c r="P4" s="24" t="s">
        <v>523</v>
      </c>
      <c r="Q4" s="24" t="s">
        <v>501</v>
      </c>
      <c r="R4" s="24" t="s">
        <v>525</v>
      </c>
      <c r="S4" s="24" t="s">
        <v>501</v>
      </c>
      <c r="T4" s="24" t="s">
        <v>526</v>
      </c>
      <c r="U4" s="24" t="s">
        <v>527</v>
      </c>
      <c r="V4" s="24" t="s">
        <v>528</v>
      </c>
      <c r="W4" s="24" t="s">
        <v>501</v>
      </c>
      <c r="X4" s="24" t="s">
        <v>513</v>
      </c>
      <c r="Y4" s="24" t="s">
        <v>501</v>
      </c>
      <c r="Z4" s="24" t="s">
        <v>529</v>
      </c>
      <c r="AA4" s="24" t="s">
        <v>501</v>
      </c>
      <c r="AB4" s="99"/>
    </row>
    <row r="5" spans="1:28" ht="11.25" customHeight="1" x14ac:dyDescent="0.3">
      <c r="A5" s="101" t="s">
        <v>39</v>
      </c>
      <c r="B5" s="101" t="s">
        <v>466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468</v>
      </c>
      <c r="H5" s="23" t="s">
        <v>467</v>
      </c>
      <c r="I5" s="23">
        <f>'MERCADO TE'!$U$2</f>
        <v>381.36199999999997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3">
      <c r="A6" s="101"/>
      <c r="B6" s="101"/>
      <c r="C6" s="101"/>
      <c r="D6" s="101"/>
      <c r="E6" s="101"/>
      <c r="F6" s="101"/>
      <c r="G6" s="23" t="s">
        <v>469</v>
      </c>
      <c r="H6" s="23" t="s">
        <v>467</v>
      </c>
      <c r="I6" s="23">
        <f>'MERCADO TE'!$U$3</f>
        <v>8068.7160000000003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3">
      <c r="A7" s="101" t="s">
        <v>22</v>
      </c>
      <c r="B7" s="101" t="s">
        <v>466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468</v>
      </c>
      <c r="H7" s="23" t="s">
        <v>467</v>
      </c>
      <c r="I7" s="23">
        <f>'MERCADO TE'!$U$4</f>
        <v>0.495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3">
      <c r="A8" s="101"/>
      <c r="B8" s="101"/>
      <c r="C8" s="101"/>
      <c r="D8" s="101"/>
      <c r="E8" s="101"/>
      <c r="F8" s="101"/>
      <c r="G8" s="23" t="s">
        <v>480</v>
      </c>
      <c r="H8" s="23" t="s">
        <v>467</v>
      </c>
      <c r="I8" s="23">
        <f>'MERCADO TE'!$U$5</f>
        <v>0.24800000000000003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3">
      <c r="A9" s="101"/>
      <c r="B9" s="101"/>
      <c r="C9" s="101"/>
      <c r="D9" s="101"/>
      <c r="E9" s="101"/>
      <c r="F9" s="101"/>
      <c r="G9" s="23" t="s">
        <v>469</v>
      </c>
      <c r="H9" s="23" t="s">
        <v>467</v>
      </c>
      <c r="I9" s="23">
        <f>'MERCADO TE'!$U$6</f>
        <v>6.5449999999999999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3">
      <c r="A10" s="101"/>
      <c r="B10" s="101" t="s">
        <v>481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474</v>
      </c>
      <c r="H10" s="23" t="s">
        <v>467</v>
      </c>
      <c r="I10" s="23">
        <f>'MERCADO TE'!$U$7</f>
        <v>29737.986000000001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3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474</v>
      </c>
      <c r="H11" s="23" t="s">
        <v>467</v>
      </c>
      <c r="I11" s="23">
        <f>'MERCADO TE'!$U$8</f>
        <v>83.323000000000008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3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474</v>
      </c>
      <c r="H12" s="23" t="s">
        <v>467</v>
      </c>
      <c r="I12" s="23">
        <f>'MERCADO TE'!$U$9</f>
        <v>175.95599999999999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3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474</v>
      </c>
      <c r="H13" s="23" t="s">
        <v>467</v>
      </c>
      <c r="I13" s="23">
        <f>'MERCADO TE'!$U$10</f>
        <v>193.03699999999998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3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474</v>
      </c>
      <c r="H14" s="23" t="s">
        <v>467</v>
      </c>
      <c r="I14" s="23">
        <f>'MERCADO TE'!$U$11</f>
        <v>98.578999999999994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3">
      <c r="A15" s="101"/>
      <c r="B15" s="101" t="s">
        <v>482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474</v>
      </c>
      <c r="H15" s="23" t="s">
        <v>467</v>
      </c>
      <c r="I15" s="23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3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474</v>
      </c>
      <c r="H16" s="23" t="s">
        <v>467</v>
      </c>
      <c r="I16" s="23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3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474</v>
      </c>
      <c r="H17" s="23" t="s">
        <v>467</v>
      </c>
      <c r="I17" s="23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3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474</v>
      </c>
      <c r="H18" s="23" t="s">
        <v>467</v>
      </c>
      <c r="I18" s="23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3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474</v>
      </c>
      <c r="H19" s="23" t="s">
        <v>467</v>
      </c>
      <c r="I19" s="23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3">
      <c r="A20" s="101" t="s">
        <v>42</v>
      </c>
      <c r="B20" s="101" t="s">
        <v>466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468</v>
      </c>
      <c r="H20" s="23" t="s">
        <v>467</v>
      </c>
      <c r="I20" s="23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3">
      <c r="A21" s="101"/>
      <c r="B21" s="101"/>
      <c r="C21" s="101"/>
      <c r="D21" s="101"/>
      <c r="E21" s="101"/>
      <c r="F21" s="101"/>
      <c r="G21" s="23" t="s">
        <v>480</v>
      </c>
      <c r="H21" s="23" t="s">
        <v>467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3">
      <c r="A22" s="101"/>
      <c r="B22" s="101"/>
      <c r="C22" s="101"/>
      <c r="D22" s="101"/>
      <c r="E22" s="101"/>
      <c r="F22" s="101"/>
      <c r="G22" s="23" t="s">
        <v>469</v>
      </c>
      <c r="H22" s="23" t="s">
        <v>467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3">
      <c r="A23" s="101"/>
      <c r="B23" s="22" t="s">
        <v>481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474</v>
      </c>
      <c r="H23" s="23" t="s">
        <v>467</v>
      </c>
      <c r="I23" s="23">
        <f>'MERCADO TE'!$U$20</f>
        <v>513.57799999999997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3">
      <c r="A24" s="101"/>
      <c r="B24" s="101" t="s">
        <v>466</v>
      </c>
      <c r="C24" s="101" t="s">
        <v>43</v>
      </c>
      <c r="D24" s="101" t="s">
        <v>484</v>
      </c>
      <c r="E24" s="101" t="s">
        <v>25</v>
      </c>
      <c r="F24" s="101" t="s">
        <v>25</v>
      </c>
      <c r="G24" s="23" t="s">
        <v>468</v>
      </c>
      <c r="H24" s="23" t="s">
        <v>467</v>
      </c>
      <c r="I24" s="23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3">
      <c r="A25" s="101"/>
      <c r="B25" s="101"/>
      <c r="C25" s="101"/>
      <c r="D25" s="101"/>
      <c r="E25" s="101"/>
      <c r="F25" s="101"/>
      <c r="G25" s="23" t="s">
        <v>480</v>
      </c>
      <c r="H25" s="23" t="s">
        <v>467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3">
      <c r="A26" s="101"/>
      <c r="B26" s="101"/>
      <c r="C26" s="101"/>
      <c r="D26" s="101"/>
      <c r="E26" s="101"/>
      <c r="F26" s="101"/>
      <c r="G26" s="23" t="s">
        <v>469</v>
      </c>
      <c r="H26" s="23" t="s">
        <v>467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3">
      <c r="A27" s="101"/>
      <c r="B27" s="22" t="s">
        <v>481</v>
      </c>
      <c r="C27" s="22" t="s">
        <v>43</v>
      </c>
      <c r="D27" s="22" t="s">
        <v>484</v>
      </c>
      <c r="E27" s="22" t="s">
        <v>25</v>
      </c>
      <c r="F27" s="22" t="s">
        <v>25</v>
      </c>
      <c r="G27" s="23" t="s">
        <v>474</v>
      </c>
      <c r="H27" s="23" t="s">
        <v>467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3">
      <c r="A28" s="101"/>
      <c r="B28" s="101" t="s">
        <v>466</v>
      </c>
      <c r="C28" s="101" t="s">
        <v>43</v>
      </c>
      <c r="D28" s="101" t="s">
        <v>485</v>
      </c>
      <c r="E28" s="101" t="s">
        <v>25</v>
      </c>
      <c r="F28" s="101" t="s">
        <v>25</v>
      </c>
      <c r="G28" s="23" t="s">
        <v>468</v>
      </c>
      <c r="H28" s="23" t="s">
        <v>467</v>
      </c>
      <c r="I28" s="23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3">
      <c r="A29" s="101"/>
      <c r="B29" s="101"/>
      <c r="C29" s="101"/>
      <c r="D29" s="101"/>
      <c r="E29" s="101"/>
      <c r="F29" s="101"/>
      <c r="G29" s="23" t="s">
        <v>480</v>
      </c>
      <c r="H29" s="23" t="s">
        <v>467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3">
      <c r="A30" s="101"/>
      <c r="B30" s="101"/>
      <c r="C30" s="101"/>
      <c r="D30" s="101"/>
      <c r="E30" s="101"/>
      <c r="F30" s="101"/>
      <c r="G30" s="23" t="s">
        <v>469</v>
      </c>
      <c r="H30" s="23" t="s">
        <v>467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3">
      <c r="A31" s="101"/>
      <c r="B31" s="22" t="s">
        <v>481</v>
      </c>
      <c r="C31" s="22" t="s">
        <v>43</v>
      </c>
      <c r="D31" s="22" t="s">
        <v>485</v>
      </c>
      <c r="E31" s="22" t="s">
        <v>25</v>
      </c>
      <c r="F31" s="22" t="s">
        <v>25</v>
      </c>
      <c r="G31" s="23" t="s">
        <v>474</v>
      </c>
      <c r="H31" s="23" t="s">
        <v>467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3">
      <c r="A32" s="101"/>
      <c r="B32" s="101" t="s">
        <v>482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474</v>
      </c>
      <c r="H32" s="23" t="s">
        <v>467</v>
      </c>
      <c r="I32" s="23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3">
      <c r="A33" s="101"/>
      <c r="B33" s="101"/>
      <c r="C33" s="101"/>
      <c r="D33" s="22" t="s">
        <v>484</v>
      </c>
      <c r="E33" s="22" t="s">
        <v>25</v>
      </c>
      <c r="F33" s="22" t="s">
        <v>25</v>
      </c>
      <c r="G33" s="23" t="s">
        <v>474</v>
      </c>
      <c r="H33" s="23" t="s">
        <v>467</v>
      </c>
      <c r="I33" s="23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3">
      <c r="A34" s="101"/>
      <c r="B34" s="101"/>
      <c r="C34" s="101"/>
      <c r="D34" s="22" t="s">
        <v>485</v>
      </c>
      <c r="E34" s="22" t="s">
        <v>25</v>
      </c>
      <c r="F34" s="22" t="s">
        <v>25</v>
      </c>
      <c r="G34" s="23" t="s">
        <v>474</v>
      </c>
      <c r="H34" s="23" t="s">
        <v>467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3">
      <c r="A35" s="101" t="s">
        <v>37</v>
      </c>
      <c r="B35" s="101" t="s">
        <v>466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468</v>
      </c>
      <c r="H35" s="23" t="s">
        <v>467</v>
      </c>
      <c r="I35" s="23">
        <f>'MERCADO TE'!$U$32</f>
        <v>3.0390000000000001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3">
      <c r="A36" s="101"/>
      <c r="B36" s="101"/>
      <c r="C36" s="101"/>
      <c r="D36" s="101"/>
      <c r="E36" s="101"/>
      <c r="F36" s="101"/>
      <c r="G36" s="23" t="s">
        <v>480</v>
      </c>
      <c r="H36" s="23" t="s">
        <v>467</v>
      </c>
      <c r="I36" s="23">
        <f>'MERCADO TE'!$U$33</f>
        <v>5.1750000000000007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3">
      <c r="A37" s="101"/>
      <c r="B37" s="101"/>
      <c r="C37" s="101"/>
      <c r="D37" s="101"/>
      <c r="E37" s="101"/>
      <c r="F37" s="101"/>
      <c r="G37" s="23" t="s">
        <v>469</v>
      </c>
      <c r="H37" s="23" t="s">
        <v>467</v>
      </c>
      <c r="I37" s="23">
        <f>'MERCADO TE'!$U$34</f>
        <v>190.53300000000002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3">
      <c r="A38" s="101"/>
      <c r="B38" s="22" t="s">
        <v>481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474</v>
      </c>
      <c r="H38" s="23" t="s">
        <v>467</v>
      </c>
      <c r="I38" s="23">
        <f>'MERCADO TE'!$U$35</f>
        <v>13839.034999999998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3">
      <c r="A39" s="101"/>
      <c r="B39" s="22" t="s">
        <v>482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474</v>
      </c>
      <c r="H39" s="23" t="s">
        <v>467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3">
      <c r="A40" s="101" t="s">
        <v>45</v>
      </c>
      <c r="B40" s="101" t="s">
        <v>481</v>
      </c>
      <c r="C40" s="101" t="s">
        <v>46</v>
      </c>
      <c r="D40" s="22" t="s">
        <v>486</v>
      </c>
      <c r="E40" s="22" t="s">
        <v>25</v>
      </c>
      <c r="F40" s="22" t="s">
        <v>25</v>
      </c>
      <c r="G40" s="23" t="s">
        <v>474</v>
      </c>
      <c r="H40" s="23" t="s">
        <v>467</v>
      </c>
      <c r="I40" s="23">
        <f>'MERCADO TE'!$U$37</f>
        <v>0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3">
      <c r="A41" s="101"/>
      <c r="B41" s="101"/>
      <c r="C41" s="101"/>
      <c r="D41" s="23" t="s">
        <v>47</v>
      </c>
      <c r="E41" s="23" t="s">
        <v>25</v>
      </c>
      <c r="F41" s="23" t="s">
        <v>25</v>
      </c>
      <c r="G41" s="23" t="s">
        <v>474</v>
      </c>
      <c r="H41" s="23" t="s">
        <v>467</v>
      </c>
      <c r="I41" s="23">
        <f>'MERCADO TE'!$U$38</f>
        <v>3807.3310000000001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3">
      <c r="K43" s="25" t="s">
        <v>615</v>
      </c>
      <c r="L43" s="20">
        <f t="shared" ref="L43:AB43" si="0">SUMPRODUCT($I$5:$I$41,L$5:L$41)</f>
        <v>55582.005599999989</v>
      </c>
      <c r="M43" s="20">
        <f t="shared" si="0"/>
        <v>55582.005599999989</v>
      </c>
      <c r="N43" s="20">
        <f t="shared" si="0"/>
        <v>55582.005599999989</v>
      </c>
      <c r="O43" s="20">
        <f t="shared" si="0"/>
        <v>55582.005599999989</v>
      </c>
      <c r="P43" s="20">
        <f t="shared" si="0"/>
        <v>55582.005599999989</v>
      </c>
      <c r="Q43" s="20">
        <f t="shared" si="0"/>
        <v>0</v>
      </c>
      <c r="R43" s="20">
        <f t="shared" si="0"/>
        <v>55582.005599999989</v>
      </c>
      <c r="S43" s="20">
        <f t="shared" si="0"/>
        <v>0</v>
      </c>
      <c r="T43" s="20">
        <f t="shared" si="0"/>
        <v>55582.005599999989</v>
      </c>
      <c r="U43" s="20">
        <f t="shared" si="0"/>
        <v>55582.005599999989</v>
      </c>
      <c r="V43" s="20">
        <f t="shared" si="0"/>
        <v>55582.005599999989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55582.005599999989</v>
      </c>
      <c r="AA43" s="20">
        <f t="shared" si="0"/>
        <v>0</v>
      </c>
      <c r="AB43" s="20">
        <f t="shared" si="0"/>
        <v>0</v>
      </c>
    </row>
    <row r="44" spans="1:28" ht="11.25" customHeight="1" x14ac:dyDescent="0.3">
      <c r="K44" s="25" t="s">
        <v>534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10937627.172338372</v>
      </c>
      <c r="S44" s="20">
        <f>CUSTOS!$D$37</f>
        <v>10937627.172338372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10937627.172338372</v>
      </c>
    </row>
    <row r="45" spans="1:28" ht="11.25" customHeight="1" x14ac:dyDescent="0.3">
      <c r="K45" s="25" t="s">
        <v>535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-6483874.1071995627</v>
      </c>
      <c r="S45" s="20">
        <f>CUSTOS!$E$37</f>
        <v>-6483874.1071995627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-120670.83058342196</v>
      </c>
      <c r="Y45" s="20">
        <f>CUSTOS!$E$43</f>
        <v>-120670.83058342196</v>
      </c>
      <c r="Z45" s="20">
        <f>CUSTOS!$E$44</f>
        <v>0</v>
      </c>
      <c r="AA45" s="20">
        <f>CUSTOS!$E$45</f>
        <v>0</v>
      </c>
      <c r="AB45" s="20">
        <f>CUSTOS!$E$46</f>
        <v>-6604544.9377829842</v>
      </c>
    </row>
    <row r="46" spans="1:28" ht="11.25" customHeight="1" x14ac:dyDescent="0.3">
      <c r="K46" s="25" t="s">
        <v>536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616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0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0</v>
      </c>
      <c r="Q47" s="20"/>
      <c r="R47" s="20">
        <f>IF((CUSTOS!$M$12-CUSTOS!$M$13)&lt;&gt;0,(CUSTOS!$M$12*CUSTOS!$M$14)/(CUSTOS!$M$12-CUSTOS!$M$13),0)</f>
        <v>194.53987379999998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0</v>
      </c>
      <c r="AA47" s="20"/>
      <c r="AB47" s="20"/>
    </row>
    <row r="48" spans="1:28" ht="11.25" customHeight="1" x14ac:dyDescent="0.3">
      <c r="K48" s="25" t="s">
        <v>617</v>
      </c>
      <c r="L48" s="20">
        <f>IF(L43&lt;&gt;0,(L44-L47*0)/(L43-0),0)</f>
        <v>0</v>
      </c>
      <c r="M48" s="20">
        <f>IF(M43&lt;&gt;0,(M44-M47*0)/(M43-0),0)</f>
        <v>0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0</v>
      </c>
      <c r="Q48" s="20"/>
      <c r="R48" s="20">
        <f>IF(R43&lt;&gt;0,(R44-R47*0)/(R43-0),0)</f>
        <v>196.78360027257409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0</v>
      </c>
      <c r="AA48" s="20"/>
      <c r="AB48" s="20"/>
    </row>
    <row r="49" spans="11:28" ht="11.25" customHeight="1" x14ac:dyDescent="0.3">
      <c r="K49" s="25" t="s">
        <v>618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F95B-8643-4AB5-8586-6076A710454E}">
  <dimension ref="A1:AB49"/>
  <sheetViews>
    <sheetView showGridLines="0" topLeftCell="I26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0" t="s">
        <v>457</v>
      </c>
      <c r="B1" s="100" t="s">
        <v>458</v>
      </c>
      <c r="C1" s="100" t="s">
        <v>459</v>
      </c>
      <c r="D1" s="100" t="s">
        <v>460</v>
      </c>
      <c r="E1" s="100" t="s">
        <v>461</v>
      </c>
      <c r="F1" s="100" t="s">
        <v>15</v>
      </c>
      <c r="G1" s="100" t="s">
        <v>463</v>
      </c>
      <c r="H1" s="100" t="s">
        <v>464</v>
      </c>
      <c r="I1" s="100" t="s">
        <v>593</v>
      </c>
      <c r="J1" s="84"/>
      <c r="L1" s="98" t="s">
        <v>619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98" t="s">
        <v>520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98" t="s">
        <v>493</v>
      </c>
      <c r="M3" s="98"/>
      <c r="N3" s="98"/>
      <c r="O3" s="98"/>
      <c r="P3" s="98"/>
      <c r="Q3" s="98"/>
      <c r="R3" s="98" t="s">
        <v>524</v>
      </c>
      <c r="S3" s="98"/>
      <c r="T3" s="98" t="s">
        <v>502</v>
      </c>
      <c r="U3" s="98"/>
      <c r="V3" s="98"/>
      <c r="W3" s="98"/>
      <c r="X3" s="98" t="s">
        <v>512</v>
      </c>
      <c r="Y3" s="98"/>
      <c r="Z3" s="98" t="s">
        <v>515</v>
      </c>
      <c r="AA3" s="98"/>
      <c r="AB3" s="98" t="s">
        <v>501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495</v>
      </c>
      <c r="M4" s="24" t="s">
        <v>521</v>
      </c>
      <c r="N4" s="24" t="s">
        <v>522</v>
      </c>
      <c r="O4" s="24" t="s">
        <v>581</v>
      </c>
      <c r="P4" s="24" t="s">
        <v>523</v>
      </c>
      <c r="Q4" s="24" t="s">
        <v>501</v>
      </c>
      <c r="R4" s="24" t="s">
        <v>525</v>
      </c>
      <c r="S4" s="24" t="s">
        <v>501</v>
      </c>
      <c r="T4" s="24" t="s">
        <v>526</v>
      </c>
      <c r="U4" s="24" t="s">
        <v>527</v>
      </c>
      <c r="V4" s="24" t="s">
        <v>528</v>
      </c>
      <c r="W4" s="24" t="s">
        <v>501</v>
      </c>
      <c r="X4" s="24" t="s">
        <v>513</v>
      </c>
      <c r="Y4" s="24" t="s">
        <v>501</v>
      </c>
      <c r="Z4" s="24" t="s">
        <v>529</v>
      </c>
      <c r="AA4" s="24" t="s">
        <v>501</v>
      </c>
      <c r="AB4" s="99"/>
    </row>
    <row r="5" spans="1:28" ht="11.25" customHeight="1" x14ac:dyDescent="0.3">
      <c r="A5" s="101" t="s">
        <v>39</v>
      </c>
      <c r="B5" s="101" t="s">
        <v>466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468</v>
      </c>
      <c r="H5" s="23" t="s">
        <v>467</v>
      </c>
      <c r="I5" s="23">
        <f>'MERCADO TE'!$U$2</f>
        <v>381.36199999999997</v>
      </c>
      <c r="J5" s="15"/>
      <c r="L5" s="20">
        <f>'TR TE'!$L$5*'TR TE'!$L$48</f>
        <v>0</v>
      </c>
      <c r="M5" s="20">
        <f>'TR TE'!$M$5*'TR TE'!$M$48</f>
        <v>0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0</v>
      </c>
      <c r="Q5" s="20">
        <f>SUM($L$5:$P$5)</f>
        <v>0</v>
      </c>
      <c r="R5" s="20">
        <f>'TR TE'!$R$5*'TR TE'!$R$48</f>
        <v>196.78360027257409</v>
      </c>
      <c r="S5" s="20">
        <f>SUM($R$5:$R$5)</f>
        <v>196.78360027257409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0</v>
      </c>
      <c r="AA5" s="20">
        <f>SUM($Z$5:$Z$5)</f>
        <v>0</v>
      </c>
      <c r="AB5" s="20">
        <f>SUMIF($L$4:$AA$4,"SUBTOTAL",$L$5:$AA$5)</f>
        <v>196.78360027257409</v>
      </c>
    </row>
    <row r="6" spans="1:28" ht="11.25" customHeight="1" x14ac:dyDescent="0.3">
      <c r="A6" s="101"/>
      <c r="B6" s="101"/>
      <c r="C6" s="101"/>
      <c r="D6" s="101"/>
      <c r="E6" s="101"/>
      <c r="F6" s="101"/>
      <c r="G6" s="23" t="s">
        <v>469</v>
      </c>
      <c r="H6" s="23" t="s">
        <v>467</v>
      </c>
      <c r="I6" s="23">
        <f>'MERCADO TE'!$U$3</f>
        <v>8068.7160000000003</v>
      </c>
      <c r="J6" s="15"/>
      <c r="L6" s="20">
        <f>'TR TE'!$L$6*'TR TE'!$L$48</f>
        <v>0</v>
      </c>
      <c r="M6" s="20">
        <f>'TR TE'!$M$6*'TR TE'!$M$48</f>
        <v>0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0</v>
      </c>
      <c r="Q6" s="20">
        <f>SUM($L$6:$P$6)</f>
        <v>0</v>
      </c>
      <c r="R6" s="20">
        <f>'TR TE'!$R$6*'TR TE'!$R$48</f>
        <v>196.78360027257409</v>
      </c>
      <c r="S6" s="20">
        <f>SUM($R$6:$R$6)</f>
        <v>196.78360027257409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0</v>
      </c>
      <c r="AA6" s="20">
        <f>SUM($Z$6:$Z$6)</f>
        <v>0</v>
      </c>
      <c r="AB6" s="20">
        <f>SUMIF($L$4:$AA$4,"SUBTOTAL",$L$6:$AA$6)</f>
        <v>196.78360027257409</v>
      </c>
    </row>
    <row r="7" spans="1:28" ht="11.25" customHeight="1" x14ac:dyDescent="0.3">
      <c r="A7" s="101" t="s">
        <v>22</v>
      </c>
      <c r="B7" s="101" t="s">
        <v>466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468</v>
      </c>
      <c r="H7" s="23" t="s">
        <v>467</v>
      </c>
      <c r="I7" s="23">
        <f>'MERCADO TE'!$U$4</f>
        <v>0.495</v>
      </c>
      <c r="J7" s="15"/>
      <c r="L7" s="20">
        <f>'TR TE'!$L$7*'TR TE'!$L$48</f>
        <v>0</v>
      </c>
      <c r="M7" s="20">
        <f>'TR TE'!$M$7*'TR TE'!$M$48</f>
        <v>0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0</v>
      </c>
      <c r="Q7" s="20">
        <f>SUM($L$7:$P$7)</f>
        <v>0</v>
      </c>
      <c r="R7" s="20">
        <f>'TR TE'!$R$7*'TR TE'!$R$48</f>
        <v>196.78360027257409</v>
      </c>
      <c r="S7" s="20">
        <f>SUM($R$7:$R$7)</f>
        <v>196.78360027257409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0</v>
      </c>
      <c r="AA7" s="20">
        <f>SUM($Z$7:$Z$7)</f>
        <v>0</v>
      </c>
      <c r="AB7" s="20">
        <f>SUMIF($L$4:$AA$4,"SUBTOTAL",$L$7:$AA$7)</f>
        <v>196.78360027257409</v>
      </c>
    </row>
    <row r="8" spans="1:28" ht="11.25" customHeight="1" x14ac:dyDescent="0.3">
      <c r="A8" s="101"/>
      <c r="B8" s="101"/>
      <c r="C8" s="101"/>
      <c r="D8" s="101"/>
      <c r="E8" s="101"/>
      <c r="F8" s="101"/>
      <c r="G8" s="23" t="s">
        <v>480</v>
      </c>
      <c r="H8" s="23" t="s">
        <v>467</v>
      </c>
      <c r="I8" s="23">
        <f>'MERCADO TE'!$U$5</f>
        <v>0.24800000000000003</v>
      </c>
      <c r="J8" s="15"/>
      <c r="L8" s="20">
        <f>'TR TE'!$L$8*'TR TE'!$L$48</f>
        <v>0</v>
      </c>
      <c r="M8" s="20">
        <f>'TR TE'!$M$8*'TR TE'!$M$48</f>
        <v>0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0</v>
      </c>
      <c r="Q8" s="20">
        <f>SUM($L$8:$P$8)</f>
        <v>0</v>
      </c>
      <c r="R8" s="20">
        <f>'TR TE'!$R$8*'TR TE'!$R$48</f>
        <v>196.78360027257409</v>
      </c>
      <c r="S8" s="20">
        <f>SUM($R$8:$R$8)</f>
        <v>196.78360027257409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0</v>
      </c>
      <c r="AA8" s="20">
        <f>SUM($Z$8:$Z$8)</f>
        <v>0</v>
      </c>
      <c r="AB8" s="20">
        <f>SUMIF($L$4:$AA$4,"SUBTOTAL",$L$8:$AA$8)</f>
        <v>196.78360027257409</v>
      </c>
    </row>
    <row r="9" spans="1:28" ht="11.25" customHeight="1" x14ac:dyDescent="0.3">
      <c r="A9" s="101"/>
      <c r="B9" s="101"/>
      <c r="C9" s="101"/>
      <c r="D9" s="101"/>
      <c r="E9" s="101"/>
      <c r="F9" s="101"/>
      <c r="G9" s="23" t="s">
        <v>469</v>
      </c>
      <c r="H9" s="23" t="s">
        <v>467</v>
      </c>
      <c r="I9" s="23">
        <f>'MERCADO TE'!$U$6</f>
        <v>6.5449999999999999</v>
      </c>
      <c r="J9" s="15"/>
      <c r="L9" s="20">
        <f>'TR TE'!$L$9*'TR TE'!$L$48</f>
        <v>0</v>
      </c>
      <c r="M9" s="20">
        <f>'TR TE'!$M$9*'TR TE'!$M$48</f>
        <v>0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0</v>
      </c>
      <c r="Q9" s="20">
        <f>SUM($L$9:$P$9)</f>
        <v>0</v>
      </c>
      <c r="R9" s="20">
        <f>'TR TE'!$R$9*'TR TE'!$R$48</f>
        <v>196.78360027257409</v>
      </c>
      <c r="S9" s="20">
        <f>SUM($R$9:$R$9)</f>
        <v>196.78360027257409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0</v>
      </c>
      <c r="AA9" s="20">
        <f>SUM($Z$9:$Z$9)</f>
        <v>0</v>
      </c>
      <c r="AB9" s="20">
        <f>SUMIF($L$4:$AA$4,"SUBTOTAL",$L$9:$AA$9)</f>
        <v>196.78360027257409</v>
      </c>
    </row>
    <row r="10" spans="1:28" ht="11.25" customHeight="1" x14ac:dyDescent="0.3">
      <c r="A10" s="101"/>
      <c r="B10" s="101" t="s">
        <v>481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474</v>
      </c>
      <c r="H10" s="23" t="s">
        <v>467</v>
      </c>
      <c r="I10" s="23">
        <f>'MERCADO TE'!$U$7</f>
        <v>29737.986000000001</v>
      </c>
      <c r="J10" s="15"/>
      <c r="L10" s="20">
        <f>'TR TE'!$L$10*'TR TE'!$L$48</f>
        <v>0</v>
      </c>
      <c r="M10" s="20">
        <f>'TR TE'!$M$10*'TR TE'!$M$48</f>
        <v>0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0</v>
      </c>
      <c r="Q10" s="20">
        <f>SUM($L$10:$P$10)</f>
        <v>0</v>
      </c>
      <c r="R10" s="20">
        <f>'TR TE'!$R$10*'TR TE'!$R$48</f>
        <v>196.78360027257409</v>
      </c>
      <c r="S10" s="20">
        <f>SUM($R$10:$R$10)</f>
        <v>196.78360027257409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0</v>
      </c>
      <c r="AA10" s="20">
        <f>SUM($Z$10:$Z$10)</f>
        <v>0</v>
      </c>
      <c r="AB10" s="20">
        <f>SUMIF($L$4:$AA$4,"SUBTOTAL",$L$10:$AA$10)</f>
        <v>196.78360027257409</v>
      </c>
    </row>
    <row r="11" spans="1:28" ht="11.25" customHeight="1" x14ac:dyDescent="0.3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474</v>
      </c>
      <c r="H11" s="23" t="s">
        <v>467</v>
      </c>
      <c r="I11" s="23">
        <f>'MERCADO TE'!$U$8</f>
        <v>83.323000000000008</v>
      </c>
      <c r="J11" s="15"/>
      <c r="L11" s="20">
        <f>'TR TE'!$L$11*'TR TE'!$L$48</f>
        <v>0</v>
      </c>
      <c r="M11" s="20">
        <f>'TR TE'!$M$11*'TR TE'!$M$48</f>
        <v>0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0</v>
      </c>
      <c r="Q11" s="20">
        <f>SUM($L$11:$P$11)</f>
        <v>0</v>
      </c>
      <c r="R11" s="20">
        <f>'TR TE'!$R$11*'TR TE'!$R$48</f>
        <v>196.78360027257409</v>
      </c>
      <c r="S11" s="20">
        <f>SUM($R$11:$R$11)</f>
        <v>196.78360027257409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0</v>
      </c>
      <c r="AA11" s="20">
        <f>SUM($Z$11:$Z$11)</f>
        <v>0</v>
      </c>
      <c r="AB11" s="20">
        <f>SUMIF($L$4:$AA$4,"SUBTOTAL",$L$11:$AA$11)</f>
        <v>196.78360027257409</v>
      </c>
    </row>
    <row r="12" spans="1:28" ht="11.25" customHeight="1" x14ac:dyDescent="0.3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474</v>
      </c>
      <c r="H12" s="23" t="s">
        <v>467</v>
      </c>
      <c r="I12" s="23">
        <f>'MERCADO TE'!$U$9</f>
        <v>175.95599999999999</v>
      </c>
      <c r="J12" s="15"/>
      <c r="L12" s="20">
        <f>'TR TE'!$L$12*'TR TE'!$L$48</f>
        <v>0</v>
      </c>
      <c r="M12" s="20">
        <f>'TR TE'!$M$12*'TR TE'!$M$48</f>
        <v>0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0</v>
      </c>
      <c r="Q12" s="20">
        <f>SUM($L$12:$P$12)</f>
        <v>0</v>
      </c>
      <c r="R12" s="20">
        <f>'TR TE'!$R$12*'TR TE'!$R$48</f>
        <v>196.78360027257409</v>
      </c>
      <c r="S12" s="20">
        <f>SUM($R$12:$R$12)</f>
        <v>196.78360027257409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0</v>
      </c>
      <c r="AA12" s="20">
        <f>SUM($Z$12:$Z$12)</f>
        <v>0</v>
      </c>
      <c r="AB12" s="20">
        <f>SUMIF($L$4:$AA$4,"SUBTOTAL",$L$12:$AA$12)</f>
        <v>196.78360027257409</v>
      </c>
    </row>
    <row r="13" spans="1:28" ht="11.25" customHeight="1" x14ac:dyDescent="0.3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474</v>
      </c>
      <c r="H13" s="23" t="s">
        <v>467</v>
      </c>
      <c r="I13" s="23">
        <f>'MERCADO TE'!$U$10</f>
        <v>193.03699999999998</v>
      </c>
      <c r="J13" s="15"/>
      <c r="L13" s="20">
        <f>'TR TE'!$L$13*'TR TE'!$L$48</f>
        <v>0</v>
      </c>
      <c r="M13" s="20">
        <f>'TR TE'!$M$13*'TR TE'!$M$48</f>
        <v>0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0</v>
      </c>
      <c r="Q13" s="20">
        <f>SUM($L$13:$P$13)</f>
        <v>0</v>
      </c>
      <c r="R13" s="20">
        <f>'TR TE'!$R$13*'TR TE'!$R$48</f>
        <v>196.78360027257409</v>
      </c>
      <c r="S13" s="20">
        <f>SUM($R$13:$R$13)</f>
        <v>196.78360027257409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0</v>
      </c>
      <c r="AA13" s="20">
        <f>SUM($Z$13:$Z$13)</f>
        <v>0</v>
      </c>
      <c r="AB13" s="20">
        <f>SUMIF($L$4:$AA$4,"SUBTOTAL",$L$13:$AA$13)</f>
        <v>196.78360027257409</v>
      </c>
    </row>
    <row r="14" spans="1:28" ht="11.25" customHeight="1" x14ac:dyDescent="0.3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474</v>
      </c>
      <c r="H14" s="23" t="s">
        <v>467</v>
      </c>
      <c r="I14" s="23">
        <f>'MERCADO TE'!$U$11</f>
        <v>98.578999999999994</v>
      </c>
      <c r="J14" s="15"/>
      <c r="L14" s="20">
        <f>'TR TE'!$L$14*'TR TE'!$L$48</f>
        <v>0</v>
      </c>
      <c r="M14" s="20">
        <f>'TR TE'!$M$14*'TR TE'!$M$48</f>
        <v>0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0</v>
      </c>
      <c r="Q14" s="20">
        <f>SUM($L$14:$P$14)</f>
        <v>0</v>
      </c>
      <c r="R14" s="20">
        <f>'TR TE'!$R$14*'TR TE'!$R$48</f>
        <v>196.78360027257409</v>
      </c>
      <c r="S14" s="20">
        <f>SUM($R$14:$R$14)</f>
        <v>196.78360027257409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0</v>
      </c>
      <c r="AA14" s="20">
        <f>SUM($Z$14:$Z$14)</f>
        <v>0</v>
      </c>
      <c r="AB14" s="20">
        <f>SUMIF($L$4:$AA$4,"SUBTOTAL",$L$14:$AA$14)</f>
        <v>196.78360027257409</v>
      </c>
    </row>
    <row r="15" spans="1:28" ht="11.25" customHeight="1" x14ac:dyDescent="0.3">
      <c r="A15" s="101"/>
      <c r="B15" s="101" t="s">
        <v>482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474</v>
      </c>
      <c r="H15" s="23" t="s">
        <v>467</v>
      </c>
      <c r="I15" s="23">
        <f>'MERCADO TE'!$U$12</f>
        <v>0</v>
      </c>
      <c r="J15" s="15"/>
      <c r="L15" s="20">
        <f>'TR TE'!$L$15*'TR TE'!$L$48</f>
        <v>0</v>
      </c>
      <c r="M15" s="20">
        <f>'TR TE'!$M$15*'TR TE'!$M$48</f>
        <v>0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0</v>
      </c>
      <c r="Q15" s="20">
        <f>SUM($L$15:$P$15)</f>
        <v>0</v>
      </c>
      <c r="R15" s="20">
        <f>'TR TE'!$R$15*'TR TE'!$R$48</f>
        <v>196.78360027257409</v>
      </c>
      <c r="S15" s="20">
        <f>SUM($R$15:$R$15)</f>
        <v>196.78360027257409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0</v>
      </c>
      <c r="AA15" s="20">
        <f>SUM($Z$15:$Z$15)</f>
        <v>0</v>
      </c>
      <c r="AB15" s="20">
        <f>SUMIF($L$4:$AA$4,"SUBTOTAL",$L$15:$AA$15)</f>
        <v>196.78360027257409</v>
      </c>
    </row>
    <row r="16" spans="1:28" ht="11.25" customHeight="1" x14ac:dyDescent="0.3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474</v>
      </c>
      <c r="H16" s="23" t="s">
        <v>467</v>
      </c>
      <c r="I16" s="23">
        <f>'MERCADO TE'!$U$13</f>
        <v>0</v>
      </c>
      <c r="J16" s="15"/>
      <c r="L16" s="20">
        <f>'TR TE'!$L$16*'TR TE'!$L$48</f>
        <v>0</v>
      </c>
      <c r="M16" s="20">
        <f>'TR TE'!$M$16*'TR TE'!$M$48</f>
        <v>0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0</v>
      </c>
      <c r="Q16" s="20">
        <f>SUM($L$16:$P$16)</f>
        <v>0</v>
      </c>
      <c r="R16" s="20">
        <f>'TR TE'!$R$16*'TR TE'!$R$48</f>
        <v>196.78360027257409</v>
      </c>
      <c r="S16" s="20">
        <f>SUM($R$16:$R$16)</f>
        <v>196.78360027257409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0</v>
      </c>
      <c r="AA16" s="20">
        <f>SUM($Z$16:$Z$16)</f>
        <v>0</v>
      </c>
      <c r="AB16" s="20">
        <f>SUMIF($L$4:$AA$4,"SUBTOTAL",$L$16:$AA$16)</f>
        <v>196.78360027257409</v>
      </c>
    </row>
    <row r="17" spans="1:28" ht="11.25" customHeight="1" x14ac:dyDescent="0.3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474</v>
      </c>
      <c r="H17" s="23" t="s">
        <v>467</v>
      </c>
      <c r="I17" s="23">
        <f>'MERCADO TE'!$U$14</f>
        <v>0</v>
      </c>
      <c r="J17" s="15"/>
      <c r="L17" s="20">
        <f>'TR TE'!$L$17*'TR TE'!$L$48</f>
        <v>0</v>
      </c>
      <c r="M17" s="20">
        <f>'TR TE'!$M$17*'TR TE'!$M$48</f>
        <v>0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0</v>
      </c>
      <c r="Q17" s="20">
        <f>SUM($L$17:$P$17)</f>
        <v>0</v>
      </c>
      <c r="R17" s="20">
        <f>'TR TE'!$R$17*'TR TE'!$R$48</f>
        <v>196.78360027257409</v>
      </c>
      <c r="S17" s="20">
        <f>SUM($R$17:$R$17)</f>
        <v>196.78360027257409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0</v>
      </c>
      <c r="AA17" s="20">
        <f>SUM($Z$17:$Z$17)</f>
        <v>0</v>
      </c>
      <c r="AB17" s="20">
        <f>SUMIF($L$4:$AA$4,"SUBTOTAL",$L$17:$AA$17)</f>
        <v>196.78360027257409</v>
      </c>
    </row>
    <row r="18" spans="1:28" ht="11.25" customHeight="1" x14ac:dyDescent="0.3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474</v>
      </c>
      <c r="H18" s="23" t="s">
        <v>467</v>
      </c>
      <c r="I18" s="23">
        <f>'MERCADO TE'!$U$15</f>
        <v>0</v>
      </c>
      <c r="J18" s="15"/>
      <c r="L18" s="20">
        <f>'TR TE'!$L$18*'TR TE'!$L$48</f>
        <v>0</v>
      </c>
      <c r="M18" s="20">
        <f>'TR TE'!$M$18*'TR TE'!$M$48</f>
        <v>0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0</v>
      </c>
      <c r="Q18" s="20">
        <f>SUM($L$18:$P$18)</f>
        <v>0</v>
      </c>
      <c r="R18" s="20">
        <f>'TR TE'!$R$18*'TR TE'!$R$48</f>
        <v>196.78360027257409</v>
      </c>
      <c r="S18" s="20">
        <f>SUM($R$18:$R$18)</f>
        <v>196.78360027257409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0</v>
      </c>
      <c r="AA18" s="20">
        <f>SUM($Z$18:$Z$18)</f>
        <v>0</v>
      </c>
      <c r="AB18" s="20">
        <f>SUMIF($L$4:$AA$4,"SUBTOTAL",$L$18:$AA$18)</f>
        <v>196.78360027257409</v>
      </c>
    </row>
    <row r="19" spans="1:28" ht="11.25" customHeight="1" x14ac:dyDescent="0.3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474</v>
      </c>
      <c r="H19" s="23" t="s">
        <v>467</v>
      </c>
      <c r="I19" s="23">
        <f>'MERCADO TE'!$U$16</f>
        <v>0</v>
      </c>
      <c r="J19" s="15"/>
      <c r="L19" s="20">
        <f>'TR TE'!$L$19*'TR TE'!$L$48</f>
        <v>0</v>
      </c>
      <c r="M19" s="20">
        <f>'TR TE'!$M$19*'TR TE'!$M$48</f>
        <v>0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0</v>
      </c>
      <c r="Q19" s="20">
        <f>SUM($L$19:$P$19)</f>
        <v>0</v>
      </c>
      <c r="R19" s="20">
        <f>'TR TE'!$R$19*'TR TE'!$R$48</f>
        <v>196.78360027257409</v>
      </c>
      <c r="S19" s="20">
        <f>SUM($R$19:$R$19)</f>
        <v>196.78360027257409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0</v>
      </c>
      <c r="AA19" s="20">
        <f>SUM($Z$19:$Z$19)</f>
        <v>0</v>
      </c>
      <c r="AB19" s="20">
        <f>SUMIF($L$4:$AA$4,"SUBTOTAL",$L$19:$AA$19)</f>
        <v>196.78360027257409</v>
      </c>
    </row>
    <row r="20" spans="1:28" ht="11.25" customHeight="1" x14ac:dyDescent="0.3">
      <c r="A20" s="101" t="s">
        <v>42</v>
      </c>
      <c r="B20" s="101" t="s">
        <v>466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468</v>
      </c>
      <c r="H20" s="23" t="s">
        <v>467</v>
      </c>
      <c r="I20" s="23">
        <f>'MERCADO TE'!$U$17</f>
        <v>0</v>
      </c>
      <c r="J20" s="15"/>
      <c r="L20" s="20">
        <f>'TR TE'!$L$20*'TR TE'!$L$48</f>
        <v>0</v>
      </c>
      <c r="M20" s="20">
        <f>'TR TE'!$M$20*'TR TE'!$M$48</f>
        <v>0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0</v>
      </c>
      <c r="Q20" s="20">
        <f>SUM($L$20:$P$20)</f>
        <v>0</v>
      </c>
      <c r="R20" s="20">
        <f>'TR TE'!$R$20*'TR TE'!$R$48</f>
        <v>196.78360027257409</v>
      </c>
      <c r="S20" s="20">
        <f>SUM($R$20:$R$20)</f>
        <v>196.78360027257409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0</v>
      </c>
      <c r="AA20" s="20">
        <f>SUM($Z$20:$Z$20)</f>
        <v>0</v>
      </c>
      <c r="AB20" s="20">
        <f>SUMIF($L$4:$AA$4,"SUBTOTAL",$L$20:$AA$20)</f>
        <v>196.78360027257409</v>
      </c>
    </row>
    <row r="21" spans="1:28" ht="11.25" customHeight="1" x14ac:dyDescent="0.3">
      <c r="A21" s="101"/>
      <c r="B21" s="101"/>
      <c r="C21" s="101"/>
      <c r="D21" s="101"/>
      <c r="E21" s="101"/>
      <c r="F21" s="101"/>
      <c r="G21" s="23" t="s">
        <v>480</v>
      </c>
      <c r="H21" s="23" t="s">
        <v>467</v>
      </c>
      <c r="I21" s="23">
        <f>'MERCADO TE'!$U$18</f>
        <v>0</v>
      </c>
      <c r="J21" s="15"/>
      <c r="L21" s="20">
        <f>'TR TE'!$L$21*'TR TE'!$L$48</f>
        <v>0</v>
      </c>
      <c r="M21" s="20">
        <f>'TR TE'!$M$21*'TR TE'!$M$48</f>
        <v>0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0</v>
      </c>
      <c r="Q21" s="20">
        <f>SUM($L$21:$P$21)</f>
        <v>0</v>
      </c>
      <c r="R21" s="20">
        <f>'TR TE'!$R$21*'TR TE'!$R$48</f>
        <v>196.78360027257409</v>
      </c>
      <c r="S21" s="20">
        <f>SUM($R$21:$R$21)</f>
        <v>196.78360027257409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0</v>
      </c>
      <c r="AA21" s="20">
        <f>SUM($Z$21:$Z$21)</f>
        <v>0</v>
      </c>
      <c r="AB21" s="20">
        <f>SUMIF($L$4:$AA$4,"SUBTOTAL",$L$21:$AA$21)</f>
        <v>196.78360027257409</v>
      </c>
    </row>
    <row r="22" spans="1:28" ht="11.25" customHeight="1" x14ac:dyDescent="0.3">
      <c r="A22" s="101"/>
      <c r="B22" s="101"/>
      <c r="C22" s="101"/>
      <c r="D22" s="101"/>
      <c r="E22" s="101"/>
      <c r="F22" s="101"/>
      <c r="G22" s="23" t="s">
        <v>469</v>
      </c>
      <c r="H22" s="23" t="s">
        <v>467</v>
      </c>
      <c r="I22" s="23">
        <f>'MERCADO TE'!$U$19</f>
        <v>0</v>
      </c>
      <c r="J22" s="15"/>
      <c r="L22" s="20">
        <f>'TR TE'!$L$22*'TR TE'!$L$48</f>
        <v>0</v>
      </c>
      <c r="M22" s="20">
        <f>'TR TE'!$M$22*'TR TE'!$M$48</f>
        <v>0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0</v>
      </c>
      <c r="Q22" s="20">
        <f>SUM($L$22:$P$22)</f>
        <v>0</v>
      </c>
      <c r="R22" s="20">
        <f>'TR TE'!$R$22*'TR TE'!$R$48</f>
        <v>196.78360027257409</v>
      </c>
      <c r="S22" s="20">
        <f>SUM($R$22:$R$22)</f>
        <v>196.78360027257409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0</v>
      </c>
      <c r="AA22" s="20">
        <f>SUM($Z$22:$Z$22)</f>
        <v>0</v>
      </c>
      <c r="AB22" s="20">
        <f>SUMIF($L$4:$AA$4,"SUBTOTAL",$L$22:$AA$22)</f>
        <v>196.78360027257409</v>
      </c>
    </row>
    <row r="23" spans="1:28" ht="11.25" customHeight="1" x14ac:dyDescent="0.3">
      <c r="A23" s="101"/>
      <c r="B23" s="22" t="s">
        <v>481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474</v>
      </c>
      <c r="H23" s="23" t="s">
        <v>467</v>
      </c>
      <c r="I23" s="23">
        <f>'MERCADO TE'!$U$20</f>
        <v>513.57799999999997</v>
      </c>
      <c r="J23" s="15"/>
      <c r="L23" s="20">
        <f>'TR TE'!$L$23*'TR TE'!$L$48</f>
        <v>0</v>
      </c>
      <c r="M23" s="20">
        <f>'TR TE'!$M$23*'TR TE'!$M$48</f>
        <v>0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0</v>
      </c>
      <c r="Q23" s="20">
        <f>SUM($L$23:$P$23)</f>
        <v>0</v>
      </c>
      <c r="R23" s="20">
        <f>'TR TE'!$R$23*'TR TE'!$R$48</f>
        <v>196.78360027257409</v>
      </c>
      <c r="S23" s="20">
        <f>SUM($R$23:$R$23)</f>
        <v>196.78360027257409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0</v>
      </c>
      <c r="AA23" s="20">
        <f>SUM($Z$23:$Z$23)</f>
        <v>0</v>
      </c>
      <c r="AB23" s="20">
        <f>SUMIF($L$4:$AA$4,"SUBTOTAL",$L$23:$AA$23)</f>
        <v>196.78360027257409</v>
      </c>
    </row>
    <row r="24" spans="1:28" ht="11.25" customHeight="1" x14ac:dyDescent="0.3">
      <c r="A24" s="101"/>
      <c r="B24" s="101" t="s">
        <v>466</v>
      </c>
      <c r="C24" s="101" t="s">
        <v>43</v>
      </c>
      <c r="D24" s="101" t="s">
        <v>484</v>
      </c>
      <c r="E24" s="101" t="s">
        <v>25</v>
      </c>
      <c r="F24" s="101" t="s">
        <v>25</v>
      </c>
      <c r="G24" s="23" t="s">
        <v>468</v>
      </c>
      <c r="H24" s="23" t="s">
        <v>467</v>
      </c>
      <c r="I24" s="23">
        <f>'MERCADO TE'!$U$21</f>
        <v>0</v>
      </c>
      <c r="J24" s="15"/>
      <c r="L24" s="20">
        <f>'TR TE'!$L$24*'TR TE'!$L$48</f>
        <v>0</v>
      </c>
      <c r="M24" s="20">
        <f>'TR TE'!$M$24*'TR TE'!$M$48</f>
        <v>0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0</v>
      </c>
      <c r="Q24" s="20">
        <f>SUM($L$24:$P$24)</f>
        <v>0</v>
      </c>
      <c r="R24" s="20">
        <f>'TR TE'!$R$24*'TR TE'!$R$48</f>
        <v>196.78360027257409</v>
      </c>
      <c r="S24" s="20">
        <f>SUM($R$24:$R$24)</f>
        <v>196.78360027257409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0</v>
      </c>
      <c r="AA24" s="20">
        <f>SUM($Z$24:$Z$24)</f>
        <v>0</v>
      </c>
      <c r="AB24" s="20">
        <f>SUMIF($L$4:$AA$4,"SUBTOTAL",$L$24:$AA$24)</f>
        <v>196.78360027257409</v>
      </c>
    </row>
    <row r="25" spans="1:28" ht="11.25" customHeight="1" x14ac:dyDescent="0.3">
      <c r="A25" s="101"/>
      <c r="B25" s="101"/>
      <c r="C25" s="101"/>
      <c r="D25" s="101"/>
      <c r="E25" s="101"/>
      <c r="F25" s="101"/>
      <c r="G25" s="23" t="s">
        <v>480</v>
      </c>
      <c r="H25" s="23" t="s">
        <v>467</v>
      </c>
      <c r="I25" s="23">
        <f>'MERCADO TE'!$U$22</f>
        <v>0</v>
      </c>
      <c r="J25" s="15"/>
      <c r="L25" s="20">
        <f>'TR TE'!$L$25*'TR TE'!$L$48</f>
        <v>0</v>
      </c>
      <c r="M25" s="20">
        <f>'TR TE'!$M$25*'TR TE'!$M$48</f>
        <v>0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0</v>
      </c>
      <c r="Q25" s="20">
        <f>SUM($L$25:$P$25)</f>
        <v>0</v>
      </c>
      <c r="R25" s="20">
        <f>'TR TE'!$R$25*'TR TE'!$R$48</f>
        <v>196.78360027257409</v>
      </c>
      <c r="S25" s="20">
        <f>SUM($R$25:$R$25)</f>
        <v>196.78360027257409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0</v>
      </c>
      <c r="AA25" s="20">
        <f>SUM($Z$25:$Z$25)</f>
        <v>0</v>
      </c>
      <c r="AB25" s="20">
        <f>SUMIF($L$4:$AA$4,"SUBTOTAL",$L$25:$AA$25)</f>
        <v>196.78360027257409</v>
      </c>
    </row>
    <row r="26" spans="1:28" ht="11.25" customHeight="1" x14ac:dyDescent="0.3">
      <c r="A26" s="101"/>
      <c r="B26" s="101"/>
      <c r="C26" s="101"/>
      <c r="D26" s="101"/>
      <c r="E26" s="101"/>
      <c r="F26" s="101"/>
      <c r="G26" s="23" t="s">
        <v>469</v>
      </c>
      <c r="H26" s="23" t="s">
        <v>467</v>
      </c>
      <c r="I26" s="23">
        <f>'MERCADO TE'!$U$23</f>
        <v>0</v>
      </c>
      <c r="J26" s="15"/>
      <c r="L26" s="20">
        <f>'TR TE'!$L$26*'TR TE'!$L$48</f>
        <v>0</v>
      </c>
      <c r="M26" s="20">
        <f>'TR TE'!$M$26*'TR TE'!$M$48</f>
        <v>0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0</v>
      </c>
      <c r="Q26" s="20">
        <f>SUM($L$26:$P$26)</f>
        <v>0</v>
      </c>
      <c r="R26" s="20">
        <f>'TR TE'!$R$26*'TR TE'!$R$48</f>
        <v>196.78360027257409</v>
      </c>
      <c r="S26" s="20">
        <f>SUM($R$26:$R$26)</f>
        <v>196.78360027257409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0</v>
      </c>
      <c r="AA26" s="20">
        <f>SUM($Z$26:$Z$26)</f>
        <v>0</v>
      </c>
      <c r="AB26" s="20">
        <f>SUMIF($L$4:$AA$4,"SUBTOTAL",$L$26:$AA$26)</f>
        <v>196.78360027257409</v>
      </c>
    </row>
    <row r="27" spans="1:28" ht="11.25" customHeight="1" x14ac:dyDescent="0.3">
      <c r="A27" s="101"/>
      <c r="B27" s="22" t="s">
        <v>481</v>
      </c>
      <c r="C27" s="22" t="s">
        <v>43</v>
      </c>
      <c r="D27" s="22" t="s">
        <v>484</v>
      </c>
      <c r="E27" s="22" t="s">
        <v>25</v>
      </c>
      <c r="F27" s="22" t="s">
        <v>25</v>
      </c>
      <c r="G27" s="23" t="s">
        <v>474</v>
      </c>
      <c r="H27" s="23" t="s">
        <v>467</v>
      </c>
      <c r="I27" s="23">
        <f>'MERCADO TE'!$U$24</f>
        <v>0</v>
      </c>
      <c r="J27" s="15"/>
      <c r="L27" s="20">
        <f>'TR TE'!$L$27*'TR TE'!$L$48</f>
        <v>0</v>
      </c>
      <c r="M27" s="20">
        <f>'TR TE'!$M$27*'TR TE'!$M$48</f>
        <v>0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0</v>
      </c>
      <c r="Q27" s="20">
        <f>SUM($L$27:$P$27)</f>
        <v>0</v>
      </c>
      <c r="R27" s="20">
        <f>'TR TE'!$R$27*'TR TE'!$R$48</f>
        <v>196.78360027257409</v>
      </c>
      <c r="S27" s="20">
        <f>SUM($R$27:$R$27)</f>
        <v>196.78360027257409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0</v>
      </c>
      <c r="AA27" s="20">
        <f>SUM($Z$27:$Z$27)</f>
        <v>0</v>
      </c>
      <c r="AB27" s="20">
        <f>SUMIF($L$4:$AA$4,"SUBTOTAL",$L$27:$AA$27)</f>
        <v>196.78360027257409</v>
      </c>
    </row>
    <row r="28" spans="1:28" ht="11.25" customHeight="1" x14ac:dyDescent="0.3">
      <c r="A28" s="101"/>
      <c r="B28" s="101" t="s">
        <v>466</v>
      </c>
      <c r="C28" s="101" t="s">
        <v>43</v>
      </c>
      <c r="D28" s="101" t="s">
        <v>485</v>
      </c>
      <c r="E28" s="101" t="s">
        <v>25</v>
      </c>
      <c r="F28" s="101" t="s">
        <v>25</v>
      </c>
      <c r="G28" s="23" t="s">
        <v>468</v>
      </c>
      <c r="H28" s="23" t="s">
        <v>467</v>
      </c>
      <c r="I28" s="23">
        <f>'MERCADO TE'!$U$25</f>
        <v>0</v>
      </c>
      <c r="J28" s="15"/>
      <c r="L28" s="20">
        <f>'TR TE'!$L$28*'TR TE'!$L$48</f>
        <v>0</v>
      </c>
      <c r="M28" s="20">
        <f>'TR TE'!$M$28*'TR TE'!$M$48</f>
        <v>0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0</v>
      </c>
      <c r="Q28" s="20">
        <f>SUM($L$28:$P$28)</f>
        <v>0</v>
      </c>
      <c r="R28" s="20">
        <f>'TR TE'!$R$28*'TR TE'!$R$48</f>
        <v>196.78360027257409</v>
      </c>
      <c r="S28" s="20">
        <f>SUM($R$28:$R$28)</f>
        <v>196.78360027257409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0</v>
      </c>
      <c r="AA28" s="20">
        <f>SUM($Z$28:$Z$28)</f>
        <v>0</v>
      </c>
      <c r="AB28" s="20">
        <f>SUMIF($L$4:$AA$4,"SUBTOTAL",$L$28:$AA$28)</f>
        <v>196.78360027257409</v>
      </c>
    </row>
    <row r="29" spans="1:28" ht="11.25" customHeight="1" x14ac:dyDescent="0.3">
      <c r="A29" s="101"/>
      <c r="B29" s="101"/>
      <c r="C29" s="101"/>
      <c r="D29" s="101"/>
      <c r="E29" s="101"/>
      <c r="F29" s="101"/>
      <c r="G29" s="23" t="s">
        <v>480</v>
      </c>
      <c r="H29" s="23" t="s">
        <v>467</v>
      </c>
      <c r="I29" s="23">
        <f>'MERCADO TE'!$U$26</f>
        <v>0</v>
      </c>
      <c r="J29" s="15"/>
      <c r="L29" s="20">
        <f>'TR TE'!$L$29*'TR TE'!$L$48</f>
        <v>0</v>
      </c>
      <c r="M29" s="20">
        <f>'TR TE'!$M$29*'TR TE'!$M$48</f>
        <v>0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0</v>
      </c>
      <c r="Q29" s="20">
        <f>SUM($L$29:$P$29)</f>
        <v>0</v>
      </c>
      <c r="R29" s="20">
        <f>'TR TE'!$R$29*'TR TE'!$R$48</f>
        <v>196.78360027257409</v>
      </c>
      <c r="S29" s="20">
        <f>SUM($R$29:$R$29)</f>
        <v>196.78360027257409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0</v>
      </c>
      <c r="AA29" s="20">
        <f>SUM($Z$29:$Z$29)</f>
        <v>0</v>
      </c>
      <c r="AB29" s="20">
        <f>SUMIF($L$4:$AA$4,"SUBTOTAL",$L$29:$AA$29)</f>
        <v>196.78360027257409</v>
      </c>
    </row>
    <row r="30" spans="1:28" ht="11.25" customHeight="1" x14ac:dyDescent="0.3">
      <c r="A30" s="101"/>
      <c r="B30" s="101"/>
      <c r="C30" s="101"/>
      <c r="D30" s="101"/>
      <c r="E30" s="101"/>
      <c r="F30" s="101"/>
      <c r="G30" s="23" t="s">
        <v>469</v>
      </c>
      <c r="H30" s="23" t="s">
        <v>467</v>
      </c>
      <c r="I30" s="23">
        <f>'MERCADO TE'!$U$27</f>
        <v>0</v>
      </c>
      <c r="J30" s="15"/>
      <c r="L30" s="20">
        <f>'TR TE'!$L$30*'TR TE'!$L$48</f>
        <v>0</v>
      </c>
      <c r="M30" s="20">
        <f>'TR TE'!$M$30*'TR TE'!$M$48</f>
        <v>0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0</v>
      </c>
      <c r="Q30" s="20">
        <f>SUM($L$30:$P$30)</f>
        <v>0</v>
      </c>
      <c r="R30" s="20">
        <f>'TR TE'!$R$30*'TR TE'!$R$48</f>
        <v>196.78360027257409</v>
      </c>
      <c r="S30" s="20">
        <f>SUM($R$30:$R$30)</f>
        <v>196.78360027257409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0</v>
      </c>
      <c r="AA30" s="20">
        <f>SUM($Z$30:$Z$30)</f>
        <v>0</v>
      </c>
      <c r="AB30" s="20">
        <f>SUMIF($L$4:$AA$4,"SUBTOTAL",$L$30:$AA$30)</f>
        <v>196.78360027257409</v>
      </c>
    </row>
    <row r="31" spans="1:28" ht="11.25" customHeight="1" x14ac:dyDescent="0.3">
      <c r="A31" s="101"/>
      <c r="B31" s="22" t="s">
        <v>481</v>
      </c>
      <c r="C31" s="22" t="s">
        <v>43</v>
      </c>
      <c r="D31" s="22" t="s">
        <v>485</v>
      </c>
      <c r="E31" s="22" t="s">
        <v>25</v>
      </c>
      <c r="F31" s="22" t="s">
        <v>25</v>
      </c>
      <c r="G31" s="23" t="s">
        <v>474</v>
      </c>
      <c r="H31" s="23" t="s">
        <v>467</v>
      </c>
      <c r="I31" s="23">
        <f>'MERCADO TE'!$U$28</f>
        <v>0</v>
      </c>
      <c r="J31" s="15"/>
      <c r="L31" s="20">
        <f>'TR TE'!$L$31*'TR TE'!$L$48</f>
        <v>0</v>
      </c>
      <c r="M31" s="20">
        <f>'TR TE'!$M$31*'TR TE'!$M$48</f>
        <v>0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0</v>
      </c>
      <c r="Q31" s="20">
        <f>SUM($L$31:$P$31)</f>
        <v>0</v>
      </c>
      <c r="R31" s="20">
        <f>'TR TE'!$R$31*'TR TE'!$R$48</f>
        <v>196.78360027257409</v>
      </c>
      <c r="S31" s="20">
        <f>SUM($R$31:$R$31)</f>
        <v>196.78360027257409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0</v>
      </c>
      <c r="AA31" s="20">
        <f>SUM($Z$31:$Z$31)</f>
        <v>0</v>
      </c>
      <c r="AB31" s="20">
        <f>SUMIF($L$4:$AA$4,"SUBTOTAL",$L$31:$AA$31)</f>
        <v>196.78360027257409</v>
      </c>
    </row>
    <row r="32" spans="1:28" ht="11.25" customHeight="1" x14ac:dyDescent="0.3">
      <c r="A32" s="101"/>
      <c r="B32" s="101" t="s">
        <v>482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474</v>
      </c>
      <c r="H32" s="23" t="s">
        <v>467</v>
      </c>
      <c r="I32" s="23">
        <f>'MERCADO TE'!$U$29</f>
        <v>0</v>
      </c>
      <c r="J32" s="15"/>
      <c r="L32" s="20">
        <f>'TR TE'!$L$32*'TR TE'!$L$48</f>
        <v>0</v>
      </c>
      <c r="M32" s="20">
        <f>'TR TE'!$M$32*'TR TE'!$M$48</f>
        <v>0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0</v>
      </c>
      <c r="Q32" s="20">
        <f>SUM($L$32:$P$32)</f>
        <v>0</v>
      </c>
      <c r="R32" s="20">
        <f>'TR TE'!$R$32*'TR TE'!$R$48</f>
        <v>196.78360027257409</v>
      </c>
      <c r="S32" s="20">
        <f>SUM($R$32:$R$32)</f>
        <v>196.78360027257409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0</v>
      </c>
      <c r="AA32" s="20">
        <f>SUM($Z$32:$Z$32)</f>
        <v>0</v>
      </c>
      <c r="AB32" s="20">
        <f>SUMIF($L$4:$AA$4,"SUBTOTAL",$L$32:$AA$32)</f>
        <v>196.78360027257409</v>
      </c>
    </row>
    <row r="33" spans="1:28" ht="11.25" customHeight="1" x14ac:dyDescent="0.3">
      <c r="A33" s="101"/>
      <c r="B33" s="101"/>
      <c r="C33" s="101"/>
      <c r="D33" s="22" t="s">
        <v>484</v>
      </c>
      <c r="E33" s="22" t="s">
        <v>25</v>
      </c>
      <c r="F33" s="22" t="s">
        <v>25</v>
      </c>
      <c r="G33" s="23" t="s">
        <v>474</v>
      </c>
      <c r="H33" s="23" t="s">
        <v>467</v>
      </c>
      <c r="I33" s="23">
        <f>'MERCADO TE'!$U$30</f>
        <v>0</v>
      </c>
      <c r="J33" s="15"/>
      <c r="L33" s="20">
        <f>'TR TE'!$L$33*'TR TE'!$L$48</f>
        <v>0</v>
      </c>
      <c r="M33" s="20">
        <f>'TR TE'!$M$33*'TR TE'!$M$48</f>
        <v>0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0</v>
      </c>
      <c r="Q33" s="20">
        <f>SUM($L$33:$P$33)</f>
        <v>0</v>
      </c>
      <c r="R33" s="20">
        <f>'TR TE'!$R$33*'TR TE'!$R$48</f>
        <v>196.78360027257409</v>
      </c>
      <c r="S33" s="20">
        <f>SUM($R$33:$R$33)</f>
        <v>196.78360027257409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0</v>
      </c>
      <c r="AA33" s="20">
        <f>SUM($Z$33:$Z$33)</f>
        <v>0</v>
      </c>
      <c r="AB33" s="20">
        <f>SUMIF($L$4:$AA$4,"SUBTOTAL",$L$33:$AA$33)</f>
        <v>196.78360027257409</v>
      </c>
    </row>
    <row r="34" spans="1:28" ht="11.25" customHeight="1" x14ac:dyDescent="0.3">
      <c r="A34" s="101"/>
      <c r="B34" s="101"/>
      <c r="C34" s="101"/>
      <c r="D34" s="22" t="s">
        <v>485</v>
      </c>
      <c r="E34" s="22" t="s">
        <v>25</v>
      </c>
      <c r="F34" s="22" t="s">
        <v>25</v>
      </c>
      <c r="G34" s="23" t="s">
        <v>474</v>
      </c>
      <c r="H34" s="23" t="s">
        <v>467</v>
      </c>
      <c r="I34" s="23">
        <f>'MERCADO TE'!$U$31</f>
        <v>0</v>
      </c>
      <c r="J34" s="15"/>
      <c r="L34" s="20">
        <f>'TR TE'!$L$34*'TR TE'!$L$48</f>
        <v>0</v>
      </c>
      <c r="M34" s="20">
        <f>'TR TE'!$M$34*'TR TE'!$M$48</f>
        <v>0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0</v>
      </c>
      <c r="Q34" s="20">
        <f>SUM($L$34:$P$34)</f>
        <v>0</v>
      </c>
      <c r="R34" s="20">
        <f>'TR TE'!$R$34*'TR TE'!$R$48</f>
        <v>196.78360027257409</v>
      </c>
      <c r="S34" s="20">
        <f>SUM($R$34:$R$34)</f>
        <v>196.78360027257409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0</v>
      </c>
      <c r="AA34" s="20">
        <f>SUM($Z$34:$Z$34)</f>
        <v>0</v>
      </c>
      <c r="AB34" s="20">
        <f>SUMIF($L$4:$AA$4,"SUBTOTAL",$L$34:$AA$34)</f>
        <v>196.78360027257409</v>
      </c>
    </row>
    <row r="35" spans="1:28" ht="11.25" customHeight="1" x14ac:dyDescent="0.3">
      <c r="A35" s="101" t="s">
        <v>37</v>
      </c>
      <c r="B35" s="101" t="s">
        <v>466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468</v>
      </c>
      <c r="H35" s="23" t="s">
        <v>467</v>
      </c>
      <c r="I35" s="23">
        <f>'MERCADO TE'!$U$32</f>
        <v>3.0390000000000001</v>
      </c>
      <c r="J35" s="15"/>
      <c r="L35" s="20">
        <f>'TR TE'!$L$35*'TR TE'!$L$48</f>
        <v>0</v>
      </c>
      <c r="M35" s="20">
        <f>'TR TE'!$M$35*'TR TE'!$M$48</f>
        <v>0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0</v>
      </c>
      <c r="Q35" s="20">
        <f>SUM($L$35:$P$35)</f>
        <v>0</v>
      </c>
      <c r="R35" s="20">
        <f>'TR TE'!$R$35*'TR TE'!$R$48</f>
        <v>196.78360027257409</v>
      </c>
      <c r="S35" s="20">
        <f>SUM($R$35:$R$35)</f>
        <v>196.78360027257409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0</v>
      </c>
      <c r="AA35" s="20">
        <f>SUM($Z$35:$Z$35)</f>
        <v>0</v>
      </c>
      <c r="AB35" s="20">
        <f>SUMIF($L$4:$AA$4,"SUBTOTAL",$L$35:$AA$35)</f>
        <v>196.78360027257409</v>
      </c>
    </row>
    <row r="36" spans="1:28" ht="11.25" customHeight="1" x14ac:dyDescent="0.3">
      <c r="A36" s="101"/>
      <c r="B36" s="101"/>
      <c r="C36" s="101"/>
      <c r="D36" s="101"/>
      <c r="E36" s="101"/>
      <c r="F36" s="101"/>
      <c r="G36" s="23" t="s">
        <v>480</v>
      </c>
      <c r="H36" s="23" t="s">
        <v>467</v>
      </c>
      <c r="I36" s="23">
        <f>'MERCADO TE'!$U$33</f>
        <v>5.1750000000000007</v>
      </c>
      <c r="J36" s="15"/>
      <c r="L36" s="20">
        <f>'TR TE'!$L$36*'TR TE'!$L$48</f>
        <v>0</v>
      </c>
      <c r="M36" s="20">
        <f>'TR TE'!$M$36*'TR TE'!$M$48</f>
        <v>0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0</v>
      </c>
      <c r="Q36" s="20">
        <f>SUM($L$36:$P$36)</f>
        <v>0</v>
      </c>
      <c r="R36" s="20">
        <f>'TR TE'!$R$36*'TR TE'!$R$48</f>
        <v>196.78360027257409</v>
      </c>
      <c r="S36" s="20">
        <f>SUM($R$36:$R$36)</f>
        <v>196.78360027257409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0</v>
      </c>
      <c r="AA36" s="20">
        <f>SUM($Z$36:$Z$36)</f>
        <v>0</v>
      </c>
      <c r="AB36" s="20">
        <f>SUMIF($L$4:$AA$4,"SUBTOTAL",$L$36:$AA$36)</f>
        <v>196.78360027257409</v>
      </c>
    </row>
    <row r="37" spans="1:28" ht="11.25" customHeight="1" x14ac:dyDescent="0.3">
      <c r="A37" s="101"/>
      <c r="B37" s="101"/>
      <c r="C37" s="101"/>
      <c r="D37" s="101"/>
      <c r="E37" s="101"/>
      <c r="F37" s="101"/>
      <c r="G37" s="23" t="s">
        <v>469</v>
      </c>
      <c r="H37" s="23" t="s">
        <v>467</v>
      </c>
      <c r="I37" s="23">
        <f>'MERCADO TE'!$U$34</f>
        <v>190.53300000000002</v>
      </c>
      <c r="J37" s="15"/>
      <c r="L37" s="20">
        <f>'TR TE'!$L$37*'TR TE'!$L$48</f>
        <v>0</v>
      </c>
      <c r="M37" s="20">
        <f>'TR TE'!$M$37*'TR TE'!$M$48</f>
        <v>0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0</v>
      </c>
      <c r="Q37" s="20">
        <f>SUM($L$37:$P$37)</f>
        <v>0</v>
      </c>
      <c r="R37" s="20">
        <f>'TR TE'!$R$37*'TR TE'!$R$48</f>
        <v>196.78360027257409</v>
      </c>
      <c r="S37" s="20">
        <f>SUM($R$37:$R$37)</f>
        <v>196.78360027257409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0</v>
      </c>
      <c r="AA37" s="20">
        <f>SUM($Z$37:$Z$37)</f>
        <v>0</v>
      </c>
      <c r="AB37" s="20">
        <f>SUMIF($L$4:$AA$4,"SUBTOTAL",$L$37:$AA$37)</f>
        <v>196.78360027257409</v>
      </c>
    </row>
    <row r="38" spans="1:28" ht="11.25" customHeight="1" x14ac:dyDescent="0.3">
      <c r="A38" s="101"/>
      <c r="B38" s="22" t="s">
        <v>481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474</v>
      </c>
      <c r="H38" s="23" t="s">
        <v>467</v>
      </c>
      <c r="I38" s="23">
        <f>'MERCADO TE'!$U$35</f>
        <v>13839.034999999998</v>
      </c>
      <c r="J38" s="15"/>
      <c r="L38" s="20">
        <f>'TR TE'!$L$38*'TR TE'!$L$48</f>
        <v>0</v>
      </c>
      <c r="M38" s="20">
        <f>'TR TE'!$M$38*'TR TE'!$M$48</f>
        <v>0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0</v>
      </c>
      <c r="Q38" s="20">
        <f>SUM($L$38:$P$38)</f>
        <v>0</v>
      </c>
      <c r="R38" s="20">
        <f>'TR TE'!$R$38*'TR TE'!$R$48</f>
        <v>196.78360027257409</v>
      </c>
      <c r="S38" s="20">
        <f>SUM($R$38:$R$38)</f>
        <v>196.78360027257409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0</v>
      </c>
      <c r="AA38" s="20">
        <f>SUM($Z$38:$Z$38)</f>
        <v>0</v>
      </c>
      <c r="AB38" s="20">
        <f>SUMIF($L$4:$AA$4,"SUBTOTAL",$L$38:$AA$38)</f>
        <v>196.78360027257409</v>
      </c>
    </row>
    <row r="39" spans="1:28" ht="11.25" customHeight="1" x14ac:dyDescent="0.3">
      <c r="A39" s="101"/>
      <c r="B39" s="22" t="s">
        <v>482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474</v>
      </c>
      <c r="H39" s="23" t="s">
        <v>467</v>
      </c>
      <c r="I39" s="23">
        <f>'MERCADO TE'!$U$36</f>
        <v>0</v>
      </c>
      <c r="J39" s="15"/>
      <c r="L39" s="20">
        <f>'TR TE'!$L$39*'TR TE'!$L$48</f>
        <v>0</v>
      </c>
      <c r="M39" s="20">
        <f>'TR TE'!$M$39*'TR TE'!$M$48</f>
        <v>0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0</v>
      </c>
      <c r="Q39" s="20">
        <f>SUM($L$39:$P$39)</f>
        <v>0</v>
      </c>
      <c r="R39" s="20">
        <f>'TR TE'!$R$39*'TR TE'!$R$48</f>
        <v>196.78360027257409</v>
      </c>
      <c r="S39" s="20">
        <f>SUM($R$39:$R$39)</f>
        <v>196.78360027257409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0</v>
      </c>
      <c r="AA39" s="20">
        <f>SUM($Z$39:$Z$39)</f>
        <v>0</v>
      </c>
      <c r="AB39" s="20">
        <f>SUMIF($L$4:$AA$4,"SUBTOTAL",$L$39:$AA$39)</f>
        <v>196.78360027257409</v>
      </c>
    </row>
    <row r="40" spans="1:28" ht="11.25" customHeight="1" x14ac:dyDescent="0.3">
      <c r="A40" s="101" t="s">
        <v>45</v>
      </c>
      <c r="B40" s="101" t="s">
        <v>481</v>
      </c>
      <c r="C40" s="101" t="s">
        <v>46</v>
      </c>
      <c r="D40" s="22" t="s">
        <v>486</v>
      </c>
      <c r="E40" s="22" t="s">
        <v>25</v>
      </c>
      <c r="F40" s="22" t="s">
        <v>25</v>
      </c>
      <c r="G40" s="23" t="s">
        <v>474</v>
      </c>
      <c r="H40" s="23" t="s">
        <v>467</v>
      </c>
      <c r="I40" s="23">
        <f>'MERCADO TE'!$U$37</f>
        <v>0</v>
      </c>
      <c r="J40" s="15"/>
      <c r="L40" s="20">
        <f>'TR TE'!$L$40*'TR TE'!$L$48</f>
        <v>0</v>
      </c>
      <c r="M40" s="20">
        <f>'TR TE'!$M$40*'TR TE'!$M$48</f>
        <v>0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0</v>
      </c>
      <c r="Q40" s="20">
        <f>SUM($L$40:$P$40)</f>
        <v>0</v>
      </c>
      <c r="R40" s="20">
        <f>'TR TE'!$R$40*'TR TE'!$R$48</f>
        <v>108.23098014991577</v>
      </c>
      <c r="S40" s="20">
        <f>SUM($R$40:$R$40)</f>
        <v>108.23098014991577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0</v>
      </c>
      <c r="AA40" s="20">
        <f>SUM($Z$40:$Z$40)</f>
        <v>0</v>
      </c>
      <c r="AB40" s="20">
        <f>SUMIF($L$4:$AA$4,"SUBTOTAL",$L$40:$AA$40)</f>
        <v>108.23098014991577</v>
      </c>
    </row>
    <row r="41" spans="1:28" ht="11.25" customHeight="1" x14ac:dyDescent="0.3">
      <c r="A41" s="101"/>
      <c r="B41" s="101"/>
      <c r="C41" s="101"/>
      <c r="D41" s="23" t="s">
        <v>47</v>
      </c>
      <c r="E41" s="23" t="s">
        <v>25</v>
      </c>
      <c r="F41" s="23" t="s">
        <v>25</v>
      </c>
      <c r="G41" s="23" t="s">
        <v>474</v>
      </c>
      <c r="H41" s="23" t="s">
        <v>467</v>
      </c>
      <c r="I41" s="23">
        <f>'MERCADO TE'!$U$38</f>
        <v>3807.3310000000001</v>
      </c>
      <c r="J41" s="15"/>
      <c r="L41" s="20">
        <f>'TR TE'!$L$41*'TR TE'!$L$48</f>
        <v>0</v>
      </c>
      <c r="M41" s="20">
        <f>'TR TE'!$M$41*'TR TE'!$M$48</f>
        <v>0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0</v>
      </c>
      <c r="Q41" s="20">
        <f>SUM($L$41:$P$41)</f>
        <v>0</v>
      </c>
      <c r="R41" s="20">
        <f>'TR TE'!$R$41*'TR TE'!$R$48</f>
        <v>118.07016016354444</v>
      </c>
      <c r="S41" s="20">
        <f>SUM($R$41:$R$41)</f>
        <v>118.07016016354444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0</v>
      </c>
      <c r="AA41" s="20">
        <f>SUM($Z$41:$Z$41)</f>
        <v>0</v>
      </c>
      <c r="AB41" s="20">
        <f>SUMIF($L$4:$AA$4,"SUBTOTAL",$L$41:$AA$41)</f>
        <v>118.07016016354444</v>
      </c>
    </row>
    <row r="43" spans="1:28" ht="11.25" customHeight="1" x14ac:dyDescent="0.3">
      <c r="K43" s="25" t="s">
        <v>615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10937627.172338376</v>
      </c>
      <c r="S43" s="20">
        <f t="shared" si="0"/>
        <v>10937627.172338376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10937627.172338376</v>
      </c>
    </row>
    <row r="44" spans="1:28" ht="11.25" customHeight="1" x14ac:dyDescent="0.3">
      <c r="K44" s="25" t="s">
        <v>534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10937627.172338372</v>
      </c>
      <c r="S44" s="20">
        <f>CUSTOS!$D$37</f>
        <v>10937627.172338372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10937627.172338372</v>
      </c>
    </row>
    <row r="45" spans="1:28" ht="11.25" customHeight="1" x14ac:dyDescent="0.3">
      <c r="K45" s="25" t="s">
        <v>535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-6483874.1071995627</v>
      </c>
      <c r="S45" s="20">
        <f>CUSTOS!$E$37</f>
        <v>-6483874.1071995627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-120670.83058342196</v>
      </c>
      <c r="Y45" s="20">
        <f>CUSTOS!$E$43</f>
        <v>-120670.83058342196</v>
      </c>
      <c r="Z45" s="20">
        <f>CUSTOS!$E$44</f>
        <v>0</v>
      </c>
      <c r="AA45" s="20">
        <f>CUSTOS!$E$45</f>
        <v>0</v>
      </c>
      <c r="AB45" s="20">
        <f>CUSTOS!$E$46</f>
        <v>-6604544.9377829842</v>
      </c>
    </row>
    <row r="46" spans="1:28" ht="11.25" customHeight="1" x14ac:dyDescent="0.3">
      <c r="K46" s="25" t="s">
        <v>536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616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-115.32410372697132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3">
      <c r="K48" s="25" t="s">
        <v>603</v>
      </c>
      <c r="L48" s="20">
        <f>IF(L44&lt;&gt;0,L45/L44,0)</f>
        <v>0</v>
      </c>
      <c r="M48" s="20">
        <f>IF(M44&lt;&gt;0,M45/M44,0)</f>
        <v>0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-0.59280445429676909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-1.1032633374869694E-2</v>
      </c>
      <c r="Y48" s="20"/>
      <c r="Z48" s="20">
        <f>IF(Z44&lt;&gt;0,Z45/Z44,0)</f>
        <v>0</v>
      </c>
      <c r="AA48" s="20"/>
      <c r="AB48" s="20"/>
    </row>
    <row r="49" spans="11:28" ht="11.25" customHeight="1" x14ac:dyDescent="0.3">
      <c r="K49" s="25" t="s">
        <v>618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46" priority="33" operator="notEqual">
      <formula>$L$44</formula>
    </cfRule>
    <cfRule type="cellIs" dxfId="745" priority="34" operator="equal">
      <formula>$L$44</formula>
    </cfRule>
  </conditionalFormatting>
  <conditionalFormatting sqref="M43">
    <cfRule type="cellIs" dxfId="744" priority="31" operator="notEqual">
      <formula>$M$44</formula>
    </cfRule>
    <cfRule type="cellIs" dxfId="743" priority="32" operator="equal">
      <formula>$M$44</formula>
    </cfRule>
  </conditionalFormatting>
  <conditionalFormatting sqref="N43">
    <cfRule type="cellIs" dxfId="742" priority="29" operator="notEqual">
      <formula>$N$44</formula>
    </cfRule>
    <cfRule type="cellIs" dxfId="741" priority="30" operator="equal">
      <formula>$N$44</formula>
    </cfRule>
  </conditionalFormatting>
  <conditionalFormatting sqref="O43">
    <cfRule type="cellIs" dxfId="740" priority="27" operator="notEqual">
      <formula>$O$44</formula>
    </cfRule>
    <cfRule type="cellIs" dxfId="739" priority="28" operator="equal">
      <formula>$O$44</formula>
    </cfRule>
  </conditionalFormatting>
  <conditionalFormatting sqref="P43">
    <cfRule type="cellIs" dxfId="738" priority="25" operator="notEqual">
      <formula>$P$44</formula>
    </cfRule>
    <cfRule type="cellIs" dxfId="737" priority="26" operator="equal">
      <formula>$P$44</formula>
    </cfRule>
  </conditionalFormatting>
  <conditionalFormatting sqref="Q43">
    <cfRule type="cellIs" dxfId="736" priority="23" operator="notEqual">
      <formula>$Q$44</formula>
    </cfRule>
    <cfRule type="cellIs" dxfId="735" priority="24" operator="equal">
      <formula>$Q$44</formula>
    </cfRule>
  </conditionalFormatting>
  <conditionalFormatting sqref="R43">
    <cfRule type="cellIs" dxfId="734" priority="21" operator="notEqual">
      <formula>$R$44</formula>
    </cfRule>
    <cfRule type="cellIs" dxfId="733" priority="22" operator="equal">
      <formula>$R$44</formula>
    </cfRule>
  </conditionalFormatting>
  <conditionalFormatting sqref="S43">
    <cfRule type="cellIs" dxfId="732" priority="19" operator="notEqual">
      <formula>$S$44</formula>
    </cfRule>
    <cfRule type="cellIs" dxfId="731" priority="20" operator="equal">
      <formula>$S$44</formula>
    </cfRule>
  </conditionalFormatting>
  <conditionalFormatting sqref="T43">
    <cfRule type="cellIs" dxfId="730" priority="17" operator="notEqual">
      <formula>$T$44</formula>
    </cfRule>
    <cfRule type="cellIs" dxfId="729" priority="18" operator="equal">
      <formula>$T$44</formula>
    </cfRule>
  </conditionalFormatting>
  <conditionalFormatting sqref="U43">
    <cfRule type="cellIs" dxfId="728" priority="15" operator="notEqual">
      <formula>$U$44</formula>
    </cfRule>
    <cfRule type="cellIs" dxfId="727" priority="16" operator="equal">
      <formula>$U$44</formula>
    </cfRule>
  </conditionalFormatting>
  <conditionalFormatting sqref="V43">
    <cfRule type="cellIs" dxfId="726" priority="13" operator="notEqual">
      <formula>$V$44</formula>
    </cfRule>
    <cfRule type="cellIs" dxfId="725" priority="14" operator="equal">
      <formula>$V$44</formula>
    </cfRule>
  </conditionalFormatting>
  <conditionalFormatting sqref="W43">
    <cfRule type="cellIs" dxfId="724" priority="11" operator="notEqual">
      <formula>$W$44</formula>
    </cfRule>
    <cfRule type="cellIs" dxfId="723" priority="12" operator="equal">
      <formula>$W$44</formula>
    </cfRule>
  </conditionalFormatting>
  <conditionalFormatting sqref="X43">
    <cfRule type="cellIs" dxfId="722" priority="9" operator="notEqual">
      <formula>$X$44</formula>
    </cfRule>
    <cfRule type="cellIs" dxfId="721" priority="10" operator="equal">
      <formula>$X$44</formula>
    </cfRule>
  </conditionalFormatting>
  <conditionalFormatting sqref="Y43">
    <cfRule type="cellIs" dxfId="720" priority="7" operator="notEqual">
      <formula>$Y$44</formula>
    </cfRule>
    <cfRule type="cellIs" dxfId="719" priority="8" operator="equal">
      <formula>$Y$44</formula>
    </cfRule>
  </conditionalFormatting>
  <conditionalFormatting sqref="Z43">
    <cfRule type="cellIs" dxfId="718" priority="5" operator="notEqual">
      <formula>$Z$44</formula>
    </cfRule>
    <cfRule type="cellIs" dxfId="717" priority="6" operator="equal">
      <formula>$Z$44</formula>
    </cfRule>
  </conditionalFormatting>
  <conditionalFormatting sqref="AA43">
    <cfRule type="cellIs" dxfId="716" priority="3" operator="notEqual">
      <formula>$AA$44</formula>
    </cfRule>
    <cfRule type="cellIs" dxfId="715" priority="4" operator="equal">
      <formula>$AA$44</formula>
    </cfRule>
  </conditionalFormatting>
  <conditionalFormatting sqref="AB43">
    <cfRule type="cellIs" dxfId="714" priority="1" operator="notEqual">
      <formula>$AB$44</formula>
    </cfRule>
    <cfRule type="cellIs" dxfId="713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E79-DA4E-4A3B-8711-6F0F9CA956C7}">
  <dimension ref="A1:AB49"/>
  <sheetViews>
    <sheetView showGridLines="0" topLeftCell="I26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0" t="s">
        <v>457</v>
      </c>
      <c r="B1" s="100" t="s">
        <v>458</v>
      </c>
      <c r="C1" s="100" t="s">
        <v>459</v>
      </c>
      <c r="D1" s="100" t="s">
        <v>460</v>
      </c>
      <c r="E1" s="100" t="s">
        <v>461</v>
      </c>
      <c r="F1" s="100" t="s">
        <v>15</v>
      </c>
      <c r="G1" s="100" t="s">
        <v>463</v>
      </c>
      <c r="H1" s="100" t="s">
        <v>464</v>
      </c>
      <c r="I1" s="100" t="s">
        <v>593</v>
      </c>
      <c r="J1" s="84"/>
      <c r="L1" s="98" t="s">
        <v>620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98" t="s">
        <v>520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98" t="s">
        <v>493</v>
      </c>
      <c r="M3" s="98"/>
      <c r="N3" s="98"/>
      <c r="O3" s="98"/>
      <c r="P3" s="98"/>
      <c r="Q3" s="98"/>
      <c r="R3" s="98" t="s">
        <v>524</v>
      </c>
      <c r="S3" s="98"/>
      <c r="T3" s="98" t="s">
        <v>502</v>
      </c>
      <c r="U3" s="98"/>
      <c r="V3" s="98"/>
      <c r="W3" s="98"/>
      <c r="X3" s="98" t="s">
        <v>512</v>
      </c>
      <c r="Y3" s="98"/>
      <c r="Z3" s="98" t="s">
        <v>515</v>
      </c>
      <c r="AA3" s="98"/>
      <c r="AB3" s="98" t="s">
        <v>501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495</v>
      </c>
      <c r="M4" s="24" t="s">
        <v>521</v>
      </c>
      <c r="N4" s="24" t="s">
        <v>522</v>
      </c>
      <c r="O4" s="24" t="s">
        <v>581</v>
      </c>
      <c r="P4" s="24" t="s">
        <v>523</v>
      </c>
      <c r="Q4" s="24" t="s">
        <v>501</v>
      </c>
      <c r="R4" s="24" t="s">
        <v>525</v>
      </c>
      <c r="S4" s="24" t="s">
        <v>501</v>
      </c>
      <c r="T4" s="24" t="s">
        <v>526</v>
      </c>
      <c r="U4" s="24" t="s">
        <v>527</v>
      </c>
      <c r="V4" s="24" t="s">
        <v>528</v>
      </c>
      <c r="W4" s="24" t="s">
        <v>501</v>
      </c>
      <c r="X4" s="24" t="s">
        <v>513</v>
      </c>
      <c r="Y4" s="24" t="s">
        <v>501</v>
      </c>
      <c r="Z4" s="24" t="s">
        <v>529</v>
      </c>
      <c r="AA4" s="24" t="s">
        <v>501</v>
      </c>
      <c r="AB4" s="99"/>
    </row>
    <row r="5" spans="1:28" ht="11.25" customHeight="1" x14ac:dyDescent="0.3">
      <c r="A5" s="101" t="s">
        <v>39</v>
      </c>
      <c r="B5" s="101" t="s">
        <v>466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468</v>
      </c>
      <c r="H5" s="23" t="s">
        <v>467</v>
      </c>
      <c r="I5" s="23">
        <f>'MERCADO TE'!$U$2</f>
        <v>381.36199999999997</v>
      </c>
      <c r="J5" s="15"/>
      <c r="L5" s="20">
        <f>'TE BE'!$L$5*'TE BE'!$L$48</f>
        <v>0</v>
      </c>
      <c r="M5" s="20">
        <f>'TE BE'!$M$5*'TE BE'!$M$48</f>
        <v>0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0</v>
      </c>
      <c r="R5" s="20">
        <f>'TE BE'!$R$5*'TE BE'!$R$48</f>
        <v>-116.65419477413683</v>
      </c>
      <c r="S5" s="20">
        <f>SUM($R$5:$R$5)</f>
        <v>-116.65419477413683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-2.1710413159942181</v>
      </c>
      <c r="Y5" s="20">
        <f>SUM($X$5:$X$5)</f>
        <v>-2.1710413159942181</v>
      </c>
      <c r="Z5" s="20">
        <f>'TE BE'!$Z$5*'TE BE'!$Z$48</f>
        <v>0</v>
      </c>
      <c r="AA5" s="20">
        <f>SUM($Z$5:$Z$5)</f>
        <v>0</v>
      </c>
      <c r="AB5" s="20">
        <f>SUMIF($L$4:$AA$4,"SUBTOTAL",$L$5:$AA$5)</f>
        <v>-118.82523609013104</v>
      </c>
    </row>
    <row r="6" spans="1:28" ht="11.25" customHeight="1" x14ac:dyDescent="0.3">
      <c r="A6" s="101"/>
      <c r="B6" s="101"/>
      <c r="C6" s="101"/>
      <c r="D6" s="101"/>
      <c r="E6" s="101"/>
      <c r="F6" s="101"/>
      <c r="G6" s="23" t="s">
        <v>469</v>
      </c>
      <c r="H6" s="23" t="s">
        <v>467</v>
      </c>
      <c r="I6" s="23">
        <f>'MERCADO TE'!$U$3</f>
        <v>8068.7160000000003</v>
      </c>
      <c r="J6" s="15"/>
      <c r="L6" s="20">
        <f>'TE BE'!$L$6*'TE BE'!$L$48</f>
        <v>0</v>
      </c>
      <c r="M6" s="20">
        <f>'TE BE'!$M$6*'TE BE'!$M$48</f>
        <v>0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0</v>
      </c>
      <c r="R6" s="20">
        <f>'TE BE'!$R$6*'TE BE'!$R$48</f>
        <v>-116.65419477413683</v>
      </c>
      <c r="S6" s="20">
        <f>SUM($R$6:$R$6)</f>
        <v>-116.65419477413683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-2.1710413159942181</v>
      </c>
      <c r="Y6" s="20">
        <f>SUM($X$6:$X$6)</f>
        <v>-2.1710413159942181</v>
      </c>
      <c r="Z6" s="20">
        <f>'TE BE'!$Z$6*'TE BE'!$Z$48</f>
        <v>0</v>
      </c>
      <c r="AA6" s="20">
        <f>SUM($Z$6:$Z$6)</f>
        <v>0</v>
      </c>
      <c r="AB6" s="20">
        <f>SUMIF($L$4:$AA$4,"SUBTOTAL",$L$6:$AA$6)</f>
        <v>-118.82523609013104</v>
      </c>
    </row>
    <row r="7" spans="1:28" ht="11.25" customHeight="1" x14ac:dyDescent="0.3">
      <c r="A7" s="101" t="s">
        <v>22</v>
      </c>
      <c r="B7" s="101" t="s">
        <v>466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468</v>
      </c>
      <c r="H7" s="23" t="s">
        <v>467</v>
      </c>
      <c r="I7" s="23">
        <f>'MERCADO TE'!$U$4</f>
        <v>0.495</v>
      </c>
      <c r="J7" s="15"/>
      <c r="L7" s="20">
        <f>'TE BE'!$L$7*'TE BE'!$L$48</f>
        <v>0</v>
      </c>
      <c r="M7" s="20">
        <f>'TE BE'!$M$7*'TE BE'!$M$48</f>
        <v>0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0</v>
      </c>
      <c r="R7" s="20">
        <f>'TE BE'!$R$7*'TE BE'!$R$48</f>
        <v>-116.65419477413683</v>
      </c>
      <c r="S7" s="20">
        <f>SUM($R$7:$R$7)</f>
        <v>-116.65419477413683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-2.1710413159942181</v>
      </c>
      <c r="Y7" s="20">
        <f>SUM($X$7:$X$7)</f>
        <v>-2.1710413159942181</v>
      </c>
      <c r="Z7" s="20">
        <f>'TE BE'!$Z$7*'TE BE'!$Z$48</f>
        <v>0</v>
      </c>
      <c r="AA7" s="20">
        <f>SUM($Z$7:$Z$7)</f>
        <v>0</v>
      </c>
      <c r="AB7" s="20">
        <f>SUMIF($L$4:$AA$4,"SUBTOTAL",$L$7:$AA$7)</f>
        <v>-118.82523609013104</v>
      </c>
    </row>
    <row r="8" spans="1:28" ht="11.25" customHeight="1" x14ac:dyDescent="0.3">
      <c r="A8" s="101"/>
      <c r="B8" s="101"/>
      <c r="C8" s="101"/>
      <c r="D8" s="101"/>
      <c r="E8" s="101"/>
      <c r="F8" s="101"/>
      <c r="G8" s="23" t="s">
        <v>480</v>
      </c>
      <c r="H8" s="23" t="s">
        <v>467</v>
      </c>
      <c r="I8" s="23">
        <f>'MERCADO TE'!$U$5</f>
        <v>0.24800000000000003</v>
      </c>
      <c r="J8" s="15"/>
      <c r="L8" s="20">
        <f>'TE BE'!$L$8*'TE BE'!$L$48</f>
        <v>0</v>
      </c>
      <c r="M8" s="20">
        <f>'TE BE'!$M$8*'TE BE'!$M$48</f>
        <v>0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0</v>
      </c>
      <c r="R8" s="20">
        <f>'TE BE'!$R$8*'TE BE'!$R$48</f>
        <v>-116.65419477413683</v>
      </c>
      <c r="S8" s="20">
        <f>SUM($R$8:$R$8)</f>
        <v>-116.65419477413683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-2.1710413159942181</v>
      </c>
      <c r="Y8" s="20">
        <f>SUM($X$8:$X$8)</f>
        <v>-2.1710413159942181</v>
      </c>
      <c r="Z8" s="20">
        <f>'TE BE'!$Z$8*'TE BE'!$Z$48</f>
        <v>0</v>
      </c>
      <c r="AA8" s="20">
        <f>SUM($Z$8:$Z$8)</f>
        <v>0</v>
      </c>
      <c r="AB8" s="20">
        <f>SUMIF($L$4:$AA$4,"SUBTOTAL",$L$8:$AA$8)</f>
        <v>-118.82523609013104</v>
      </c>
    </row>
    <row r="9" spans="1:28" ht="11.25" customHeight="1" x14ac:dyDescent="0.3">
      <c r="A9" s="101"/>
      <c r="B9" s="101"/>
      <c r="C9" s="101"/>
      <c r="D9" s="101"/>
      <c r="E9" s="101"/>
      <c r="F9" s="101"/>
      <c r="G9" s="23" t="s">
        <v>469</v>
      </c>
      <c r="H9" s="23" t="s">
        <v>467</v>
      </c>
      <c r="I9" s="23">
        <f>'MERCADO TE'!$U$6</f>
        <v>6.5449999999999999</v>
      </c>
      <c r="J9" s="15"/>
      <c r="L9" s="20">
        <f>'TE BE'!$L$9*'TE BE'!$L$48</f>
        <v>0</v>
      </c>
      <c r="M9" s="20">
        <f>'TE BE'!$M$9*'TE BE'!$M$48</f>
        <v>0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0</v>
      </c>
      <c r="R9" s="20">
        <f>'TE BE'!$R$9*'TE BE'!$R$48</f>
        <v>-116.65419477413683</v>
      </c>
      <c r="S9" s="20">
        <f>SUM($R$9:$R$9)</f>
        <v>-116.65419477413683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-2.1710413159942181</v>
      </c>
      <c r="Y9" s="20">
        <f>SUM($X$9:$X$9)</f>
        <v>-2.1710413159942181</v>
      </c>
      <c r="Z9" s="20">
        <f>'TE BE'!$Z$9*'TE BE'!$Z$48</f>
        <v>0</v>
      </c>
      <c r="AA9" s="20">
        <f>SUM($Z$9:$Z$9)</f>
        <v>0</v>
      </c>
      <c r="AB9" s="20">
        <f>SUMIF($L$4:$AA$4,"SUBTOTAL",$L$9:$AA$9)</f>
        <v>-118.82523609013104</v>
      </c>
    </row>
    <row r="10" spans="1:28" ht="11.25" customHeight="1" x14ac:dyDescent="0.3">
      <c r="A10" s="101"/>
      <c r="B10" s="101" t="s">
        <v>481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474</v>
      </c>
      <c r="H10" s="23" t="s">
        <v>467</v>
      </c>
      <c r="I10" s="23">
        <f>'MERCADO TE'!$U$7</f>
        <v>29737.986000000001</v>
      </c>
      <c r="J10" s="15"/>
      <c r="L10" s="20">
        <f>'TE BE'!$L$10*'TE BE'!$L$48</f>
        <v>0</v>
      </c>
      <c r="M10" s="20">
        <f>'TE BE'!$M$10*'TE BE'!$M$48</f>
        <v>0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0</v>
      </c>
      <c r="R10" s="20">
        <f>'TE BE'!$R$10*'TE BE'!$R$48</f>
        <v>-116.65419477413683</v>
      </c>
      <c r="S10" s="20">
        <f>SUM($R$10:$R$10)</f>
        <v>-116.65419477413683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-2.1710413159942181</v>
      </c>
      <c r="Y10" s="20">
        <f>SUM($X$10:$X$10)</f>
        <v>-2.1710413159942181</v>
      </c>
      <c r="Z10" s="20">
        <f>'TE BE'!$Z$10*'TE BE'!$Z$48</f>
        <v>0</v>
      </c>
      <c r="AA10" s="20">
        <f>SUM($Z$10:$Z$10)</f>
        <v>0</v>
      </c>
      <c r="AB10" s="20">
        <f>SUMIF($L$4:$AA$4,"SUBTOTAL",$L$10:$AA$10)</f>
        <v>-118.82523609013104</v>
      </c>
    </row>
    <row r="11" spans="1:28" ht="11.25" customHeight="1" x14ac:dyDescent="0.3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474</v>
      </c>
      <c r="H11" s="23" t="s">
        <v>467</v>
      </c>
      <c r="I11" s="23">
        <f>'MERCADO TE'!$U$8</f>
        <v>83.323000000000008</v>
      </c>
      <c r="J11" s="15"/>
      <c r="L11" s="20">
        <f>'TE BE'!$L$11*'TE BE'!$L$48</f>
        <v>0</v>
      </c>
      <c r="M11" s="20">
        <f>'TE BE'!$M$11*'TE BE'!$M$48</f>
        <v>0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0</v>
      </c>
      <c r="R11" s="20">
        <f>'TE BE'!$R$11*'TE BE'!$R$48</f>
        <v>-116.65419477413683</v>
      </c>
      <c r="S11" s="20">
        <f>SUM($R$11:$R$11)</f>
        <v>-116.65419477413683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-2.1710413159942181</v>
      </c>
      <c r="Y11" s="20">
        <f>SUM($X$11:$X$11)</f>
        <v>-2.1710413159942181</v>
      </c>
      <c r="Z11" s="20">
        <f>'TE BE'!$Z$11*'TE BE'!$Z$48</f>
        <v>0</v>
      </c>
      <c r="AA11" s="20">
        <f>SUM($Z$11:$Z$11)</f>
        <v>0</v>
      </c>
      <c r="AB11" s="20">
        <f>SUMIF($L$4:$AA$4,"SUBTOTAL",$L$11:$AA$11)</f>
        <v>-118.82523609013104</v>
      </c>
    </row>
    <row r="12" spans="1:28" ht="11.25" customHeight="1" x14ac:dyDescent="0.3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474</v>
      </c>
      <c r="H12" s="23" t="s">
        <v>467</v>
      </c>
      <c r="I12" s="23">
        <f>'MERCADO TE'!$U$9</f>
        <v>175.95599999999999</v>
      </c>
      <c r="J12" s="15"/>
      <c r="L12" s="20">
        <f>'TE BE'!$L$12*'TE BE'!$L$48</f>
        <v>0</v>
      </c>
      <c r="M12" s="20">
        <f>'TE BE'!$M$12*'TE BE'!$M$48</f>
        <v>0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0</v>
      </c>
      <c r="R12" s="20">
        <f>'TE BE'!$R$12*'TE BE'!$R$48</f>
        <v>-116.65419477413683</v>
      </c>
      <c r="S12" s="20">
        <f>SUM($R$12:$R$12)</f>
        <v>-116.65419477413683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-2.1710413159942181</v>
      </c>
      <c r="Y12" s="20">
        <f>SUM($X$12:$X$12)</f>
        <v>-2.1710413159942181</v>
      </c>
      <c r="Z12" s="20">
        <f>'TE BE'!$Z$12*'TE BE'!$Z$48</f>
        <v>0</v>
      </c>
      <c r="AA12" s="20">
        <f>SUM($Z$12:$Z$12)</f>
        <v>0</v>
      </c>
      <c r="AB12" s="20">
        <f>SUMIF($L$4:$AA$4,"SUBTOTAL",$L$12:$AA$12)</f>
        <v>-118.82523609013104</v>
      </c>
    </row>
    <row r="13" spans="1:28" ht="11.25" customHeight="1" x14ac:dyDescent="0.3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474</v>
      </c>
      <c r="H13" s="23" t="s">
        <v>467</v>
      </c>
      <c r="I13" s="23">
        <f>'MERCADO TE'!$U$10</f>
        <v>193.03699999999998</v>
      </c>
      <c r="J13" s="15"/>
      <c r="L13" s="20">
        <f>'TE BE'!$L$13*'TE BE'!$L$48</f>
        <v>0</v>
      </c>
      <c r="M13" s="20">
        <f>'TE BE'!$M$13*'TE BE'!$M$48</f>
        <v>0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0</v>
      </c>
      <c r="R13" s="20">
        <f>'TE BE'!$R$13*'TE BE'!$R$48</f>
        <v>-116.65419477413683</v>
      </c>
      <c r="S13" s="20">
        <f>SUM($R$13:$R$13)</f>
        <v>-116.65419477413683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-2.1710413159942181</v>
      </c>
      <c r="Y13" s="20">
        <f>SUM($X$13:$X$13)</f>
        <v>-2.1710413159942181</v>
      </c>
      <c r="Z13" s="20">
        <f>'TE BE'!$Z$13*'TE BE'!$Z$48</f>
        <v>0</v>
      </c>
      <c r="AA13" s="20">
        <f>SUM($Z$13:$Z$13)</f>
        <v>0</v>
      </c>
      <c r="AB13" s="20">
        <f>SUMIF($L$4:$AA$4,"SUBTOTAL",$L$13:$AA$13)</f>
        <v>-118.82523609013104</v>
      </c>
    </row>
    <row r="14" spans="1:28" ht="11.25" customHeight="1" x14ac:dyDescent="0.3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474</v>
      </c>
      <c r="H14" s="23" t="s">
        <v>467</v>
      </c>
      <c r="I14" s="23">
        <f>'MERCADO TE'!$U$11</f>
        <v>98.578999999999994</v>
      </c>
      <c r="J14" s="15"/>
      <c r="L14" s="20">
        <f>'TE BE'!$L$14*'TE BE'!$L$48</f>
        <v>0</v>
      </c>
      <c r="M14" s="20">
        <f>'TE BE'!$M$14*'TE BE'!$M$48</f>
        <v>0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0</v>
      </c>
      <c r="R14" s="20">
        <f>'TE BE'!$R$14*'TE BE'!$R$48</f>
        <v>-116.65419477413683</v>
      </c>
      <c r="S14" s="20">
        <f>SUM($R$14:$R$14)</f>
        <v>-116.65419477413683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-2.1710413159942181</v>
      </c>
      <c r="Y14" s="20">
        <f>SUM($X$14:$X$14)</f>
        <v>-2.1710413159942181</v>
      </c>
      <c r="Z14" s="20">
        <f>'TE BE'!$Z$14*'TE BE'!$Z$48</f>
        <v>0</v>
      </c>
      <c r="AA14" s="20">
        <f>SUM($Z$14:$Z$14)</f>
        <v>0</v>
      </c>
      <c r="AB14" s="20">
        <f>SUMIF($L$4:$AA$4,"SUBTOTAL",$L$14:$AA$14)</f>
        <v>-118.82523609013104</v>
      </c>
    </row>
    <row r="15" spans="1:28" ht="11.25" customHeight="1" x14ac:dyDescent="0.3">
      <c r="A15" s="101"/>
      <c r="B15" s="101" t="s">
        <v>482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474</v>
      </c>
      <c r="H15" s="23" t="s">
        <v>467</v>
      </c>
      <c r="I15" s="23">
        <f>'MERCADO TE'!$U$12</f>
        <v>0</v>
      </c>
      <c r="J15" s="15"/>
      <c r="L15" s="20">
        <f>'TE BE'!$L$15*'TE BE'!$L$48</f>
        <v>0</v>
      </c>
      <c r="M15" s="20">
        <f>'TE BE'!$M$15*'TE BE'!$M$48</f>
        <v>0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0</v>
      </c>
      <c r="R15" s="20">
        <f>'TE BE'!$R$15*'TE BE'!$R$48</f>
        <v>-116.65419477413683</v>
      </c>
      <c r="S15" s="20">
        <f>SUM($R$15:$R$15)</f>
        <v>-116.65419477413683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-2.1710413159942181</v>
      </c>
      <c r="Y15" s="20">
        <f>SUM($X$15:$X$15)</f>
        <v>-2.1710413159942181</v>
      </c>
      <c r="Z15" s="20">
        <f>'TE BE'!$Z$15*'TE BE'!$Z$48</f>
        <v>0</v>
      </c>
      <c r="AA15" s="20">
        <f>SUM($Z$15:$Z$15)</f>
        <v>0</v>
      </c>
      <c r="AB15" s="20">
        <f>SUMIF($L$4:$AA$4,"SUBTOTAL",$L$15:$AA$15)</f>
        <v>-118.82523609013104</v>
      </c>
    </row>
    <row r="16" spans="1:28" ht="11.25" customHeight="1" x14ac:dyDescent="0.3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474</v>
      </c>
      <c r="H16" s="23" t="s">
        <v>467</v>
      </c>
      <c r="I16" s="23">
        <f>'MERCADO TE'!$U$13</f>
        <v>0</v>
      </c>
      <c r="J16" s="15"/>
      <c r="L16" s="20">
        <f>'TE BE'!$L$16*'TE BE'!$L$48</f>
        <v>0</v>
      </c>
      <c r="M16" s="20">
        <f>'TE BE'!$M$16*'TE BE'!$M$48</f>
        <v>0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0</v>
      </c>
      <c r="R16" s="20">
        <f>'TE BE'!$R$16*'TE BE'!$R$48</f>
        <v>-116.65419477413683</v>
      </c>
      <c r="S16" s="20">
        <f>SUM($R$16:$R$16)</f>
        <v>-116.65419477413683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-2.1710413159942181</v>
      </c>
      <c r="Y16" s="20">
        <f>SUM($X$16:$X$16)</f>
        <v>-2.1710413159942181</v>
      </c>
      <c r="Z16" s="20">
        <f>'TE BE'!$Z$16*'TE BE'!$Z$48</f>
        <v>0</v>
      </c>
      <c r="AA16" s="20">
        <f>SUM($Z$16:$Z$16)</f>
        <v>0</v>
      </c>
      <c r="AB16" s="20">
        <f>SUMIF($L$4:$AA$4,"SUBTOTAL",$L$16:$AA$16)</f>
        <v>-118.82523609013104</v>
      </c>
    </row>
    <row r="17" spans="1:28" ht="11.25" customHeight="1" x14ac:dyDescent="0.3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474</v>
      </c>
      <c r="H17" s="23" t="s">
        <v>467</v>
      </c>
      <c r="I17" s="23">
        <f>'MERCADO TE'!$U$14</f>
        <v>0</v>
      </c>
      <c r="J17" s="15"/>
      <c r="L17" s="20">
        <f>'TE BE'!$L$17*'TE BE'!$L$48</f>
        <v>0</v>
      </c>
      <c r="M17" s="20">
        <f>'TE BE'!$M$17*'TE BE'!$M$48</f>
        <v>0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0</v>
      </c>
      <c r="R17" s="20">
        <f>'TE BE'!$R$17*'TE BE'!$R$48</f>
        <v>-116.65419477413683</v>
      </c>
      <c r="S17" s="20">
        <f>SUM($R$17:$R$17)</f>
        <v>-116.65419477413683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-2.1710413159942181</v>
      </c>
      <c r="Y17" s="20">
        <f>SUM($X$17:$X$17)</f>
        <v>-2.1710413159942181</v>
      </c>
      <c r="Z17" s="20">
        <f>'TE BE'!$Z$17*'TE BE'!$Z$48</f>
        <v>0</v>
      </c>
      <c r="AA17" s="20">
        <f>SUM($Z$17:$Z$17)</f>
        <v>0</v>
      </c>
      <c r="AB17" s="20">
        <f>SUMIF($L$4:$AA$4,"SUBTOTAL",$L$17:$AA$17)</f>
        <v>-118.82523609013104</v>
      </c>
    </row>
    <row r="18" spans="1:28" ht="11.25" customHeight="1" x14ac:dyDescent="0.3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474</v>
      </c>
      <c r="H18" s="23" t="s">
        <v>467</v>
      </c>
      <c r="I18" s="23">
        <f>'MERCADO TE'!$U$15</f>
        <v>0</v>
      </c>
      <c r="J18" s="15"/>
      <c r="L18" s="20">
        <f>'TE BE'!$L$18*'TE BE'!$L$48</f>
        <v>0</v>
      </c>
      <c r="M18" s="20">
        <f>'TE BE'!$M$18*'TE BE'!$M$48</f>
        <v>0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0</v>
      </c>
      <c r="R18" s="20">
        <f>'TE BE'!$R$18*'TE BE'!$R$48</f>
        <v>-116.65419477413683</v>
      </c>
      <c r="S18" s="20">
        <f>SUM($R$18:$R$18)</f>
        <v>-116.65419477413683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-2.1710413159942181</v>
      </c>
      <c r="Y18" s="20">
        <f>SUM($X$18:$X$18)</f>
        <v>-2.1710413159942181</v>
      </c>
      <c r="Z18" s="20">
        <f>'TE BE'!$Z$18*'TE BE'!$Z$48</f>
        <v>0</v>
      </c>
      <c r="AA18" s="20">
        <f>SUM($Z$18:$Z$18)</f>
        <v>0</v>
      </c>
      <c r="AB18" s="20">
        <f>SUMIF($L$4:$AA$4,"SUBTOTAL",$L$18:$AA$18)</f>
        <v>-118.82523609013104</v>
      </c>
    </row>
    <row r="19" spans="1:28" ht="11.25" customHeight="1" x14ac:dyDescent="0.3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474</v>
      </c>
      <c r="H19" s="23" t="s">
        <v>467</v>
      </c>
      <c r="I19" s="23">
        <f>'MERCADO TE'!$U$16</f>
        <v>0</v>
      </c>
      <c r="J19" s="15"/>
      <c r="L19" s="20">
        <f>'TE BE'!$L$19*'TE BE'!$L$48</f>
        <v>0</v>
      </c>
      <c r="M19" s="20">
        <f>'TE BE'!$M$19*'TE BE'!$M$48</f>
        <v>0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0</v>
      </c>
      <c r="R19" s="20">
        <f>'TE BE'!$R$19*'TE BE'!$R$48</f>
        <v>-116.65419477413683</v>
      </c>
      <c r="S19" s="20">
        <f>SUM($R$19:$R$19)</f>
        <v>-116.65419477413683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-2.1710413159942181</v>
      </c>
      <c r="Y19" s="20">
        <f>SUM($X$19:$X$19)</f>
        <v>-2.1710413159942181</v>
      </c>
      <c r="Z19" s="20">
        <f>'TE BE'!$Z$19*'TE BE'!$Z$48</f>
        <v>0</v>
      </c>
      <c r="AA19" s="20">
        <f>SUM($Z$19:$Z$19)</f>
        <v>0</v>
      </c>
      <c r="AB19" s="20">
        <f>SUMIF($L$4:$AA$4,"SUBTOTAL",$L$19:$AA$19)</f>
        <v>-118.82523609013104</v>
      </c>
    </row>
    <row r="20" spans="1:28" ht="11.25" customHeight="1" x14ac:dyDescent="0.3">
      <c r="A20" s="101" t="s">
        <v>42</v>
      </c>
      <c r="B20" s="101" t="s">
        <v>466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468</v>
      </c>
      <c r="H20" s="23" t="s">
        <v>467</v>
      </c>
      <c r="I20" s="23">
        <f>'MERCADO TE'!$U$17</f>
        <v>0</v>
      </c>
      <c r="J20" s="15"/>
      <c r="L20" s="20">
        <f>'TE BE'!$L$20*'TE BE'!$L$48</f>
        <v>0</v>
      </c>
      <c r="M20" s="20">
        <f>'TE BE'!$M$20*'TE BE'!$M$48</f>
        <v>0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0</v>
      </c>
      <c r="R20" s="20">
        <f>'TE BE'!$R$20*'TE BE'!$R$48</f>
        <v>-116.65419477413683</v>
      </c>
      <c r="S20" s="20">
        <f>SUM($R$20:$R$20)</f>
        <v>-116.65419477413683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-2.1710413159942181</v>
      </c>
      <c r="Y20" s="20">
        <f>SUM($X$20:$X$20)</f>
        <v>-2.1710413159942181</v>
      </c>
      <c r="Z20" s="20">
        <f>'TE BE'!$Z$20*'TE BE'!$Z$48</f>
        <v>0</v>
      </c>
      <c r="AA20" s="20">
        <f>SUM($Z$20:$Z$20)</f>
        <v>0</v>
      </c>
      <c r="AB20" s="20">
        <f>SUMIF($L$4:$AA$4,"SUBTOTAL",$L$20:$AA$20)</f>
        <v>-118.82523609013104</v>
      </c>
    </row>
    <row r="21" spans="1:28" ht="11.25" customHeight="1" x14ac:dyDescent="0.3">
      <c r="A21" s="101"/>
      <c r="B21" s="101"/>
      <c r="C21" s="101"/>
      <c r="D21" s="101"/>
      <c r="E21" s="101"/>
      <c r="F21" s="101"/>
      <c r="G21" s="23" t="s">
        <v>480</v>
      </c>
      <c r="H21" s="23" t="s">
        <v>467</v>
      </c>
      <c r="I21" s="23">
        <f>'MERCADO TE'!$U$18</f>
        <v>0</v>
      </c>
      <c r="J21" s="15"/>
      <c r="L21" s="20">
        <f>'TE BE'!$L$21*'TE BE'!$L$48</f>
        <v>0</v>
      </c>
      <c r="M21" s="20">
        <f>'TE BE'!$M$21*'TE BE'!$M$48</f>
        <v>0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0</v>
      </c>
      <c r="R21" s="20">
        <f>'TE BE'!$R$21*'TE BE'!$R$48</f>
        <v>-116.65419477413683</v>
      </c>
      <c r="S21" s="20">
        <f>SUM($R$21:$R$21)</f>
        <v>-116.65419477413683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-2.1710413159942181</v>
      </c>
      <c r="Y21" s="20">
        <f>SUM($X$21:$X$21)</f>
        <v>-2.1710413159942181</v>
      </c>
      <c r="Z21" s="20">
        <f>'TE BE'!$Z$21*'TE BE'!$Z$48</f>
        <v>0</v>
      </c>
      <c r="AA21" s="20">
        <f>SUM($Z$21:$Z$21)</f>
        <v>0</v>
      </c>
      <c r="AB21" s="20">
        <f>SUMIF($L$4:$AA$4,"SUBTOTAL",$L$21:$AA$21)</f>
        <v>-118.82523609013104</v>
      </c>
    </row>
    <row r="22" spans="1:28" ht="11.25" customHeight="1" x14ac:dyDescent="0.3">
      <c r="A22" s="101"/>
      <c r="B22" s="101"/>
      <c r="C22" s="101"/>
      <c r="D22" s="101"/>
      <c r="E22" s="101"/>
      <c r="F22" s="101"/>
      <c r="G22" s="23" t="s">
        <v>469</v>
      </c>
      <c r="H22" s="23" t="s">
        <v>467</v>
      </c>
      <c r="I22" s="23">
        <f>'MERCADO TE'!$U$19</f>
        <v>0</v>
      </c>
      <c r="J22" s="15"/>
      <c r="L22" s="20">
        <f>'TE BE'!$L$22*'TE BE'!$L$48</f>
        <v>0</v>
      </c>
      <c r="M22" s="20">
        <f>'TE BE'!$M$22*'TE BE'!$M$48</f>
        <v>0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0</v>
      </c>
      <c r="R22" s="20">
        <f>'TE BE'!$R$22*'TE BE'!$R$48</f>
        <v>-116.65419477413683</v>
      </c>
      <c r="S22" s="20">
        <f>SUM($R$22:$R$22)</f>
        <v>-116.65419477413683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-2.1710413159942181</v>
      </c>
      <c r="Y22" s="20">
        <f>SUM($X$22:$X$22)</f>
        <v>-2.1710413159942181</v>
      </c>
      <c r="Z22" s="20">
        <f>'TE BE'!$Z$22*'TE BE'!$Z$48</f>
        <v>0</v>
      </c>
      <c r="AA22" s="20">
        <f>SUM($Z$22:$Z$22)</f>
        <v>0</v>
      </c>
      <c r="AB22" s="20">
        <f>SUMIF($L$4:$AA$4,"SUBTOTAL",$L$22:$AA$22)</f>
        <v>-118.82523609013104</v>
      </c>
    </row>
    <row r="23" spans="1:28" ht="11.25" customHeight="1" x14ac:dyDescent="0.3">
      <c r="A23" s="101"/>
      <c r="B23" s="22" t="s">
        <v>481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474</v>
      </c>
      <c r="H23" s="23" t="s">
        <v>467</v>
      </c>
      <c r="I23" s="23">
        <f>'MERCADO TE'!$U$20</f>
        <v>513.57799999999997</v>
      </c>
      <c r="J23" s="15"/>
      <c r="L23" s="20">
        <f>'TE BE'!$L$23*'TE BE'!$L$48</f>
        <v>0</v>
      </c>
      <c r="M23" s="20">
        <f>'TE BE'!$M$23*'TE BE'!$M$48</f>
        <v>0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0</v>
      </c>
      <c r="R23" s="20">
        <f>'TE BE'!$R$23*'TE BE'!$R$48</f>
        <v>-116.65419477413683</v>
      </c>
      <c r="S23" s="20">
        <f>SUM($R$23:$R$23)</f>
        <v>-116.65419477413683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-2.1710413159942181</v>
      </c>
      <c r="Y23" s="20">
        <f>SUM($X$23:$X$23)</f>
        <v>-2.1710413159942181</v>
      </c>
      <c r="Z23" s="20">
        <f>'TE BE'!$Z$23*'TE BE'!$Z$48</f>
        <v>0</v>
      </c>
      <c r="AA23" s="20">
        <f>SUM($Z$23:$Z$23)</f>
        <v>0</v>
      </c>
      <c r="AB23" s="20">
        <f>SUMIF($L$4:$AA$4,"SUBTOTAL",$L$23:$AA$23)</f>
        <v>-118.82523609013104</v>
      </c>
    </row>
    <row r="24" spans="1:28" ht="11.25" customHeight="1" x14ac:dyDescent="0.3">
      <c r="A24" s="101"/>
      <c r="B24" s="101" t="s">
        <v>466</v>
      </c>
      <c r="C24" s="101" t="s">
        <v>43</v>
      </c>
      <c r="D24" s="101" t="s">
        <v>484</v>
      </c>
      <c r="E24" s="101" t="s">
        <v>25</v>
      </c>
      <c r="F24" s="101" t="s">
        <v>25</v>
      </c>
      <c r="G24" s="23" t="s">
        <v>468</v>
      </c>
      <c r="H24" s="23" t="s">
        <v>467</v>
      </c>
      <c r="I24" s="23">
        <f>'MERCADO TE'!$U$21</f>
        <v>0</v>
      </c>
      <c r="J24" s="15"/>
      <c r="L24" s="20">
        <f>'TE BE'!$L$24*'TE BE'!$L$48</f>
        <v>0</v>
      </c>
      <c r="M24" s="20">
        <f>'TE BE'!$M$24*'TE BE'!$M$48</f>
        <v>0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0</v>
      </c>
      <c r="R24" s="20">
        <f>'TE BE'!$R$24*'TE BE'!$R$48</f>
        <v>-116.65419477413683</v>
      </c>
      <c r="S24" s="20">
        <f>SUM($R$24:$R$24)</f>
        <v>-116.65419477413683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-2.1710413159942181</v>
      </c>
      <c r="Y24" s="20">
        <f>SUM($X$24:$X$24)</f>
        <v>-2.1710413159942181</v>
      </c>
      <c r="Z24" s="20">
        <f>'TE BE'!$Z$24*'TE BE'!$Z$48</f>
        <v>0</v>
      </c>
      <c r="AA24" s="20">
        <f>SUM($Z$24:$Z$24)</f>
        <v>0</v>
      </c>
      <c r="AB24" s="20">
        <f>SUMIF($L$4:$AA$4,"SUBTOTAL",$L$24:$AA$24)</f>
        <v>-118.82523609013104</v>
      </c>
    </row>
    <row r="25" spans="1:28" ht="11.25" customHeight="1" x14ac:dyDescent="0.3">
      <c r="A25" s="101"/>
      <c r="B25" s="101"/>
      <c r="C25" s="101"/>
      <c r="D25" s="101"/>
      <c r="E25" s="101"/>
      <c r="F25" s="101"/>
      <c r="G25" s="23" t="s">
        <v>480</v>
      </c>
      <c r="H25" s="23" t="s">
        <v>467</v>
      </c>
      <c r="I25" s="23">
        <f>'MERCADO TE'!$U$22</f>
        <v>0</v>
      </c>
      <c r="J25" s="15"/>
      <c r="L25" s="20">
        <f>'TE BE'!$L$25*'TE BE'!$L$48</f>
        <v>0</v>
      </c>
      <c r="M25" s="20">
        <f>'TE BE'!$M$25*'TE BE'!$M$48</f>
        <v>0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0</v>
      </c>
      <c r="R25" s="20">
        <f>'TE BE'!$R$25*'TE BE'!$R$48</f>
        <v>-116.65419477413683</v>
      </c>
      <c r="S25" s="20">
        <f>SUM($R$25:$R$25)</f>
        <v>-116.65419477413683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-2.1710413159942181</v>
      </c>
      <c r="Y25" s="20">
        <f>SUM($X$25:$X$25)</f>
        <v>-2.1710413159942181</v>
      </c>
      <c r="Z25" s="20">
        <f>'TE BE'!$Z$25*'TE BE'!$Z$48</f>
        <v>0</v>
      </c>
      <c r="AA25" s="20">
        <f>SUM($Z$25:$Z$25)</f>
        <v>0</v>
      </c>
      <c r="AB25" s="20">
        <f>SUMIF($L$4:$AA$4,"SUBTOTAL",$L$25:$AA$25)</f>
        <v>-118.82523609013104</v>
      </c>
    </row>
    <row r="26" spans="1:28" ht="11.25" customHeight="1" x14ac:dyDescent="0.3">
      <c r="A26" s="101"/>
      <c r="B26" s="101"/>
      <c r="C26" s="101"/>
      <c r="D26" s="101"/>
      <c r="E26" s="101"/>
      <c r="F26" s="101"/>
      <c r="G26" s="23" t="s">
        <v>469</v>
      </c>
      <c r="H26" s="23" t="s">
        <v>467</v>
      </c>
      <c r="I26" s="23">
        <f>'MERCADO TE'!$U$23</f>
        <v>0</v>
      </c>
      <c r="J26" s="15"/>
      <c r="L26" s="20">
        <f>'TE BE'!$L$26*'TE BE'!$L$48</f>
        <v>0</v>
      </c>
      <c r="M26" s="20">
        <f>'TE BE'!$M$26*'TE BE'!$M$48</f>
        <v>0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0</v>
      </c>
      <c r="R26" s="20">
        <f>'TE BE'!$R$26*'TE BE'!$R$48</f>
        <v>-116.65419477413683</v>
      </c>
      <c r="S26" s="20">
        <f>SUM($R$26:$R$26)</f>
        <v>-116.65419477413683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-2.1710413159942181</v>
      </c>
      <c r="Y26" s="20">
        <f>SUM($X$26:$X$26)</f>
        <v>-2.1710413159942181</v>
      </c>
      <c r="Z26" s="20">
        <f>'TE BE'!$Z$26*'TE BE'!$Z$48</f>
        <v>0</v>
      </c>
      <c r="AA26" s="20">
        <f>SUM($Z$26:$Z$26)</f>
        <v>0</v>
      </c>
      <c r="AB26" s="20">
        <f>SUMIF($L$4:$AA$4,"SUBTOTAL",$L$26:$AA$26)</f>
        <v>-118.82523609013104</v>
      </c>
    </row>
    <row r="27" spans="1:28" ht="11.25" customHeight="1" x14ac:dyDescent="0.3">
      <c r="A27" s="101"/>
      <c r="B27" s="22" t="s">
        <v>481</v>
      </c>
      <c r="C27" s="22" t="s">
        <v>43</v>
      </c>
      <c r="D27" s="22" t="s">
        <v>484</v>
      </c>
      <c r="E27" s="22" t="s">
        <v>25</v>
      </c>
      <c r="F27" s="22" t="s">
        <v>25</v>
      </c>
      <c r="G27" s="23" t="s">
        <v>474</v>
      </c>
      <c r="H27" s="23" t="s">
        <v>467</v>
      </c>
      <c r="I27" s="23">
        <f>'MERCADO TE'!$U$24</f>
        <v>0</v>
      </c>
      <c r="J27" s="15"/>
      <c r="L27" s="20">
        <f>'TE BE'!$L$27*'TE BE'!$L$48</f>
        <v>0</v>
      </c>
      <c r="M27" s="20">
        <f>'TE BE'!$M$27*'TE BE'!$M$48</f>
        <v>0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0</v>
      </c>
      <c r="R27" s="20">
        <f>'TE BE'!$R$27*'TE BE'!$R$48</f>
        <v>-116.65419477413683</v>
      </c>
      <c r="S27" s="20">
        <f>SUM($R$27:$R$27)</f>
        <v>-116.65419477413683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-2.1710413159942181</v>
      </c>
      <c r="Y27" s="20">
        <f>SUM($X$27:$X$27)</f>
        <v>-2.1710413159942181</v>
      </c>
      <c r="Z27" s="20">
        <f>'TE BE'!$Z$27*'TE BE'!$Z$48</f>
        <v>0</v>
      </c>
      <c r="AA27" s="20">
        <f>SUM($Z$27:$Z$27)</f>
        <v>0</v>
      </c>
      <c r="AB27" s="20">
        <f>SUMIF($L$4:$AA$4,"SUBTOTAL",$L$27:$AA$27)</f>
        <v>-118.82523609013104</v>
      </c>
    </row>
    <row r="28" spans="1:28" ht="11.25" customHeight="1" x14ac:dyDescent="0.3">
      <c r="A28" s="101"/>
      <c r="B28" s="101" t="s">
        <v>466</v>
      </c>
      <c r="C28" s="101" t="s">
        <v>43</v>
      </c>
      <c r="D28" s="101" t="s">
        <v>485</v>
      </c>
      <c r="E28" s="101" t="s">
        <v>25</v>
      </c>
      <c r="F28" s="101" t="s">
        <v>25</v>
      </c>
      <c r="G28" s="23" t="s">
        <v>468</v>
      </c>
      <c r="H28" s="23" t="s">
        <v>467</v>
      </c>
      <c r="I28" s="23">
        <f>'MERCADO TE'!$U$25</f>
        <v>0</v>
      </c>
      <c r="J28" s="15"/>
      <c r="L28" s="20">
        <f>'TE BE'!$L$28*'TE BE'!$L$48</f>
        <v>0</v>
      </c>
      <c r="M28" s="20">
        <f>'TE BE'!$M$28*'TE BE'!$M$48</f>
        <v>0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0</v>
      </c>
      <c r="R28" s="20">
        <f>'TE BE'!$R$28*'TE BE'!$R$48</f>
        <v>-116.65419477413683</v>
      </c>
      <c r="S28" s="20">
        <f>SUM($R$28:$R$28)</f>
        <v>-116.65419477413683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-2.1710413159942181</v>
      </c>
      <c r="Y28" s="20">
        <f>SUM($X$28:$X$28)</f>
        <v>-2.1710413159942181</v>
      </c>
      <c r="Z28" s="20">
        <f>'TE BE'!$Z$28*'TE BE'!$Z$48</f>
        <v>0</v>
      </c>
      <c r="AA28" s="20">
        <f>SUM($Z$28:$Z$28)</f>
        <v>0</v>
      </c>
      <c r="AB28" s="20">
        <f>SUMIF($L$4:$AA$4,"SUBTOTAL",$L$28:$AA$28)</f>
        <v>-118.82523609013104</v>
      </c>
    </row>
    <row r="29" spans="1:28" ht="11.25" customHeight="1" x14ac:dyDescent="0.3">
      <c r="A29" s="101"/>
      <c r="B29" s="101"/>
      <c r="C29" s="101"/>
      <c r="D29" s="101"/>
      <c r="E29" s="101"/>
      <c r="F29" s="101"/>
      <c r="G29" s="23" t="s">
        <v>480</v>
      </c>
      <c r="H29" s="23" t="s">
        <v>467</v>
      </c>
      <c r="I29" s="23">
        <f>'MERCADO TE'!$U$26</f>
        <v>0</v>
      </c>
      <c r="J29" s="15"/>
      <c r="L29" s="20">
        <f>'TE BE'!$L$29*'TE BE'!$L$48</f>
        <v>0</v>
      </c>
      <c r="M29" s="20">
        <f>'TE BE'!$M$29*'TE BE'!$M$48</f>
        <v>0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0</v>
      </c>
      <c r="R29" s="20">
        <f>'TE BE'!$R$29*'TE BE'!$R$48</f>
        <v>-116.65419477413683</v>
      </c>
      <c r="S29" s="20">
        <f>SUM($R$29:$R$29)</f>
        <v>-116.65419477413683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-2.1710413159942181</v>
      </c>
      <c r="Y29" s="20">
        <f>SUM($X$29:$X$29)</f>
        <v>-2.1710413159942181</v>
      </c>
      <c r="Z29" s="20">
        <f>'TE BE'!$Z$29*'TE BE'!$Z$48</f>
        <v>0</v>
      </c>
      <c r="AA29" s="20">
        <f>SUM($Z$29:$Z$29)</f>
        <v>0</v>
      </c>
      <c r="AB29" s="20">
        <f>SUMIF($L$4:$AA$4,"SUBTOTAL",$L$29:$AA$29)</f>
        <v>-118.82523609013104</v>
      </c>
    </row>
    <row r="30" spans="1:28" ht="11.25" customHeight="1" x14ac:dyDescent="0.3">
      <c r="A30" s="101"/>
      <c r="B30" s="101"/>
      <c r="C30" s="101"/>
      <c r="D30" s="101"/>
      <c r="E30" s="101"/>
      <c r="F30" s="101"/>
      <c r="G30" s="23" t="s">
        <v>469</v>
      </c>
      <c r="H30" s="23" t="s">
        <v>467</v>
      </c>
      <c r="I30" s="23">
        <f>'MERCADO TE'!$U$27</f>
        <v>0</v>
      </c>
      <c r="J30" s="15"/>
      <c r="L30" s="20">
        <f>'TE BE'!$L$30*'TE BE'!$L$48</f>
        <v>0</v>
      </c>
      <c r="M30" s="20">
        <f>'TE BE'!$M$30*'TE BE'!$M$48</f>
        <v>0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0</v>
      </c>
      <c r="R30" s="20">
        <f>'TE BE'!$R$30*'TE BE'!$R$48</f>
        <v>-116.65419477413683</v>
      </c>
      <c r="S30" s="20">
        <f>SUM($R$30:$R$30)</f>
        <v>-116.65419477413683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-2.1710413159942181</v>
      </c>
      <c r="Y30" s="20">
        <f>SUM($X$30:$X$30)</f>
        <v>-2.1710413159942181</v>
      </c>
      <c r="Z30" s="20">
        <f>'TE BE'!$Z$30*'TE BE'!$Z$48</f>
        <v>0</v>
      </c>
      <c r="AA30" s="20">
        <f>SUM($Z$30:$Z$30)</f>
        <v>0</v>
      </c>
      <c r="AB30" s="20">
        <f>SUMIF($L$4:$AA$4,"SUBTOTAL",$L$30:$AA$30)</f>
        <v>-118.82523609013104</v>
      </c>
    </row>
    <row r="31" spans="1:28" ht="11.25" customHeight="1" x14ac:dyDescent="0.3">
      <c r="A31" s="101"/>
      <c r="B31" s="22" t="s">
        <v>481</v>
      </c>
      <c r="C31" s="22" t="s">
        <v>43</v>
      </c>
      <c r="D31" s="22" t="s">
        <v>485</v>
      </c>
      <c r="E31" s="22" t="s">
        <v>25</v>
      </c>
      <c r="F31" s="22" t="s">
        <v>25</v>
      </c>
      <c r="G31" s="23" t="s">
        <v>474</v>
      </c>
      <c r="H31" s="23" t="s">
        <v>467</v>
      </c>
      <c r="I31" s="23">
        <f>'MERCADO TE'!$U$28</f>
        <v>0</v>
      </c>
      <c r="J31" s="15"/>
      <c r="L31" s="20">
        <f>'TE BE'!$L$31*'TE BE'!$L$48</f>
        <v>0</v>
      </c>
      <c r="M31" s="20">
        <f>'TE BE'!$M$31*'TE BE'!$M$48</f>
        <v>0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0</v>
      </c>
      <c r="R31" s="20">
        <f>'TE BE'!$R$31*'TE BE'!$R$48</f>
        <v>-116.65419477413683</v>
      </c>
      <c r="S31" s="20">
        <f>SUM($R$31:$R$31)</f>
        <v>-116.65419477413683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-2.1710413159942181</v>
      </c>
      <c r="Y31" s="20">
        <f>SUM($X$31:$X$31)</f>
        <v>-2.1710413159942181</v>
      </c>
      <c r="Z31" s="20">
        <f>'TE BE'!$Z$31*'TE BE'!$Z$48</f>
        <v>0</v>
      </c>
      <c r="AA31" s="20">
        <f>SUM($Z$31:$Z$31)</f>
        <v>0</v>
      </c>
      <c r="AB31" s="20">
        <f>SUMIF($L$4:$AA$4,"SUBTOTAL",$L$31:$AA$31)</f>
        <v>-118.82523609013104</v>
      </c>
    </row>
    <row r="32" spans="1:28" ht="11.25" customHeight="1" x14ac:dyDescent="0.3">
      <c r="A32" s="101"/>
      <c r="B32" s="101" t="s">
        <v>482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474</v>
      </c>
      <c r="H32" s="23" t="s">
        <v>467</v>
      </c>
      <c r="I32" s="23">
        <f>'MERCADO TE'!$U$29</f>
        <v>0</v>
      </c>
      <c r="J32" s="15"/>
      <c r="L32" s="20">
        <f>'TE BE'!$L$32*'TE BE'!$L$48</f>
        <v>0</v>
      </c>
      <c r="M32" s="20">
        <f>'TE BE'!$M$32*'TE BE'!$M$48</f>
        <v>0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0</v>
      </c>
      <c r="R32" s="20">
        <f>'TE BE'!$R$32*'TE BE'!$R$48</f>
        <v>-116.65419477413683</v>
      </c>
      <c r="S32" s="20">
        <f>SUM($R$32:$R$32)</f>
        <v>-116.65419477413683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-2.1710413159942181</v>
      </c>
      <c r="Y32" s="20">
        <f>SUM($X$32:$X$32)</f>
        <v>-2.1710413159942181</v>
      </c>
      <c r="Z32" s="20">
        <f>'TE BE'!$Z$32*'TE BE'!$Z$48</f>
        <v>0</v>
      </c>
      <c r="AA32" s="20">
        <f>SUM($Z$32:$Z$32)</f>
        <v>0</v>
      </c>
      <c r="AB32" s="20">
        <f>SUMIF($L$4:$AA$4,"SUBTOTAL",$L$32:$AA$32)</f>
        <v>-118.82523609013104</v>
      </c>
    </row>
    <row r="33" spans="1:28" ht="11.25" customHeight="1" x14ac:dyDescent="0.3">
      <c r="A33" s="101"/>
      <c r="B33" s="101"/>
      <c r="C33" s="101"/>
      <c r="D33" s="22" t="s">
        <v>484</v>
      </c>
      <c r="E33" s="22" t="s">
        <v>25</v>
      </c>
      <c r="F33" s="22" t="s">
        <v>25</v>
      </c>
      <c r="G33" s="23" t="s">
        <v>474</v>
      </c>
      <c r="H33" s="23" t="s">
        <v>467</v>
      </c>
      <c r="I33" s="23">
        <f>'MERCADO TE'!$U$30</f>
        <v>0</v>
      </c>
      <c r="J33" s="15"/>
      <c r="L33" s="20">
        <f>'TE BE'!$L$33*'TE BE'!$L$48</f>
        <v>0</v>
      </c>
      <c r="M33" s="20">
        <f>'TE BE'!$M$33*'TE BE'!$M$48</f>
        <v>0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0</v>
      </c>
      <c r="R33" s="20">
        <f>'TE BE'!$R$33*'TE BE'!$R$48</f>
        <v>-116.65419477413683</v>
      </c>
      <c r="S33" s="20">
        <f>SUM($R$33:$R$33)</f>
        <v>-116.65419477413683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-2.1710413159942181</v>
      </c>
      <c r="Y33" s="20">
        <f>SUM($X$33:$X$33)</f>
        <v>-2.1710413159942181</v>
      </c>
      <c r="Z33" s="20">
        <f>'TE BE'!$Z$33*'TE BE'!$Z$48</f>
        <v>0</v>
      </c>
      <c r="AA33" s="20">
        <f>SUM($Z$33:$Z$33)</f>
        <v>0</v>
      </c>
      <c r="AB33" s="20">
        <f>SUMIF($L$4:$AA$4,"SUBTOTAL",$L$33:$AA$33)</f>
        <v>-118.82523609013104</v>
      </c>
    </row>
    <row r="34" spans="1:28" ht="11.25" customHeight="1" x14ac:dyDescent="0.3">
      <c r="A34" s="101"/>
      <c r="B34" s="101"/>
      <c r="C34" s="101"/>
      <c r="D34" s="22" t="s">
        <v>485</v>
      </c>
      <c r="E34" s="22" t="s">
        <v>25</v>
      </c>
      <c r="F34" s="22" t="s">
        <v>25</v>
      </c>
      <c r="G34" s="23" t="s">
        <v>474</v>
      </c>
      <c r="H34" s="23" t="s">
        <v>467</v>
      </c>
      <c r="I34" s="23">
        <f>'MERCADO TE'!$U$31</f>
        <v>0</v>
      </c>
      <c r="J34" s="15"/>
      <c r="L34" s="20">
        <f>'TE BE'!$L$34*'TE BE'!$L$48</f>
        <v>0</v>
      </c>
      <c r="M34" s="20">
        <f>'TE BE'!$M$34*'TE BE'!$M$48</f>
        <v>0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0</v>
      </c>
      <c r="R34" s="20">
        <f>'TE BE'!$R$34*'TE BE'!$R$48</f>
        <v>-116.65419477413683</v>
      </c>
      <c r="S34" s="20">
        <f>SUM($R$34:$R$34)</f>
        <v>-116.65419477413683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-2.1710413159942181</v>
      </c>
      <c r="Y34" s="20">
        <f>SUM($X$34:$X$34)</f>
        <v>-2.1710413159942181</v>
      </c>
      <c r="Z34" s="20">
        <f>'TE BE'!$Z$34*'TE BE'!$Z$48</f>
        <v>0</v>
      </c>
      <c r="AA34" s="20">
        <f>SUM($Z$34:$Z$34)</f>
        <v>0</v>
      </c>
      <c r="AB34" s="20">
        <f>SUMIF($L$4:$AA$4,"SUBTOTAL",$L$34:$AA$34)</f>
        <v>-118.82523609013104</v>
      </c>
    </row>
    <row r="35" spans="1:28" ht="11.25" customHeight="1" x14ac:dyDescent="0.3">
      <c r="A35" s="101" t="s">
        <v>37</v>
      </c>
      <c r="B35" s="101" t="s">
        <v>466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468</v>
      </c>
      <c r="H35" s="23" t="s">
        <v>467</v>
      </c>
      <c r="I35" s="23">
        <f>'MERCADO TE'!$U$32</f>
        <v>3.0390000000000001</v>
      </c>
      <c r="J35" s="15"/>
      <c r="L35" s="20">
        <f>'TE BE'!$L$35*'TE BE'!$L$48</f>
        <v>0</v>
      </c>
      <c r="M35" s="20">
        <f>'TE BE'!$M$35*'TE BE'!$M$48</f>
        <v>0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0</v>
      </c>
      <c r="R35" s="20">
        <f>'TE BE'!$R$35*'TE BE'!$R$48</f>
        <v>-116.65419477413683</v>
      </c>
      <c r="S35" s="20">
        <f>SUM($R$35:$R$35)</f>
        <v>-116.65419477413683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-2.1710413159942181</v>
      </c>
      <c r="Y35" s="20">
        <f>SUM($X$35:$X$35)</f>
        <v>-2.1710413159942181</v>
      </c>
      <c r="Z35" s="20">
        <f>'TE BE'!$Z$35*'TE BE'!$Z$48</f>
        <v>0</v>
      </c>
      <c r="AA35" s="20">
        <f>SUM($Z$35:$Z$35)</f>
        <v>0</v>
      </c>
      <c r="AB35" s="20">
        <f>SUMIF($L$4:$AA$4,"SUBTOTAL",$L$35:$AA$35)</f>
        <v>-118.82523609013104</v>
      </c>
    </row>
    <row r="36" spans="1:28" ht="11.25" customHeight="1" x14ac:dyDescent="0.3">
      <c r="A36" s="101"/>
      <c r="B36" s="101"/>
      <c r="C36" s="101"/>
      <c r="D36" s="101"/>
      <c r="E36" s="101"/>
      <c r="F36" s="101"/>
      <c r="G36" s="23" t="s">
        <v>480</v>
      </c>
      <c r="H36" s="23" t="s">
        <v>467</v>
      </c>
      <c r="I36" s="23">
        <f>'MERCADO TE'!$U$33</f>
        <v>5.1750000000000007</v>
      </c>
      <c r="J36" s="15"/>
      <c r="L36" s="20">
        <f>'TE BE'!$L$36*'TE BE'!$L$48</f>
        <v>0</v>
      </c>
      <c r="M36" s="20">
        <f>'TE BE'!$M$36*'TE BE'!$M$48</f>
        <v>0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0</v>
      </c>
      <c r="R36" s="20">
        <f>'TE BE'!$R$36*'TE BE'!$R$48</f>
        <v>-116.65419477413683</v>
      </c>
      <c r="S36" s="20">
        <f>SUM($R$36:$R$36)</f>
        <v>-116.65419477413683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-2.1710413159942181</v>
      </c>
      <c r="Y36" s="20">
        <f>SUM($X$36:$X$36)</f>
        <v>-2.1710413159942181</v>
      </c>
      <c r="Z36" s="20">
        <f>'TE BE'!$Z$36*'TE BE'!$Z$48</f>
        <v>0</v>
      </c>
      <c r="AA36" s="20">
        <f>SUM($Z$36:$Z$36)</f>
        <v>0</v>
      </c>
      <c r="AB36" s="20">
        <f>SUMIF($L$4:$AA$4,"SUBTOTAL",$L$36:$AA$36)</f>
        <v>-118.82523609013104</v>
      </c>
    </row>
    <row r="37" spans="1:28" ht="11.25" customHeight="1" x14ac:dyDescent="0.3">
      <c r="A37" s="101"/>
      <c r="B37" s="101"/>
      <c r="C37" s="101"/>
      <c r="D37" s="101"/>
      <c r="E37" s="101"/>
      <c r="F37" s="101"/>
      <c r="G37" s="23" t="s">
        <v>469</v>
      </c>
      <c r="H37" s="23" t="s">
        <v>467</v>
      </c>
      <c r="I37" s="23">
        <f>'MERCADO TE'!$U$34</f>
        <v>190.53300000000002</v>
      </c>
      <c r="J37" s="15"/>
      <c r="L37" s="20">
        <f>'TE BE'!$L$37*'TE BE'!$L$48</f>
        <v>0</v>
      </c>
      <c r="M37" s="20">
        <f>'TE BE'!$M$37*'TE BE'!$M$48</f>
        <v>0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0</v>
      </c>
      <c r="R37" s="20">
        <f>'TE BE'!$R$37*'TE BE'!$R$48</f>
        <v>-116.65419477413683</v>
      </c>
      <c r="S37" s="20">
        <f>SUM($R$37:$R$37)</f>
        <v>-116.65419477413683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-2.1710413159942181</v>
      </c>
      <c r="Y37" s="20">
        <f>SUM($X$37:$X$37)</f>
        <v>-2.1710413159942181</v>
      </c>
      <c r="Z37" s="20">
        <f>'TE BE'!$Z$37*'TE BE'!$Z$48</f>
        <v>0</v>
      </c>
      <c r="AA37" s="20">
        <f>SUM($Z$37:$Z$37)</f>
        <v>0</v>
      </c>
      <c r="AB37" s="20">
        <f>SUMIF($L$4:$AA$4,"SUBTOTAL",$L$37:$AA$37)</f>
        <v>-118.82523609013104</v>
      </c>
    </row>
    <row r="38" spans="1:28" ht="11.25" customHeight="1" x14ac:dyDescent="0.3">
      <c r="A38" s="101"/>
      <c r="B38" s="22" t="s">
        <v>481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474</v>
      </c>
      <c r="H38" s="23" t="s">
        <v>467</v>
      </c>
      <c r="I38" s="23">
        <f>'MERCADO TE'!$U$35</f>
        <v>13839.034999999998</v>
      </c>
      <c r="J38" s="15"/>
      <c r="L38" s="20">
        <f>'TE BE'!$L$38*'TE BE'!$L$48</f>
        <v>0</v>
      </c>
      <c r="M38" s="20">
        <f>'TE BE'!$M$38*'TE BE'!$M$48</f>
        <v>0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0</v>
      </c>
      <c r="R38" s="20">
        <f>'TE BE'!$R$38*'TE BE'!$R$48</f>
        <v>-116.65419477413683</v>
      </c>
      <c r="S38" s="20">
        <f>SUM($R$38:$R$38)</f>
        <v>-116.65419477413683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-2.1710413159942181</v>
      </c>
      <c r="Y38" s="20">
        <f>SUM($X$38:$X$38)</f>
        <v>-2.1710413159942181</v>
      </c>
      <c r="Z38" s="20">
        <f>'TE BE'!$Z$38*'TE BE'!$Z$48</f>
        <v>0</v>
      </c>
      <c r="AA38" s="20">
        <f>SUM($Z$38:$Z$38)</f>
        <v>0</v>
      </c>
      <c r="AB38" s="20">
        <f>SUMIF($L$4:$AA$4,"SUBTOTAL",$L$38:$AA$38)</f>
        <v>-118.82523609013104</v>
      </c>
    </row>
    <row r="39" spans="1:28" ht="11.25" customHeight="1" x14ac:dyDescent="0.3">
      <c r="A39" s="101"/>
      <c r="B39" s="22" t="s">
        <v>482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474</v>
      </c>
      <c r="H39" s="23" t="s">
        <v>467</v>
      </c>
      <c r="I39" s="23">
        <f>'MERCADO TE'!$U$36</f>
        <v>0</v>
      </c>
      <c r="J39" s="15"/>
      <c r="L39" s="20">
        <f>'TE BE'!$L$39*'TE BE'!$L$48</f>
        <v>0</v>
      </c>
      <c r="M39" s="20">
        <f>'TE BE'!$M$39*'TE BE'!$M$48</f>
        <v>0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0</v>
      </c>
      <c r="R39" s="20">
        <f>'TE BE'!$R$39*'TE BE'!$R$48</f>
        <v>-116.65419477413683</v>
      </c>
      <c r="S39" s="20">
        <f>SUM($R$39:$R$39)</f>
        <v>-116.65419477413683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-2.1710413159942181</v>
      </c>
      <c r="Y39" s="20">
        <f>SUM($X$39:$X$39)</f>
        <v>-2.1710413159942181</v>
      </c>
      <c r="Z39" s="20">
        <f>'TE BE'!$Z$39*'TE BE'!$Z$48</f>
        <v>0</v>
      </c>
      <c r="AA39" s="20">
        <f>SUM($Z$39:$Z$39)</f>
        <v>0</v>
      </c>
      <c r="AB39" s="20">
        <f>SUMIF($L$4:$AA$4,"SUBTOTAL",$L$39:$AA$39)</f>
        <v>-118.82523609013104</v>
      </c>
    </row>
    <row r="40" spans="1:28" ht="11.25" customHeight="1" x14ac:dyDescent="0.3">
      <c r="A40" s="101" t="s">
        <v>45</v>
      </c>
      <c r="B40" s="101" t="s">
        <v>481</v>
      </c>
      <c r="C40" s="101" t="s">
        <v>46</v>
      </c>
      <c r="D40" s="22" t="s">
        <v>486</v>
      </c>
      <c r="E40" s="22" t="s">
        <v>25</v>
      </c>
      <c r="F40" s="22" t="s">
        <v>25</v>
      </c>
      <c r="G40" s="23" t="s">
        <v>474</v>
      </c>
      <c r="H40" s="23" t="s">
        <v>467</v>
      </c>
      <c r="I40" s="23">
        <f>'MERCADO TE'!$U$37</f>
        <v>0</v>
      </c>
      <c r="J40" s="15"/>
      <c r="L40" s="20">
        <f>'TE BE'!$L$40*'TE BE'!$L$48</f>
        <v>0</v>
      </c>
      <c r="M40" s="20">
        <f>'TE BE'!$M$40*'TE BE'!$M$48</f>
        <v>0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0</v>
      </c>
      <c r="R40" s="20">
        <f>'TE BE'!$R$40*'TE BE'!$R$48</f>
        <v>-64.159807125775259</v>
      </c>
      <c r="S40" s="20">
        <f>SUM($R$40:$R$40)</f>
        <v>-64.159807125775259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-1.1940727237968201</v>
      </c>
      <c r="Y40" s="20">
        <f>SUM($X$40:$X$40)</f>
        <v>-1.1940727237968201</v>
      </c>
      <c r="Z40" s="20">
        <f>'TE BE'!$Z$40*'TE BE'!$Z$48</f>
        <v>0</v>
      </c>
      <c r="AA40" s="20">
        <f>SUM($Z$40:$Z$40)</f>
        <v>0</v>
      </c>
      <c r="AB40" s="20">
        <f>SUMIF($L$4:$AA$4,"SUBTOTAL",$L$40:$AA$40)</f>
        <v>-65.353879849572081</v>
      </c>
    </row>
    <row r="41" spans="1:28" ht="11.25" customHeight="1" x14ac:dyDescent="0.3">
      <c r="A41" s="101"/>
      <c r="B41" s="101"/>
      <c r="C41" s="101"/>
      <c r="D41" s="23" t="s">
        <v>47</v>
      </c>
      <c r="E41" s="23" t="s">
        <v>25</v>
      </c>
      <c r="F41" s="23" t="s">
        <v>25</v>
      </c>
      <c r="G41" s="23" t="s">
        <v>474</v>
      </c>
      <c r="H41" s="23" t="s">
        <v>467</v>
      </c>
      <c r="I41" s="23">
        <f>'MERCADO TE'!$U$38</f>
        <v>3807.3310000000001</v>
      </c>
      <c r="J41" s="15"/>
      <c r="L41" s="20">
        <f>'TE BE'!$L$41*'TE BE'!$L$48</f>
        <v>0</v>
      </c>
      <c r="M41" s="20">
        <f>'TE BE'!$M$41*'TE BE'!$M$48</f>
        <v>0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0</v>
      </c>
      <c r="R41" s="20">
        <f>'TE BE'!$R$41*'TE BE'!$R$48</f>
        <v>-69.992516864482084</v>
      </c>
      <c r="S41" s="20">
        <f>SUM($R$41:$R$41)</f>
        <v>-69.992516864482084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-1.3026247895965306</v>
      </c>
      <c r="Y41" s="20">
        <f>SUM($X$41:$X$41)</f>
        <v>-1.3026247895965306</v>
      </c>
      <c r="Z41" s="20">
        <f>'TE BE'!$Z$41*'TE BE'!$Z$48</f>
        <v>0</v>
      </c>
      <c r="AA41" s="20">
        <f>SUM($Z$41:$Z$41)</f>
        <v>0</v>
      </c>
      <c r="AB41" s="20">
        <f>SUMIF($L$4:$AA$4,"SUBTOTAL",$L$41:$AA$41)</f>
        <v>-71.29514165407862</v>
      </c>
    </row>
    <row r="43" spans="1:28" ht="11.25" customHeight="1" x14ac:dyDescent="0.3">
      <c r="K43" s="25" t="s">
        <v>615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-6483874.1071995627</v>
      </c>
      <c r="S43" s="20">
        <f t="shared" si="0"/>
        <v>-6483874.1071995627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-120670.83058342201</v>
      </c>
      <c r="Y43" s="20">
        <f t="shared" si="0"/>
        <v>-120670.83058342201</v>
      </c>
      <c r="Z43" s="20">
        <f t="shared" si="0"/>
        <v>0</v>
      </c>
      <c r="AA43" s="20">
        <f t="shared" si="0"/>
        <v>0</v>
      </c>
      <c r="AB43" s="20">
        <f t="shared" si="0"/>
        <v>-6604544.9377829861</v>
      </c>
    </row>
    <row r="44" spans="1:28" ht="11.25" customHeight="1" x14ac:dyDescent="0.3">
      <c r="K44" s="25" t="s">
        <v>534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10937627.172338372</v>
      </c>
      <c r="S44" s="20">
        <f>CUSTOS!$D$37</f>
        <v>10937627.172338372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10937627.172338372</v>
      </c>
    </row>
    <row r="45" spans="1:28" ht="11.25" customHeight="1" x14ac:dyDescent="0.3">
      <c r="K45" s="25" t="s">
        <v>535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-6483874.1071995627</v>
      </c>
      <c r="S45" s="20">
        <f>CUSTOS!$E$37</f>
        <v>-6483874.1071995627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-120670.83058342196</v>
      </c>
      <c r="Y45" s="20">
        <f>CUSTOS!$E$43</f>
        <v>-120670.83058342196</v>
      </c>
      <c r="Z45" s="20">
        <f>CUSTOS!$E$44</f>
        <v>0</v>
      </c>
      <c r="AA45" s="20">
        <f>CUSTOS!$E$45</f>
        <v>0</v>
      </c>
      <c r="AB45" s="20">
        <f>CUSTOS!$E$46</f>
        <v>-6604544.9377829842</v>
      </c>
    </row>
    <row r="46" spans="1:28" ht="11.25" customHeight="1" x14ac:dyDescent="0.3">
      <c r="K46" s="25" t="s">
        <v>536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616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3">
      <c r="K48" s="25" t="s">
        <v>611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12" priority="33" operator="notEqual">
      <formula>$L$45</formula>
    </cfRule>
    <cfRule type="cellIs" dxfId="711" priority="34" operator="equal">
      <formula>$L$45</formula>
    </cfRule>
  </conditionalFormatting>
  <conditionalFormatting sqref="M43">
    <cfRule type="cellIs" dxfId="710" priority="31" operator="notEqual">
      <formula>$M$45</formula>
    </cfRule>
    <cfRule type="cellIs" dxfId="709" priority="32" operator="equal">
      <formula>$M$45</formula>
    </cfRule>
  </conditionalFormatting>
  <conditionalFormatting sqref="N43">
    <cfRule type="cellIs" dxfId="708" priority="29" operator="notEqual">
      <formula>$N$45</formula>
    </cfRule>
    <cfRule type="cellIs" dxfId="707" priority="30" operator="equal">
      <formula>$N$45</formula>
    </cfRule>
  </conditionalFormatting>
  <conditionalFormatting sqref="O43">
    <cfRule type="cellIs" dxfId="706" priority="27" operator="notEqual">
      <formula>$O$45</formula>
    </cfRule>
    <cfRule type="cellIs" dxfId="705" priority="28" operator="equal">
      <formula>$O$45</formula>
    </cfRule>
  </conditionalFormatting>
  <conditionalFormatting sqref="P43">
    <cfRule type="cellIs" dxfId="704" priority="25" operator="notEqual">
      <formula>$P$45</formula>
    </cfRule>
    <cfRule type="cellIs" dxfId="703" priority="26" operator="equal">
      <formula>$P$45</formula>
    </cfRule>
  </conditionalFormatting>
  <conditionalFormatting sqref="Q43">
    <cfRule type="cellIs" dxfId="702" priority="23" operator="notEqual">
      <formula>$Q$45</formula>
    </cfRule>
    <cfRule type="cellIs" dxfId="701" priority="24" operator="equal">
      <formula>$Q$45</formula>
    </cfRule>
  </conditionalFormatting>
  <conditionalFormatting sqref="R43">
    <cfRule type="cellIs" dxfId="700" priority="21" operator="notEqual">
      <formula>$R$45</formula>
    </cfRule>
    <cfRule type="cellIs" dxfId="699" priority="22" operator="equal">
      <formula>$R$45</formula>
    </cfRule>
  </conditionalFormatting>
  <conditionalFormatting sqref="S43">
    <cfRule type="cellIs" dxfId="698" priority="19" operator="notEqual">
      <formula>$S$45</formula>
    </cfRule>
    <cfRule type="cellIs" dxfId="697" priority="20" operator="equal">
      <formula>$S$45</formula>
    </cfRule>
  </conditionalFormatting>
  <conditionalFormatting sqref="T43">
    <cfRule type="cellIs" dxfId="696" priority="17" operator="notEqual">
      <formula>$T$45</formula>
    </cfRule>
    <cfRule type="cellIs" dxfId="695" priority="18" operator="equal">
      <formula>$T$45</formula>
    </cfRule>
  </conditionalFormatting>
  <conditionalFormatting sqref="U43">
    <cfRule type="cellIs" dxfId="694" priority="15" operator="notEqual">
      <formula>$U$45</formula>
    </cfRule>
    <cfRule type="cellIs" dxfId="693" priority="16" operator="equal">
      <formula>$U$45</formula>
    </cfRule>
  </conditionalFormatting>
  <conditionalFormatting sqref="V43">
    <cfRule type="cellIs" dxfId="692" priority="13" operator="notEqual">
      <formula>$V$45</formula>
    </cfRule>
    <cfRule type="cellIs" dxfId="691" priority="14" operator="equal">
      <formula>$V$45</formula>
    </cfRule>
  </conditionalFormatting>
  <conditionalFormatting sqref="W43">
    <cfRule type="cellIs" dxfId="690" priority="11" operator="notEqual">
      <formula>$W$45</formula>
    </cfRule>
    <cfRule type="cellIs" dxfId="689" priority="12" operator="equal">
      <formula>$W$45</formula>
    </cfRule>
  </conditionalFormatting>
  <conditionalFormatting sqref="X43">
    <cfRule type="cellIs" dxfId="688" priority="9" operator="notEqual">
      <formula>$X$45</formula>
    </cfRule>
    <cfRule type="cellIs" dxfId="687" priority="10" operator="equal">
      <formula>$X$45</formula>
    </cfRule>
  </conditionalFormatting>
  <conditionalFormatting sqref="Y43">
    <cfRule type="cellIs" dxfId="686" priority="7" operator="notEqual">
      <formula>$Y$45</formula>
    </cfRule>
    <cfRule type="cellIs" dxfId="685" priority="8" operator="equal">
      <formula>$Y$45</formula>
    </cfRule>
  </conditionalFormatting>
  <conditionalFormatting sqref="Z43">
    <cfRule type="cellIs" dxfId="684" priority="5" operator="notEqual">
      <formula>$Z$45</formula>
    </cfRule>
    <cfRule type="cellIs" dxfId="683" priority="6" operator="equal">
      <formula>$Z$45</formula>
    </cfRule>
  </conditionalFormatting>
  <conditionalFormatting sqref="AA43">
    <cfRule type="cellIs" dxfId="682" priority="3" operator="notEqual">
      <formula>$AA$45</formula>
    </cfRule>
    <cfRule type="cellIs" dxfId="681" priority="4" operator="equal">
      <formula>$AA$45</formula>
    </cfRule>
  </conditionalFormatting>
  <conditionalFormatting sqref="AB43">
    <cfRule type="cellIs" dxfId="680" priority="1" operator="notEqual">
      <formula>$AB$45</formula>
    </cfRule>
    <cfRule type="cellIs" dxfId="679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7444-D2C9-459E-9888-31F5A5671838}">
  <dimension ref="A1:AB49"/>
  <sheetViews>
    <sheetView showGridLines="0" topLeftCell="I26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0" t="s">
        <v>457</v>
      </c>
      <c r="B1" s="100" t="s">
        <v>458</v>
      </c>
      <c r="C1" s="100" t="s">
        <v>459</v>
      </c>
      <c r="D1" s="100" t="s">
        <v>460</v>
      </c>
      <c r="E1" s="100" t="s">
        <v>461</v>
      </c>
      <c r="F1" s="100" t="s">
        <v>15</v>
      </c>
      <c r="G1" s="100" t="s">
        <v>463</v>
      </c>
      <c r="H1" s="100" t="s">
        <v>464</v>
      </c>
      <c r="I1" s="100" t="s">
        <v>593</v>
      </c>
      <c r="J1" s="84"/>
      <c r="L1" s="98" t="s">
        <v>621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98" t="s">
        <v>520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98" t="s">
        <v>493</v>
      </c>
      <c r="M3" s="98"/>
      <c r="N3" s="98"/>
      <c r="O3" s="98"/>
      <c r="P3" s="98"/>
      <c r="Q3" s="98"/>
      <c r="R3" s="98" t="s">
        <v>524</v>
      </c>
      <c r="S3" s="98"/>
      <c r="T3" s="98" t="s">
        <v>502</v>
      </c>
      <c r="U3" s="98"/>
      <c r="V3" s="98"/>
      <c r="W3" s="98"/>
      <c r="X3" s="98" t="s">
        <v>512</v>
      </c>
      <c r="Y3" s="98"/>
      <c r="Z3" s="98" t="s">
        <v>515</v>
      </c>
      <c r="AA3" s="98"/>
      <c r="AB3" s="98" t="s">
        <v>501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495</v>
      </c>
      <c r="M4" s="24" t="s">
        <v>521</v>
      </c>
      <c r="N4" s="24" t="s">
        <v>522</v>
      </c>
      <c r="O4" s="24" t="s">
        <v>581</v>
      </c>
      <c r="P4" s="24" t="s">
        <v>523</v>
      </c>
      <c r="Q4" s="24" t="s">
        <v>501</v>
      </c>
      <c r="R4" s="24" t="s">
        <v>525</v>
      </c>
      <c r="S4" s="24" t="s">
        <v>501</v>
      </c>
      <c r="T4" s="24" t="s">
        <v>526</v>
      </c>
      <c r="U4" s="24" t="s">
        <v>527</v>
      </c>
      <c r="V4" s="24" t="s">
        <v>528</v>
      </c>
      <c r="W4" s="24" t="s">
        <v>501</v>
      </c>
      <c r="X4" s="24" t="s">
        <v>513</v>
      </c>
      <c r="Y4" s="24" t="s">
        <v>501</v>
      </c>
      <c r="Z4" s="24" t="s">
        <v>529</v>
      </c>
      <c r="AA4" s="24" t="s">
        <v>501</v>
      </c>
      <c r="AB4" s="99"/>
    </row>
    <row r="5" spans="1:28" ht="11.25" customHeight="1" x14ac:dyDescent="0.3">
      <c r="A5" s="101" t="s">
        <v>39</v>
      </c>
      <c r="B5" s="101" t="s">
        <v>466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468</v>
      </c>
      <c r="H5" s="23" t="s">
        <v>467</v>
      </c>
      <c r="I5" s="23">
        <f>'MERCADO TE'!$U$2</f>
        <v>381.36199999999997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3">
      <c r="A6" s="101"/>
      <c r="B6" s="101"/>
      <c r="C6" s="101"/>
      <c r="D6" s="101"/>
      <c r="E6" s="101"/>
      <c r="F6" s="101"/>
      <c r="G6" s="23" t="s">
        <v>469</v>
      </c>
      <c r="H6" s="23" t="s">
        <v>467</v>
      </c>
      <c r="I6" s="23">
        <f>'MERCADO TE'!$U$3</f>
        <v>8068.7160000000003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3">
      <c r="A7" s="101" t="s">
        <v>22</v>
      </c>
      <c r="B7" s="101" t="s">
        <v>466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468</v>
      </c>
      <c r="H7" s="23" t="s">
        <v>467</v>
      </c>
      <c r="I7" s="23">
        <f>'MERCADO TE'!$U$4</f>
        <v>0.495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3">
      <c r="A8" s="101"/>
      <c r="B8" s="101"/>
      <c r="C8" s="101"/>
      <c r="D8" s="101"/>
      <c r="E8" s="101"/>
      <c r="F8" s="101"/>
      <c r="G8" s="23" t="s">
        <v>480</v>
      </c>
      <c r="H8" s="23" t="s">
        <v>467</v>
      </c>
      <c r="I8" s="23">
        <f>'MERCADO TE'!$U$5</f>
        <v>0.24800000000000003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3">
      <c r="A9" s="101"/>
      <c r="B9" s="101"/>
      <c r="C9" s="101"/>
      <c r="D9" s="101"/>
      <c r="E9" s="101"/>
      <c r="F9" s="101"/>
      <c r="G9" s="23" t="s">
        <v>469</v>
      </c>
      <c r="H9" s="23" t="s">
        <v>467</v>
      </c>
      <c r="I9" s="23">
        <f>'MERCADO TE'!$U$6</f>
        <v>6.5449999999999999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3">
      <c r="A10" s="101"/>
      <c r="B10" s="101" t="s">
        <v>481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474</v>
      </c>
      <c r="H10" s="23" t="s">
        <v>467</v>
      </c>
      <c r="I10" s="23">
        <f>'MERCADO TE'!$U$7</f>
        <v>29737.986000000001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3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474</v>
      </c>
      <c r="H11" s="23" t="s">
        <v>467</v>
      </c>
      <c r="I11" s="23">
        <f>'MERCADO TE'!$U$8</f>
        <v>83.323000000000008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3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474</v>
      </c>
      <c r="H12" s="23" t="s">
        <v>467</v>
      </c>
      <c r="I12" s="23">
        <f>'MERCADO TE'!$U$9</f>
        <v>175.95599999999999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3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474</v>
      </c>
      <c r="H13" s="23" t="s">
        <v>467</v>
      </c>
      <c r="I13" s="23">
        <f>'MERCADO TE'!$U$10</f>
        <v>193.03699999999998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3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474</v>
      </c>
      <c r="H14" s="23" t="s">
        <v>467</v>
      </c>
      <c r="I14" s="23">
        <f>'MERCADO TE'!$U$11</f>
        <v>98.578999999999994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3">
      <c r="A15" s="101"/>
      <c r="B15" s="101" t="s">
        <v>482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474</v>
      </c>
      <c r="H15" s="23" t="s">
        <v>467</v>
      </c>
      <c r="I15" s="23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3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474</v>
      </c>
      <c r="H16" s="23" t="s">
        <v>467</v>
      </c>
      <c r="I16" s="23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3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474</v>
      </c>
      <c r="H17" s="23" t="s">
        <v>467</v>
      </c>
      <c r="I17" s="23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3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474</v>
      </c>
      <c r="H18" s="23" t="s">
        <v>467</v>
      </c>
      <c r="I18" s="23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3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474</v>
      </c>
      <c r="H19" s="23" t="s">
        <v>467</v>
      </c>
      <c r="I19" s="23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3">
      <c r="A20" s="101" t="s">
        <v>42</v>
      </c>
      <c r="B20" s="101" t="s">
        <v>466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468</v>
      </c>
      <c r="H20" s="23" t="s">
        <v>467</v>
      </c>
      <c r="I20" s="23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3">
      <c r="A21" s="101"/>
      <c r="B21" s="101"/>
      <c r="C21" s="101"/>
      <c r="D21" s="101"/>
      <c r="E21" s="101"/>
      <c r="F21" s="101"/>
      <c r="G21" s="23" t="s">
        <v>480</v>
      </c>
      <c r="H21" s="23" t="s">
        <v>467</v>
      </c>
      <c r="I21" s="23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3">
      <c r="A22" s="101"/>
      <c r="B22" s="101"/>
      <c r="C22" s="101"/>
      <c r="D22" s="101"/>
      <c r="E22" s="101"/>
      <c r="F22" s="101"/>
      <c r="G22" s="23" t="s">
        <v>469</v>
      </c>
      <c r="H22" s="23" t="s">
        <v>467</v>
      </c>
      <c r="I22" s="23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3">
      <c r="A23" s="101"/>
      <c r="B23" s="22" t="s">
        <v>481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474</v>
      </c>
      <c r="H23" s="23" t="s">
        <v>467</v>
      </c>
      <c r="I23" s="23">
        <f>'MERCADO TE'!$U$20</f>
        <v>513.57799999999997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3">
      <c r="A24" s="101"/>
      <c r="B24" s="101" t="s">
        <v>466</v>
      </c>
      <c r="C24" s="101" t="s">
        <v>43</v>
      </c>
      <c r="D24" s="101" t="s">
        <v>484</v>
      </c>
      <c r="E24" s="101" t="s">
        <v>25</v>
      </c>
      <c r="F24" s="101" t="s">
        <v>25</v>
      </c>
      <c r="G24" s="23" t="s">
        <v>468</v>
      </c>
      <c r="H24" s="23" t="s">
        <v>467</v>
      </c>
      <c r="I24" s="23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3">
      <c r="A25" s="101"/>
      <c r="B25" s="101"/>
      <c r="C25" s="101"/>
      <c r="D25" s="101"/>
      <c r="E25" s="101"/>
      <c r="F25" s="101"/>
      <c r="G25" s="23" t="s">
        <v>480</v>
      </c>
      <c r="H25" s="23" t="s">
        <v>467</v>
      </c>
      <c r="I25" s="23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3">
      <c r="A26" s="101"/>
      <c r="B26" s="101"/>
      <c r="C26" s="101"/>
      <c r="D26" s="101"/>
      <c r="E26" s="101"/>
      <c r="F26" s="101"/>
      <c r="G26" s="23" t="s">
        <v>469</v>
      </c>
      <c r="H26" s="23" t="s">
        <v>467</v>
      </c>
      <c r="I26" s="23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3">
      <c r="A27" s="101"/>
      <c r="B27" s="22" t="s">
        <v>481</v>
      </c>
      <c r="C27" s="22" t="s">
        <v>43</v>
      </c>
      <c r="D27" s="22" t="s">
        <v>484</v>
      </c>
      <c r="E27" s="22" t="s">
        <v>25</v>
      </c>
      <c r="F27" s="22" t="s">
        <v>25</v>
      </c>
      <c r="G27" s="23" t="s">
        <v>474</v>
      </c>
      <c r="H27" s="23" t="s">
        <v>467</v>
      </c>
      <c r="I27" s="23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3">
      <c r="A28" s="101"/>
      <c r="B28" s="101" t="s">
        <v>466</v>
      </c>
      <c r="C28" s="101" t="s">
        <v>43</v>
      </c>
      <c r="D28" s="101" t="s">
        <v>485</v>
      </c>
      <c r="E28" s="101" t="s">
        <v>25</v>
      </c>
      <c r="F28" s="101" t="s">
        <v>25</v>
      </c>
      <c r="G28" s="23" t="s">
        <v>468</v>
      </c>
      <c r="H28" s="23" t="s">
        <v>467</v>
      </c>
      <c r="I28" s="23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3">
      <c r="A29" s="101"/>
      <c r="B29" s="101"/>
      <c r="C29" s="101"/>
      <c r="D29" s="101"/>
      <c r="E29" s="101"/>
      <c r="F29" s="101"/>
      <c r="G29" s="23" t="s">
        <v>480</v>
      </c>
      <c r="H29" s="23" t="s">
        <v>467</v>
      </c>
      <c r="I29" s="23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3">
      <c r="A30" s="101"/>
      <c r="B30" s="101"/>
      <c r="C30" s="101"/>
      <c r="D30" s="101"/>
      <c r="E30" s="101"/>
      <c r="F30" s="101"/>
      <c r="G30" s="23" t="s">
        <v>469</v>
      </c>
      <c r="H30" s="23" t="s">
        <v>467</v>
      </c>
      <c r="I30" s="23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3">
      <c r="A31" s="101"/>
      <c r="B31" s="22" t="s">
        <v>481</v>
      </c>
      <c r="C31" s="22" t="s">
        <v>43</v>
      </c>
      <c r="D31" s="22" t="s">
        <v>485</v>
      </c>
      <c r="E31" s="22" t="s">
        <v>25</v>
      </c>
      <c r="F31" s="22" t="s">
        <v>25</v>
      </c>
      <c r="G31" s="23" t="s">
        <v>474</v>
      </c>
      <c r="H31" s="23" t="s">
        <v>467</v>
      </c>
      <c r="I31" s="23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3">
      <c r="A32" s="101"/>
      <c r="B32" s="101" t="s">
        <v>482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474</v>
      </c>
      <c r="H32" s="23" t="s">
        <v>467</v>
      </c>
      <c r="I32" s="23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3">
      <c r="A33" s="101"/>
      <c r="B33" s="101"/>
      <c r="C33" s="101"/>
      <c r="D33" s="22" t="s">
        <v>484</v>
      </c>
      <c r="E33" s="22" t="s">
        <v>25</v>
      </c>
      <c r="F33" s="22" t="s">
        <v>25</v>
      </c>
      <c r="G33" s="23" t="s">
        <v>474</v>
      </c>
      <c r="H33" s="23" t="s">
        <v>467</v>
      </c>
      <c r="I33" s="23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3">
      <c r="A34" s="101"/>
      <c r="B34" s="101"/>
      <c r="C34" s="101"/>
      <c r="D34" s="22" t="s">
        <v>485</v>
      </c>
      <c r="E34" s="22" t="s">
        <v>25</v>
      </c>
      <c r="F34" s="22" t="s">
        <v>25</v>
      </c>
      <c r="G34" s="23" t="s">
        <v>474</v>
      </c>
      <c r="H34" s="23" t="s">
        <v>467</v>
      </c>
      <c r="I34" s="23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3">
      <c r="A35" s="101" t="s">
        <v>37</v>
      </c>
      <c r="B35" s="101" t="s">
        <v>466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468</v>
      </c>
      <c r="H35" s="23" t="s">
        <v>467</v>
      </c>
      <c r="I35" s="23">
        <f>'MERCADO TE'!$U$32</f>
        <v>3.0390000000000001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3">
      <c r="A36" s="101"/>
      <c r="B36" s="101"/>
      <c r="C36" s="101"/>
      <c r="D36" s="101"/>
      <c r="E36" s="101"/>
      <c r="F36" s="101"/>
      <c r="G36" s="23" t="s">
        <v>480</v>
      </c>
      <c r="H36" s="23" t="s">
        <v>467</v>
      </c>
      <c r="I36" s="23">
        <f>'MERCADO TE'!$U$33</f>
        <v>5.1750000000000007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3">
      <c r="A37" s="101"/>
      <c r="B37" s="101"/>
      <c r="C37" s="101"/>
      <c r="D37" s="101"/>
      <c r="E37" s="101"/>
      <c r="F37" s="101"/>
      <c r="G37" s="23" t="s">
        <v>469</v>
      </c>
      <c r="H37" s="23" t="s">
        <v>467</v>
      </c>
      <c r="I37" s="23">
        <f>'MERCADO TE'!$U$34</f>
        <v>190.53300000000002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3">
      <c r="A38" s="101"/>
      <c r="B38" s="22" t="s">
        <v>481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474</v>
      </c>
      <c r="H38" s="23" t="s">
        <v>467</v>
      </c>
      <c r="I38" s="23">
        <f>'MERCADO TE'!$U$35</f>
        <v>13839.034999999998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3">
      <c r="A39" s="101"/>
      <c r="B39" s="22" t="s">
        <v>482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474</v>
      </c>
      <c r="H39" s="23" t="s">
        <v>467</v>
      </c>
      <c r="I39" s="23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3">
      <c r="A40" s="101" t="s">
        <v>45</v>
      </c>
      <c r="B40" s="101" t="s">
        <v>481</v>
      </c>
      <c r="C40" s="101" t="s">
        <v>46</v>
      </c>
      <c r="D40" s="22" t="s">
        <v>486</v>
      </c>
      <c r="E40" s="22" t="s">
        <v>25</v>
      </c>
      <c r="F40" s="22" t="s">
        <v>25</v>
      </c>
      <c r="G40" s="23" t="s">
        <v>474</v>
      </c>
      <c r="H40" s="23" t="s">
        <v>467</v>
      </c>
      <c r="I40" s="23">
        <f>'MERCADO TE'!$U$37</f>
        <v>0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3">
      <c r="A41" s="101"/>
      <c r="B41" s="101"/>
      <c r="C41" s="101"/>
      <c r="D41" s="23" t="s">
        <v>47</v>
      </c>
      <c r="E41" s="23" t="s">
        <v>25</v>
      </c>
      <c r="F41" s="23" t="s">
        <v>25</v>
      </c>
      <c r="G41" s="23" t="s">
        <v>474</v>
      </c>
      <c r="H41" s="23" t="s">
        <v>467</v>
      </c>
      <c r="I41" s="23">
        <f>'MERCADO TE'!$U$38</f>
        <v>3807.3310000000001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3">
      <c r="K43" s="25" t="s">
        <v>615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3">
      <c r="K44" s="25" t="s">
        <v>534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10937627.172338372</v>
      </c>
      <c r="S44" s="20">
        <f>CUSTOS!$D$37</f>
        <v>10937627.172338372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10937627.172338372</v>
      </c>
    </row>
    <row r="45" spans="1:28" ht="11.25" customHeight="1" x14ac:dyDescent="0.3">
      <c r="K45" s="25" t="s">
        <v>535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-6483874.1071995627</v>
      </c>
      <c r="S45" s="20">
        <f>CUSTOS!$E$37</f>
        <v>-6483874.1071995627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-120670.83058342196</v>
      </c>
      <c r="Y45" s="20">
        <f>CUSTOS!$E$43</f>
        <v>-120670.83058342196</v>
      </c>
      <c r="Z45" s="20">
        <f>CUSTOS!$E$44</f>
        <v>0</v>
      </c>
      <c r="AA45" s="20">
        <f>CUSTOS!$E$45</f>
        <v>0</v>
      </c>
      <c r="AB45" s="20">
        <f>CUSTOS!$E$46</f>
        <v>-6604544.9377829842</v>
      </c>
    </row>
    <row r="46" spans="1:28" ht="11.25" customHeight="1" x14ac:dyDescent="0.3">
      <c r="K46" s="25" t="s">
        <v>536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78" priority="33" operator="notEqual">
      <formula>$L$46</formula>
    </cfRule>
    <cfRule type="cellIs" dxfId="677" priority="34" operator="equal">
      <formula>$L$46</formula>
    </cfRule>
  </conditionalFormatting>
  <conditionalFormatting sqref="M43">
    <cfRule type="cellIs" dxfId="676" priority="31" operator="notEqual">
      <formula>$M$46</formula>
    </cfRule>
    <cfRule type="cellIs" dxfId="675" priority="32" operator="equal">
      <formula>$M$46</formula>
    </cfRule>
  </conditionalFormatting>
  <conditionalFormatting sqref="N43">
    <cfRule type="cellIs" dxfId="674" priority="29" operator="notEqual">
      <formula>$N$46</formula>
    </cfRule>
    <cfRule type="cellIs" dxfId="673" priority="30" operator="equal">
      <formula>$N$46</formula>
    </cfRule>
  </conditionalFormatting>
  <conditionalFormatting sqref="O43">
    <cfRule type="cellIs" dxfId="672" priority="27" operator="notEqual">
      <formula>$O$46</formula>
    </cfRule>
    <cfRule type="cellIs" dxfId="671" priority="28" operator="equal">
      <formula>$O$46</formula>
    </cfRule>
  </conditionalFormatting>
  <conditionalFormatting sqref="P43">
    <cfRule type="cellIs" dxfId="670" priority="25" operator="notEqual">
      <formula>$P$46</formula>
    </cfRule>
    <cfRule type="cellIs" dxfId="669" priority="26" operator="equal">
      <formula>$P$46</formula>
    </cfRule>
  </conditionalFormatting>
  <conditionalFormatting sqref="Q43">
    <cfRule type="cellIs" dxfId="668" priority="23" operator="notEqual">
      <formula>$Q$46</formula>
    </cfRule>
    <cfRule type="cellIs" dxfId="667" priority="24" operator="equal">
      <formula>$Q$46</formula>
    </cfRule>
  </conditionalFormatting>
  <conditionalFormatting sqref="R43">
    <cfRule type="cellIs" dxfId="666" priority="21" operator="notEqual">
      <formula>$R$46</formula>
    </cfRule>
    <cfRule type="cellIs" dxfId="665" priority="22" operator="equal">
      <formula>$R$46</formula>
    </cfRule>
  </conditionalFormatting>
  <conditionalFormatting sqref="S43">
    <cfRule type="cellIs" dxfId="664" priority="19" operator="notEqual">
      <formula>$S$46</formula>
    </cfRule>
    <cfRule type="cellIs" dxfId="663" priority="20" operator="equal">
      <formula>$S$46</formula>
    </cfRule>
  </conditionalFormatting>
  <conditionalFormatting sqref="T43">
    <cfRule type="cellIs" dxfId="662" priority="17" operator="notEqual">
      <formula>$T$46</formula>
    </cfRule>
    <cfRule type="cellIs" dxfId="661" priority="18" operator="equal">
      <formula>$T$46</formula>
    </cfRule>
  </conditionalFormatting>
  <conditionalFormatting sqref="U43">
    <cfRule type="cellIs" dxfId="660" priority="15" operator="notEqual">
      <formula>$U$46</formula>
    </cfRule>
    <cfRule type="cellIs" dxfId="659" priority="16" operator="equal">
      <formula>$U$46</formula>
    </cfRule>
  </conditionalFormatting>
  <conditionalFormatting sqref="V43">
    <cfRule type="cellIs" dxfId="658" priority="13" operator="notEqual">
      <formula>$V$46</formula>
    </cfRule>
    <cfRule type="cellIs" dxfId="657" priority="14" operator="equal">
      <formula>$V$46</formula>
    </cfRule>
  </conditionalFormatting>
  <conditionalFormatting sqref="W43">
    <cfRule type="cellIs" dxfId="656" priority="11" operator="notEqual">
      <formula>$W$46</formula>
    </cfRule>
    <cfRule type="cellIs" dxfId="655" priority="12" operator="equal">
      <formula>$W$46</formula>
    </cfRule>
  </conditionalFormatting>
  <conditionalFormatting sqref="X43">
    <cfRule type="cellIs" dxfId="654" priority="9" operator="notEqual">
      <formula>$X$46</formula>
    </cfRule>
    <cfRule type="cellIs" dxfId="653" priority="10" operator="equal">
      <formula>$X$46</formula>
    </cfRule>
  </conditionalFormatting>
  <conditionalFormatting sqref="Y43">
    <cfRule type="cellIs" dxfId="652" priority="7" operator="notEqual">
      <formula>$Y$46</formula>
    </cfRule>
    <cfRule type="cellIs" dxfId="651" priority="8" operator="equal">
      <formula>$Y$46</formula>
    </cfRule>
  </conditionalFormatting>
  <conditionalFormatting sqref="Z43">
    <cfRule type="cellIs" dxfId="650" priority="5" operator="notEqual">
      <formula>$Z$46</formula>
    </cfRule>
    <cfRule type="cellIs" dxfId="649" priority="6" operator="equal">
      <formula>$Z$46</formula>
    </cfRule>
  </conditionalFormatting>
  <conditionalFormatting sqref="AA43">
    <cfRule type="cellIs" dxfId="648" priority="3" operator="notEqual">
      <formula>$AA$46</formula>
    </cfRule>
    <cfRule type="cellIs" dxfId="647" priority="4" operator="equal">
      <formula>$AA$46</formula>
    </cfRule>
  </conditionalFormatting>
  <conditionalFormatting sqref="AB43">
    <cfRule type="cellIs" dxfId="646" priority="1" operator="notEqual">
      <formula>$AB$46</formula>
    </cfRule>
    <cfRule type="cellIs" dxfId="645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CA60-6B85-4015-A93E-93D12021DF7F}">
  <dimension ref="A1:AV587"/>
  <sheetViews>
    <sheetView showGridLines="0" topLeftCell="AG1" workbookViewId="0">
      <selection sqref="A1:AG587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2.6640625" style="4" bestFit="1" customWidth="1"/>
    <col min="5" max="5" width="23.109375" style="4" bestFit="1" customWidth="1"/>
    <col min="6" max="6" width="12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3320312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21.6640625" style="4" bestFit="1" customWidth="1"/>
    <col min="29" max="29" width="23" style="4" bestFit="1" customWidth="1"/>
    <col min="30" max="30" width="20.77734375" style="4" bestFit="1" customWidth="1"/>
    <col min="31" max="31" width="22.6640625" style="4" bestFit="1" customWidth="1"/>
    <col min="32" max="32" width="24" style="4" bestFit="1" customWidth="1"/>
    <col min="33" max="33" width="21.88671875" style="4" bestFit="1" customWidth="1"/>
    <col min="34" max="34" width="8.88671875" style="4"/>
    <col min="35" max="35" width="9" style="4" bestFit="1" customWidth="1"/>
    <col min="36" max="36" width="13.5546875" style="4" bestFit="1" customWidth="1"/>
    <col min="37" max="37" width="14.5546875" style="4" bestFit="1" customWidth="1"/>
    <col min="38" max="38" width="8.33203125" style="4" bestFit="1" customWidth="1"/>
    <col min="39" max="39" width="8.88671875" style="4"/>
    <col min="40" max="40" width="9" style="4" bestFit="1" customWidth="1"/>
    <col min="41" max="41" width="11.33203125" style="4" bestFit="1" customWidth="1"/>
    <col min="42" max="42" width="12.33203125" style="4" bestFit="1" customWidth="1"/>
    <col min="43" max="43" width="8.33203125" style="4" bestFit="1" customWidth="1"/>
    <col min="44" max="44" width="8.88671875" style="4"/>
    <col min="45" max="45" width="9" style="4" bestFit="1" customWidth="1"/>
    <col min="46" max="47" width="9.88671875" style="4" bestFit="1" customWidth="1"/>
    <col min="48" max="48" width="8.33203125" style="4" bestFit="1" customWidth="1"/>
    <col min="49" max="16384" width="8.886718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I1" s="34" t="s">
        <v>457</v>
      </c>
      <c r="AJ1" s="34" t="s">
        <v>665</v>
      </c>
      <c r="AK1" s="34" t="s">
        <v>666</v>
      </c>
      <c r="AL1" s="34" t="s">
        <v>667</v>
      </c>
      <c r="AN1" s="34" t="s">
        <v>457</v>
      </c>
      <c r="AO1" s="34" t="s">
        <v>668</v>
      </c>
      <c r="AP1" s="34" t="s">
        <v>669</v>
      </c>
      <c r="AQ1" s="34" t="s">
        <v>667</v>
      </c>
      <c r="AS1" s="34" t="s">
        <v>457</v>
      </c>
      <c r="AT1" s="34" t="s">
        <v>670</v>
      </c>
      <c r="AU1" s="34" t="s">
        <v>671</v>
      </c>
      <c r="AV1" s="34" t="s">
        <v>667</v>
      </c>
    </row>
    <row r="2" spans="1:48" ht="11.25" customHeight="1" x14ac:dyDescent="0.3">
      <c r="A2" s="4" t="s">
        <v>21</v>
      </c>
      <c r="B2" s="4" t="s">
        <v>39</v>
      </c>
      <c r="C2" s="4" t="s">
        <v>40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35</v>
      </c>
      <c r="I2" s="5">
        <v>44440</v>
      </c>
      <c r="J2" s="6">
        <v>0</v>
      </c>
      <c r="K2" s="6">
        <v>0</v>
      </c>
      <c r="L2" s="6">
        <v>300.98500000000001</v>
      </c>
      <c r="M2" s="6">
        <v>300.98500000000001</v>
      </c>
      <c r="N2" s="6">
        <v>300.98500000000001</v>
      </c>
      <c r="O2" s="6">
        <v>300.98500000000001</v>
      </c>
      <c r="P2" s="6">
        <v>0</v>
      </c>
      <c r="Q2" s="4" t="s">
        <v>26</v>
      </c>
      <c r="R2" s="4">
        <v>0</v>
      </c>
      <c r="S2" s="6">
        <v>0</v>
      </c>
      <c r="T2" s="6">
        <v>6</v>
      </c>
      <c r="U2" s="6">
        <v>50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67.489999999999995</v>
      </c>
      <c r="X2" s="6">
        <f>IF(ISERROR(VLOOKUP($U$2,'TAR FIN'!$A$1:$O$85,15,0)),0,VLOOKUP($U$2,'TAR FIN'!$A$1:$O$85,15,0))</f>
        <v>223.07</v>
      </c>
      <c r="Y2" s="6"/>
      <c r="Z2" s="6">
        <f ca="1">('TUSD BE'!$AM$12+'TUSD BF'!$AM$12+'TUSD CVA'!$AM$12)*1</f>
        <v>91.421403244159023</v>
      </c>
      <c r="AA2" s="6">
        <f>('TE BE'!$AB$6+'TE BF'!$AB$6+'TE CVA'!$AB$6)*1</f>
        <v>77.958364182443049</v>
      </c>
      <c r="AB2" s="6">
        <f>$K$2*$V$2</f>
        <v>0</v>
      </c>
      <c r="AC2" s="6">
        <f>$M$2*$W$2</f>
        <v>20313.477650000001</v>
      </c>
      <c r="AD2" s="6">
        <f>$O$2*$X$2</f>
        <v>67140.72395</v>
      </c>
      <c r="AE2" s="6">
        <f>$K$2*$Y$2</f>
        <v>0</v>
      </c>
      <c r="AF2" s="6">
        <f ca="1">$M$2*$Z$2</f>
        <v>27516.471055443206</v>
      </c>
      <c r="AG2" s="6">
        <f>$O$2*$AA$2</f>
        <v>23464.298243452624</v>
      </c>
      <c r="AI2" s="35" t="s">
        <v>39</v>
      </c>
      <c r="AJ2" s="36">
        <f>SUMIF($B$2:$B$587,AI2,$AB$2:$AB$587)+SUMIF($B$2:$B$587,AI2,$AC$2:$AC$587)</f>
        <v>3342903.9623442562</v>
      </c>
      <c r="AK2" s="36">
        <f ca="1">SUMIF($B$2:$B$587,AI2,$AE$2:$AE$587)+SUMIF($B$2:$B$587,AI2,$AF$2:$AF$587)</f>
        <v>4616194.5035197772</v>
      </c>
      <c r="AL2" s="37">
        <f t="shared" ref="AL2:AL9" ca="1" si="0">IF(AJ2&lt;&gt;0,AK2/AJ2-1,0)</f>
        <v>0.38089354510878892</v>
      </c>
      <c r="AN2" s="35" t="s">
        <v>39</v>
      </c>
      <c r="AO2" s="36">
        <f>SUMIF($B$2:$B$587,AN2,$AD$2:$AD$587)</f>
        <v>1853042.9049101996</v>
      </c>
      <c r="AP2" s="36">
        <f>SUMIF($B$2:$B$587,AN2,$AG$2:$AG$587)</f>
        <v>653177.26718008087</v>
      </c>
      <c r="AQ2" s="37">
        <f t="shared" ref="AQ2:AQ9" si="1">IF(AO2&lt;&gt;0,AP2/AO2-1,0)</f>
        <v>-0.64751098560681486</v>
      </c>
      <c r="AS2" s="35" t="s">
        <v>39</v>
      </c>
      <c r="AT2" s="36">
        <f>SUMIF($B$2:$B$587,AS2,$AB$2:$AB$587)+SUMIF($B$2:$B$587,AS2,$AC$2:$AC$587)+SUMIF($B$2:$B$587,AS2,$AD$2:$AD$587)</f>
        <v>5195946.8672544556</v>
      </c>
      <c r="AU2" s="36">
        <f ca="1">SUMIF($B$2:$B$587,AS2,$AE$2:$AE$587)+SUMIF($B$2:$B$587,AS2,$AF$2:$AF$587)+SUMIF($B$2:$B$587,AS2,$AG$2:$AG$587)</f>
        <v>5269371.7706998577</v>
      </c>
      <c r="AV2" s="37">
        <f t="shared" ref="AV2:AV9" ca="1" si="2">IF(AT2&lt;&gt;0,AU2/AT2-1,0)</f>
        <v>1.4131188274486783E-2</v>
      </c>
    </row>
    <row r="3" spans="1:48" ht="11.25" customHeight="1" x14ac:dyDescent="0.3">
      <c r="A3" s="4" t="s">
        <v>21</v>
      </c>
      <c r="B3" s="4" t="s">
        <v>39</v>
      </c>
      <c r="C3" s="4" t="s">
        <v>40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35</v>
      </c>
      <c r="I3" s="5">
        <v>44470</v>
      </c>
      <c r="J3" s="6">
        <v>0</v>
      </c>
      <c r="K3" s="6">
        <v>0</v>
      </c>
      <c r="L3" s="6">
        <v>308.64600000000002</v>
      </c>
      <c r="M3" s="6">
        <v>308.64600000000002</v>
      </c>
      <c r="N3" s="6">
        <v>308.64600000000002</v>
      </c>
      <c r="O3" s="6">
        <v>308.64600000000002</v>
      </c>
      <c r="P3" s="6">
        <v>0</v>
      </c>
      <c r="Q3" s="4" t="s">
        <v>26</v>
      </c>
      <c r="R3" s="4">
        <v>0</v>
      </c>
      <c r="S3" s="6">
        <v>0</v>
      </c>
      <c r="T3" s="6">
        <v>6</v>
      </c>
      <c r="U3" s="6">
        <v>50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67.489999999999995</v>
      </c>
      <c r="X3" s="6">
        <f>IF(ISERROR(VLOOKUP($U$3,'TAR FIN'!$A$1:$O$85,15,0)),0,VLOOKUP($U$3,'TAR FIN'!$A$1:$O$85,15,0))</f>
        <v>223.07</v>
      </c>
      <c r="Y3" s="6"/>
      <c r="Z3" s="6">
        <f ca="1">('TUSD BE'!$AM$12+'TUSD BF'!$AM$12+'TUSD CVA'!$AM$12)*1</f>
        <v>91.421403244159023</v>
      </c>
      <c r="AA3" s="6">
        <f>('TE BE'!$AB$6+'TE BF'!$AB$6+'TE CVA'!$AB$6)*1</f>
        <v>77.958364182443049</v>
      </c>
      <c r="AB3" s="6">
        <f>$K$3*$V$3</f>
        <v>0</v>
      </c>
      <c r="AC3" s="6">
        <f>$M$3*$W$3</f>
        <v>20830.518540000001</v>
      </c>
      <c r="AD3" s="6">
        <f>$O$3*$X$3</f>
        <v>68849.663220000002</v>
      </c>
      <c r="AE3" s="6">
        <f>$K$3*$Y$3</f>
        <v>0</v>
      </c>
      <c r="AF3" s="6">
        <f ca="1">$M$3*$Z$3</f>
        <v>28216.850425696706</v>
      </c>
      <c r="AG3" s="6">
        <f>$O$3*$AA$3</f>
        <v>24061.537271454319</v>
      </c>
      <c r="AI3" s="35" t="s">
        <v>22</v>
      </c>
      <c r="AJ3" s="36">
        <f>SUMIF($B$2:$B$587,AI3,$AB$2:$AB$587)+SUMIF($B$2:$B$587,AI3,$AC$2:$AC$587)</f>
        <v>14526432.061179996</v>
      </c>
      <c r="AK3" s="36">
        <f ca="1">SUMIF($B$2:$B$587,AI3,$AE$2:$AE$587)+SUMIF($B$2:$B$587,AI3,$AF$2:$AF$587)</f>
        <v>20438383.290997848</v>
      </c>
      <c r="AL3" s="37">
        <f t="shared" ca="1" si="0"/>
        <v>0.40697889233356732</v>
      </c>
      <c r="AN3" s="35" t="s">
        <v>22</v>
      </c>
      <c r="AO3" s="36">
        <f>SUMIF($B$2:$B$587,AN3,$AD$2:$AD$587)</f>
        <v>6726077.3744799979</v>
      </c>
      <c r="AP3" s="36">
        <f>SUMIF($B$2:$B$587,AN3,$AG$2:$AG$587)</f>
        <v>2350625.7734827362</v>
      </c>
      <c r="AQ3" s="37">
        <f t="shared" si="1"/>
        <v>-0.65052055713758916</v>
      </c>
      <c r="AS3" s="35" t="s">
        <v>22</v>
      </c>
      <c r="AT3" s="36">
        <f>SUMIF($B$2:$B$587,AS3,$AB$2:$AB$587)+SUMIF($B$2:$B$587,AS3,$AC$2:$AC$587)+SUMIF($B$2:$B$587,AS3,$AD$2:$AD$587)</f>
        <v>21252509.435659993</v>
      </c>
      <c r="AU3" s="36">
        <f ca="1">SUMIF($B$2:$B$587,AS3,$AE$2:$AE$587)+SUMIF($B$2:$B$587,AS3,$AF$2:$AF$587)+SUMIF($B$2:$B$587,AS3,$AG$2:$AG$587)</f>
        <v>22789009.064480584</v>
      </c>
      <c r="AV3" s="37">
        <f t="shared" ca="1" si="2"/>
        <v>7.2297327215508522E-2</v>
      </c>
    </row>
    <row r="4" spans="1:48" ht="11.25" customHeight="1" x14ac:dyDescent="0.3">
      <c r="A4" s="4" t="s">
        <v>21</v>
      </c>
      <c r="B4" s="4" t="s">
        <v>39</v>
      </c>
      <c r="C4" s="4" t="s">
        <v>40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35</v>
      </c>
      <c r="I4" s="5">
        <v>44501</v>
      </c>
      <c r="J4" s="6">
        <v>0</v>
      </c>
      <c r="K4" s="6">
        <v>0</v>
      </c>
      <c r="L4" s="6">
        <v>313.72199999999998</v>
      </c>
      <c r="M4" s="6">
        <v>313.72199999999998</v>
      </c>
      <c r="N4" s="6">
        <v>313.72199999999998</v>
      </c>
      <c r="O4" s="6">
        <v>313.72199999999998</v>
      </c>
      <c r="P4" s="6">
        <v>0</v>
      </c>
      <c r="Q4" s="4" t="s">
        <v>26</v>
      </c>
      <c r="R4" s="4">
        <v>0</v>
      </c>
      <c r="S4" s="6">
        <v>0</v>
      </c>
      <c r="T4" s="6">
        <v>6</v>
      </c>
      <c r="U4" s="6">
        <v>50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67.489999999999995</v>
      </c>
      <c r="X4" s="6">
        <f>IF(ISERROR(VLOOKUP($U$4,'TAR FIN'!$A$1:$O$85,15,0)),0,VLOOKUP($U$4,'TAR FIN'!$A$1:$O$85,15,0))</f>
        <v>223.07</v>
      </c>
      <c r="Y4" s="6"/>
      <c r="Z4" s="6">
        <f ca="1">('TUSD BE'!$AM$12+'TUSD BF'!$AM$12+'TUSD CVA'!$AM$12)*1</f>
        <v>91.421403244159023</v>
      </c>
      <c r="AA4" s="6">
        <f>('TE BE'!$AB$6+'TE BF'!$AB$6+'TE CVA'!$AB$6)*1</f>
        <v>77.958364182443049</v>
      </c>
      <c r="AB4" s="6">
        <f>$K$4*$V$4</f>
        <v>0</v>
      </c>
      <c r="AC4" s="6">
        <f>$M$4*$W$4</f>
        <v>21173.097779999996</v>
      </c>
      <c r="AD4" s="6">
        <f>$O$4*$X$4</f>
        <v>69981.966539999994</v>
      </c>
      <c r="AE4" s="6">
        <f>$K$4*$Y$4</f>
        <v>0</v>
      </c>
      <c r="AF4" s="6">
        <f ca="1">$M$4*$Z$4</f>
        <v>28680.905468564055</v>
      </c>
      <c r="AG4" s="6">
        <f>$O$4*$AA$4</f>
        <v>24457.253928044396</v>
      </c>
      <c r="AI4" s="35" t="s">
        <v>42</v>
      </c>
      <c r="AJ4" s="36">
        <f>SUMIF($B$2:$B$587,AI4,$AB$2:$AB$587)+SUMIF($B$2:$B$587,AI4,$AC$2:$AC$587)</f>
        <v>218131.98394000006</v>
      </c>
      <c r="AK4" s="36">
        <f ca="1">SUMIF($B$2:$B$587,AI4,$AE$2:$AE$587)+SUMIF($B$2:$B$587,AI4,$AF$2:$AF$587)</f>
        <v>324426.57402097876</v>
      </c>
      <c r="AL4" s="37">
        <f t="shared" ca="1" si="0"/>
        <v>0.48729483939510843</v>
      </c>
      <c r="AN4" s="35" t="s">
        <v>42</v>
      </c>
      <c r="AO4" s="36">
        <f>SUMIF($B$2:$B$587,AN4,$AD$2:$AD$587)</f>
        <v>100815.36139999999</v>
      </c>
      <c r="AP4" s="36">
        <f>SUMIF($B$2:$B$587,AN4,$AG$2:$AG$587)</f>
        <v>37235.061706884379</v>
      </c>
      <c r="AQ4" s="37">
        <f t="shared" si="1"/>
        <v>-0.63066083194257749</v>
      </c>
      <c r="AS4" s="35" t="s">
        <v>42</v>
      </c>
      <c r="AT4" s="36">
        <f>SUMIF($B$2:$B$587,AS4,$AB$2:$AB$587)+SUMIF($B$2:$B$587,AS4,$AC$2:$AC$587)+SUMIF($B$2:$B$587,AS4,$AD$2:$AD$587)</f>
        <v>318947.34534000006</v>
      </c>
      <c r="AU4" s="36">
        <f ca="1">SUMIF($B$2:$B$587,AS4,$AE$2:$AE$587)+SUMIF($B$2:$B$587,AS4,$AF$2:$AF$587)+SUMIF($B$2:$B$587,AS4,$AG$2:$AG$587)</f>
        <v>361661.63572786312</v>
      </c>
      <c r="AV4" s="37">
        <f t="shared" ca="1" si="2"/>
        <v>0.13392270232670955</v>
      </c>
    </row>
    <row r="5" spans="1:48" ht="11.25" customHeight="1" x14ac:dyDescent="0.3">
      <c r="A5" s="4" t="s">
        <v>21</v>
      </c>
      <c r="B5" s="4" t="s">
        <v>39</v>
      </c>
      <c r="C5" s="4" t="s">
        <v>40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35</v>
      </c>
      <c r="I5" s="5">
        <v>44531</v>
      </c>
      <c r="J5" s="6">
        <v>0</v>
      </c>
      <c r="K5" s="6">
        <v>0</v>
      </c>
      <c r="L5" s="6">
        <v>351.51</v>
      </c>
      <c r="M5" s="6">
        <v>351.51</v>
      </c>
      <c r="N5" s="6">
        <v>351.51</v>
      </c>
      <c r="O5" s="6">
        <v>351.51</v>
      </c>
      <c r="P5" s="6">
        <v>0</v>
      </c>
      <c r="Q5" s="4" t="s">
        <v>26</v>
      </c>
      <c r="R5" s="4">
        <v>0</v>
      </c>
      <c r="S5" s="6">
        <v>0</v>
      </c>
      <c r="T5" s="6">
        <v>6</v>
      </c>
      <c r="U5" s="6">
        <v>50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67.489999999999995</v>
      </c>
      <c r="X5" s="6">
        <f>IF(ISERROR(VLOOKUP($U$5,'TAR FIN'!$A$1:$O$85,15,0)),0,VLOOKUP($U$5,'TAR FIN'!$A$1:$O$85,15,0))</f>
        <v>223.07</v>
      </c>
      <c r="Y5" s="6"/>
      <c r="Z5" s="6">
        <f ca="1">('TUSD BE'!$AM$12+'TUSD BF'!$AM$12+'TUSD CVA'!$AM$12)*1</f>
        <v>91.421403244159023</v>
      </c>
      <c r="AA5" s="6">
        <f>('TE BE'!$AB$6+'TE BF'!$AB$6+'TE CVA'!$AB$6)*1</f>
        <v>77.958364182443049</v>
      </c>
      <c r="AB5" s="6">
        <f>$K$5*$V$5</f>
        <v>0</v>
      </c>
      <c r="AC5" s="6">
        <f>$M$5*$W$5</f>
        <v>23723.409899999999</v>
      </c>
      <c r="AD5" s="6">
        <f>$O$5*$X$5</f>
        <v>78411.335699999996</v>
      </c>
      <c r="AE5" s="6">
        <f>$K$5*$Y$5</f>
        <v>0</v>
      </c>
      <c r="AF5" s="6">
        <f ca="1">$M$5*$Z$5</f>
        <v>32135.537454354337</v>
      </c>
      <c r="AG5" s="6">
        <f>$O$5*$AA$5</f>
        <v>27403.144593770554</v>
      </c>
      <c r="AI5" s="35" t="s">
        <v>37</v>
      </c>
      <c r="AJ5" s="36">
        <f>SUMIF($B$2:$B$587,AI5,$AB$2:$AB$587)+SUMIF($B$2:$B$587,AI5,$AC$2:$AC$587)</f>
        <v>6748743.9183439985</v>
      </c>
      <c r="AK5" s="36">
        <f ca="1">SUMIF($B$2:$B$587,AI5,$AE$2:$AE$587)+SUMIF($B$2:$B$587,AI5,$AF$2:$AF$587)</f>
        <v>9502869.2476869859</v>
      </c>
      <c r="AL5" s="37">
        <f t="shared" ca="1" si="0"/>
        <v>0.40809450805458813</v>
      </c>
      <c r="AN5" s="35" t="s">
        <v>37</v>
      </c>
      <c r="AO5" s="36">
        <f>SUMIF($B$2:$B$587,AN5,$AD$2:$AD$587)</f>
        <v>3127438.8926931983</v>
      </c>
      <c r="AP5" s="36">
        <f>SUMIF($B$2:$B$587,AN5,$AG$2:$AG$587)</f>
        <v>1093668.9555277913</v>
      </c>
      <c r="AQ5" s="37">
        <f t="shared" si="1"/>
        <v>-0.65029885697111833</v>
      </c>
      <c r="AS5" s="35" t="s">
        <v>37</v>
      </c>
      <c r="AT5" s="36">
        <f>SUMIF($B$2:$B$587,AS5,$AB$2:$AB$587)+SUMIF($B$2:$B$587,AS5,$AC$2:$AC$587)+SUMIF($B$2:$B$587,AS5,$AD$2:$AD$587)</f>
        <v>9876182.8110371977</v>
      </c>
      <c r="AU5" s="36">
        <f ca="1">SUMIF($B$2:$B$587,AS5,$AE$2:$AE$587)+SUMIF($B$2:$B$587,AS5,$AF$2:$AF$587)+SUMIF($B$2:$B$587,AS5,$AG$2:$AG$587)</f>
        <v>10596538.203214778</v>
      </c>
      <c r="AV5" s="37">
        <f t="shared" ca="1" si="2"/>
        <v>7.2938645017034398E-2</v>
      </c>
    </row>
    <row r="6" spans="1:48" ht="11.25" customHeight="1" x14ac:dyDescent="0.3">
      <c r="A6" s="4" t="s">
        <v>21</v>
      </c>
      <c r="B6" s="4" t="s">
        <v>39</v>
      </c>
      <c r="C6" s="4" t="s">
        <v>40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35</v>
      </c>
      <c r="I6" s="5">
        <v>44562</v>
      </c>
      <c r="J6" s="6">
        <v>0</v>
      </c>
      <c r="K6" s="6">
        <v>0</v>
      </c>
      <c r="L6" s="6">
        <v>395.76299999999998</v>
      </c>
      <c r="M6" s="6">
        <v>395.76299999999998</v>
      </c>
      <c r="N6" s="6">
        <v>395.76299999999998</v>
      </c>
      <c r="O6" s="6">
        <v>395.76299999999998</v>
      </c>
      <c r="P6" s="6">
        <v>0</v>
      </c>
      <c r="Q6" s="4" t="s">
        <v>26</v>
      </c>
      <c r="R6" s="4">
        <v>0</v>
      </c>
      <c r="S6" s="6">
        <v>0</v>
      </c>
      <c r="T6" s="6">
        <v>6</v>
      </c>
      <c r="U6" s="6">
        <v>50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67.489999999999995</v>
      </c>
      <c r="X6" s="6">
        <f>IF(ISERROR(VLOOKUP($U$6,'TAR FIN'!$A$1:$O$85,15,0)),0,VLOOKUP($U$6,'TAR FIN'!$A$1:$O$85,15,0))</f>
        <v>223.07</v>
      </c>
      <c r="Y6" s="6"/>
      <c r="Z6" s="6">
        <f ca="1">('TUSD BE'!$AM$12+'TUSD BF'!$AM$12+'TUSD CVA'!$AM$12)*1</f>
        <v>91.421403244159023</v>
      </c>
      <c r="AA6" s="6">
        <f>('TE BE'!$AB$6+'TE BF'!$AB$6+'TE CVA'!$AB$6)*1</f>
        <v>77.958364182443049</v>
      </c>
      <c r="AB6" s="6">
        <f>$K$6*$V$6</f>
        <v>0</v>
      </c>
      <c r="AC6" s="6">
        <f>$M$6*$W$6</f>
        <v>26710.044869999998</v>
      </c>
      <c r="AD6" s="6">
        <f>$O$6*$X$6</f>
        <v>88282.852409999992</v>
      </c>
      <c r="AE6" s="6">
        <f>$K$6*$Y$6</f>
        <v>0</v>
      </c>
      <c r="AF6" s="6">
        <f ca="1">$M$6*$Z$6</f>
        <v>36181.208812118108</v>
      </c>
      <c r="AG6" s="6">
        <f>$O$6*$AA$6</f>
        <v>30853.036083936207</v>
      </c>
      <c r="AI6" s="35" t="s">
        <v>45</v>
      </c>
      <c r="AJ6" s="36">
        <f>SUMIF($B$2:$B$587,AI6,$AB$2:$AB$587)+SUMIF($B$2:$B$587,AI6,$AC$2:$AC$587)</f>
        <v>1102564.9842900001</v>
      </c>
      <c r="AK6" s="36">
        <f ca="1">SUMIF($B$2:$B$587,AI6,$AE$2:$AE$587)+SUMIF($B$2:$B$587,AI6,$AF$2:$AF$587)</f>
        <v>1551668.5061676309</v>
      </c>
      <c r="AL6" s="37">
        <f t="shared" ca="1" si="0"/>
        <v>0.40732612433436954</v>
      </c>
      <c r="AN6" s="35" t="s">
        <v>45</v>
      </c>
      <c r="AO6" s="36">
        <f>SUMIF($B$2:$B$587,AN6,$AD$2:$AD$587)</f>
        <v>509573.18104</v>
      </c>
      <c r="AP6" s="36">
        <f>SUMIF($B$2:$B$587,AN6,$AG$2:$AG$587)</f>
        <v>178087.97799666304</v>
      </c>
      <c r="AQ6" s="37">
        <f t="shared" si="1"/>
        <v>-0.65051540264894037</v>
      </c>
      <c r="AS6" s="35" t="s">
        <v>45</v>
      </c>
      <c r="AT6" s="36">
        <f>SUMIF($B$2:$B$587,AS6,$AB$2:$AB$587)+SUMIF($B$2:$B$587,AS6,$AC$2:$AC$587)+SUMIF($B$2:$B$587,AS6,$AD$2:$AD$587)</f>
        <v>1612138.16533</v>
      </c>
      <c r="AU6" s="36">
        <f ca="1">SUMIF($B$2:$B$587,AS6,$AE$2:$AE$587)+SUMIF($B$2:$B$587,AS6,$AF$2:$AF$587)+SUMIF($B$2:$B$587,AS6,$AG$2:$AG$587)</f>
        <v>1729756.4841642939</v>
      </c>
      <c r="AV6" s="37">
        <f t="shared" ca="1" si="2"/>
        <v>7.2957964375353512E-2</v>
      </c>
    </row>
    <row r="7" spans="1:48" ht="11.25" customHeight="1" x14ac:dyDescent="0.3">
      <c r="A7" s="4" t="s">
        <v>21</v>
      </c>
      <c r="B7" s="4" t="s">
        <v>39</v>
      </c>
      <c r="C7" s="4" t="s">
        <v>40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35</v>
      </c>
      <c r="I7" s="5">
        <v>44593</v>
      </c>
      <c r="J7" s="6">
        <v>0</v>
      </c>
      <c r="K7" s="6">
        <v>0</v>
      </c>
      <c r="L7" s="6">
        <v>350.68099999999998</v>
      </c>
      <c r="M7" s="6">
        <v>350.68099999999998</v>
      </c>
      <c r="N7" s="6">
        <v>350.68099999999998</v>
      </c>
      <c r="O7" s="6">
        <v>350.68099999999998</v>
      </c>
      <c r="P7" s="6">
        <v>0</v>
      </c>
      <c r="Q7" s="4" t="s">
        <v>26</v>
      </c>
      <c r="R7" s="4">
        <v>0</v>
      </c>
      <c r="S7" s="6">
        <v>0</v>
      </c>
      <c r="T7" s="6">
        <v>6</v>
      </c>
      <c r="U7" s="6">
        <v>50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67.489999999999995</v>
      </c>
      <c r="X7" s="6">
        <f>IF(ISERROR(VLOOKUP($U$7,'TAR FIN'!$A$1:$O$85,15,0)),0,VLOOKUP($U$7,'TAR FIN'!$A$1:$O$85,15,0))</f>
        <v>223.07</v>
      </c>
      <c r="Y7" s="6"/>
      <c r="Z7" s="6">
        <f ca="1">('TUSD BE'!$AM$12+'TUSD BF'!$AM$12+'TUSD CVA'!$AM$12)*1</f>
        <v>91.421403244159023</v>
      </c>
      <c r="AA7" s="6">
        <f>('TE BE'!$AB$6+'TE BF'!$AB$6+'TE CVA'!$AB$6)*1</f>
        <v>77.958364182443049</v>
      </c>
      <c r="AB7" s="6">
        <f>$K$7*$V$7</f>
        <v>0</v>
      </c>
      <c r="AC7" s="6">
        <f>$M$7*$W$7</f>
        <v>23667.460689999996</v>
      </c>
      <c r="AD7" s="6">
        <f>$O$7*$X$7</f>
        <v>78226.410669999997</v>
      </c>
      <c r="AE7" s="6">
        <f>$K$7*$Y$7</f>
        <v>0</v>
      </c>
      <c r="AF7" s="6">
        <f ca="1">$M$7*$Z$7</f>
        <v>32059.749111064928</v>
      </c>
      <c r="AG7" s="6">
        <f>$O$7*$AA$7</f>
        <v>27338.517109863311</v>
      </c>
      <c r="AI7" s="35" t="s">
        <v>672</v>
      </c>
      <c r="AJ7" s="36">
        <f>+$AJ$2</f>
        <v>3342903.9623442562</v>
      </c>
      <c r="AK7" s="36">
        <f ca="1">+$AK$2</f>
        <v>4616194.5035197772</v>
      </c>
      <c r="AL7" s="37">
        <f t="shared" ca="1" si="0"/>
        <v>0.38089354510878892</v>
      </c>
      <c r="AN7" s="35" t="s">
        <v>672</v>
      </c>
      <c r="AO7" s="36">
        <f>+$AO$2</f>
        <v>1853042.9049101996</v>
      </c>
      <c r="AP7" s="36">
        <f>+$AP$2</f>
        <v>653177.26718008087</v>
      </c>
      <c r="AQ7" s="37">
        <f t="shared" si="1"/>
        <v>-0.64751098560681486</v>
      </c>
      <c r="AS7" s="35" t="s">
        <v>672</v>
      </c>
      <c r="AT7" s="36">
        <f>+$AT$2</f>
        <v>5195946.8672544556</v>
      </c>
      <c r="AU7" s="36">
        <f ca="1">+$AU$2</f>
        <v>5269371.7706998577</v>
      </c>
      <c r="AV7" s="37">
        <f t="shared" ca="1" si="2"/>
        <v>1.4131188274486783E-2</v>
      </c>
    </row>
    <row r="8" spans="1:48" ht="11.25" customHeight="1" x14ac:dyDescent="0.3">
      <c r="A8" s="4" t="s">
        <v>21</v>
      </c>
      <c r="B8" s="4" t="s">
        <v>39</v>
      </c>
      <c r="C8" s="4" t="s">
        <v>40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35</v>
      </c>
      <c r="I8" s="5">
        <v>44621</v>
      </c>
      <c r="J8" s="6">
        <v>0</v>
      </c>
      <c r="K8" s="6">
        <v>0</v>
      </c>
      <c r="L8" s="6">
        <v>334.87700000000001</v>
      </c>
      <c r="M8" s="6">
        <v>334.87700000000001</v>
      </c>
      <c r="N8" s="6">
        <v>334.87700000000001</v>
      </c>
      <c r="O8" s="6">
        <v>334.87700000000001</v>
      </c>
      <c r="P8" s="6">
        <v>0</v>
      </c>
      <c r="Q8" s="4" t="s">
        <v>26</v>
      </c>
      <c r="R8" s="4">
        <v>0</v>
      </c>
      <c r="S8" s="6">
        <v>0</v>
      </c>
      <c r="T8" s="6">
        <v>6</v>
      </c>
      <c r="U8" s="6">
        <v>50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67.489999999999995</v>
      </c>
      <c r="X8" s="6">
        <f>IF(ISERROR(VLOOKUP($U$8,'TAR FIN'!$A$1:$O$85,15,0)),0,VLOOKUP($U$8,'TAR FIN'!$A$1:$O$85,15,0))</f>
        <v>223.07</v>
      </c>
      <c r="Y8" s="6"/>
      <c r="Z8" s="6">
        <f ca="1">('TUSD BE'!$AM$12+'TUSD BF'!$AM$12+'TUSD CVA'!$AM$12)*1</f>
        <v>91.421403244159023</v>
      </c>
      <c r="AA8" s="6">
        <f>('TE BE'!$AB$6+'TE BF'!$AB$6+'TE CVA'!$AB$6)*1</f>
        <v>77.958364182443049</v>
      </c>
      <c r="AB8" s="6">
        <f>$K$8*$V$8</f>
        <v>0</v>
      </c>
      <c r="AC8" s="6">
        <f>$M$8*$W$8</f>
        <v>22600.848729999998</v>
      </c>
      <c r="AD8" s="6">
        <f>$O$8*$X$8</f>
        <v>74701.012390000004</v>
      </c>
      <c r="AE8" s="6">
        <f>$K$8*$Y$8</f>
        <v>0</v>
      </c>
      <c r="AF8" s="6">
        <f ca="1">$M$8*$Z$8</f>
        <v>30614.925254194241</v>
      </c>
      <c r="AG8" s="6">
        <f>$O$8*$AA$8</f>
        <v>26106.463122323981</v>
      </c>
      <c r="AI8" s="35" t="s">
        <v>477</v>
      </c>
      <c r="AJ8" s="36">
        <f>+$AJ$3+$AJ$4+$AJ$5+$AJ$6</f>
        <v>22595872.947753992</v>
      </c>
      <c r="AK8" s="36">
        <f ca="1">+$AK$3+$AK$4+$AK$5+$AK$6</f>
        <v>31817347.618873443</v>
      </c>
      <c r="AL8" s="37">
        <f t="shared" ca="1" si="0"/>
        <v>0.40810437784108955</v>
      </c>
      <c r="AN8" s="35" t="s">
        <v>477</v>
      </c>
      <c r="AO8" s="36">
        <f>+$AO$3+$AO$4+$AO$5+$AO$6</f>
        <v>10463904.809613196</v>
      </c>
      <c r="AP8" s="36">
        <f>+$AP$3+$AP$4+$AP$5+$AP$6</f>
        <v>3659617.768714075</v>
      </c>
      <c r="AQ8" s="37">
        <f t="shared" si="1"/>
        <v>-0.65026270447797063</v>
      </c>
      <c r="AS8" s="35" t="s">
        <v>477</v>
      </c>
      <c r="AT8" s="36">
        <f>+$AT$3+$AT$4+$AT$5+$AT$6</f>
        <v>33059777.75736719</v>
      </c>
      <c r="AU8" s="36">
        <f ca="1">+$AU$3+$AU$4+$AU$5+$AU$6</f>
        <v>35476965.387587517</v>
      </c>
      <c r="AV8" s="37">
        <f t="shared" ca="1" si="2"/>
        <v>7.3115664840840422E-2</v>
      </c>
    </row>
    <row r="9" spans="1:48" ht="11.25" customHeight="1" x14ac:dyDescent="0.3">
      <c r="A9" s="4" t="s">
        <v>28</v>
      </c>
      <c r="B9" s="4" t="s">
        <v>39</v>
      </c>
      <c r="C9" s="4" t="s">
        <v>40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35</v>
      </c>
      <c r="I9" s="5">
        <v>44621</v>
      </c>
      <c r="J9" s="6">
        <v>0</v>
      </c>
      <c r="K9" s="6">
        <v>0</v>
      </c>
      <c r="L9" s="6">
        <v>13.708</v>
      </c>
      <c r="M9" s="6">
        <v>13.708</v>
      </c>
      <c r="N9" s="6">
        <v>13.708</v>
      </c>
      <c r="O9" s="6">
        <v>13.708</v>
      </c>
      <c r="P9" s="6">
        <v>0</v>
      </c>
      <c r="Q9" s="4" t="s">
        <v>26</v>
      </c>
      <c r="R9" s="4">
        <v>0</v>
      </c>
      <c r="S9" s="6">
        <v>0</v>
      </c>
      <c r="T9" s="6">
        <v>6</v>
      </c>
      <c r="U9" s="6">
        <v>50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67.489999999999995</v>
      </c>
      <c r="X9" s="6">
        <f>IF(ISERROR(VLOOKUP($U$9,'TAR FIN'!$A$1:$O$85,15,0)),0,VLOOKUP($U$9,'TAR FIN'!$A$1:$O$85,15,0))</f>
        <v>223.07</v>
      </c>
      <c r="Y9" s="6"/>
      <c r="Z9" s="6">
        <f ca="1">('TUSD BE'!$AM$12+'TUSD BF'!$AM$12+'TUSD CVA'!$AM$12)*1</f>
        <v>91.421403244159023</v>
      </c>
      <c r="AA9" s="6">
        <f>('TE BE'!$AB$6+'TE BF'!$AB$6+'TE CVA'!$AB$6)*1</f>
        <v>77.958364182443049</v>
      </c>
      <c r="AB9" s="6">
        <f>$K$9*$V$9</f>
        <v>0</v>
      </c>
      <c r="AC9" s="6">
        <f>$M$9*$W$9</f>
        <v>925.15291999999999</v>
      </c>
      <c r="AD9" s="6">
        <f>$O$9*$X$9</f>
        <v>3057.8435599999998</v>
      </c>
      <c r="AE9" s="6">
        <f>$K$9*$Y$9</f>
        <v>0</v>
      </c>
      <c r="AF9" s="6">
        <f ca="1">$M$9*$Z$9</f>
        <v>1253.2045956709319</v>
      </c>
      <c r="AG9" s="6">
        <f>$O$9*$AA$9</f>
        <v>1068.6532562129294</v>
      </c>
      <c r="AI9" s="35" t="s">
        <v>673</v>
      </c>
      <c r="AJ9" s="36">
        <f>AJ8+AJ7</f>
        <v>25938776.910098247</v>
      </c>
      <c r="AK9" s="36">
        <f ca="1">AK8+AK7</f>
        <v>36433542.122393221</v>
      </c>
      <c r="AL9" s="37">
        <f t="shared" ca="1" si="0"/>
        <v>0.40459753552254996</v>
      </c>
      <c r="AN9" s="35" t="s">
        <v>673</v>
      </c>
      <c r="AO9" s="36">
        <f>AO8+AO7</f>
        <v>12316947.714523396</v>
      </c>
      <c r="AP9" s="36">
        <f>AP8+AP7</f>
        <v>4312795.0358941555</v>
      </c>
      <c r="AQ9" s="37">
        <f t="shared" si="1"/>
        <v>-0.64984871772989905</v>
      </c>
      <c r="AS9" s="35" t="s">
        <v>673</v>
      </c>
      <c r="AT9" s="36">
        <f>AT8+AT7</f>
        <v>38255724.624621645</v>
      </c>
      <c r="AU9" s="36">
        <f ca="1">AU8+AU7</f>
        <v>40746337.158287376</v>
      </c>
      <c r="AV9" s="37">
        <f t="shared" ca="1" si="2"/>
        <v>6.5104309436155861E-2</v>
      </c>
    </row>
    <row r="10" spans="1:48" ht="11.25" customHeight="1" x14ac:dyDescent="0.3">
      <c r="A10" s="4" t="s">
        <v>21</v>
      </c>
      <c r="B10" s="4" t="s">
        <v>39</v>
      </c>
      <c r="C10" s="4" t="s">
        <v>40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35</v>
      </c>
      <c r="I10" s="5">
        <v>44652</v>
      </c>
      <c r="J10" s="6">
        <v>0</v>
      </c>
      <c r="K10" s="6">
        <v>0</v>
      </c>
      <c r="L10" s="6">
        <v>302.95</v>
      </c>
      <c r="M10" s="6">
        <v>302.95</v>
      </c>
      <c r="N10" s="6">
        <v>302.95</v>
      </c>
      <c r="O10" s="6">
        <v>302.95</v>
      </c>
      <c r="P10" s="6">
        <v>0</v>
      </c>
      <c r="Q10" s="4" t="s">
        <v>26</v>
      </c>
      <c r="R10" s="4">
        <v>0</v>
      </c>
      <c r="S10" s="6">
        <v>0</v>
      </c>
      <c r="T10" s="6">
        <v>6</v>
      </c>
      <c r="U10" s="6">
        <v>50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67.489999999999995</v>
      </c>
      <c r="X10" s="6">
        <f>IF(ISERROR(VLOOKUP($U$10,'TAR FIN'!$A$1:$O$85,15,0)),0,VLOOKUP($U$10,'TAR FIN'!$A$1:$O$85,15,0))</f>
        <v>223.07</v>
      </c>
      <c r="Y10" s="6"/>
      <c r="Z10" s="6">
        <f ca="1">('TUSD BE'!$AM$12+'TUSD BF'!$AM$12+'TUSD CVA'!$AM$12)*1</f>
        <v>91.421403244159023</v>
      </c>
      <c r="AA10" s="6">
        <f>('TE BE'!$AB$6+'TE BF'!$AB$6+'TE CVA'!$AB$6)*1</f>
        <v>77.958364182443049</v>
      </c>
      <c r="AB10" s="6">
        <f>$K$10*$V$10</f>
        <v>0</v>
      </c>
      <c r="AC10" s="6">
        <f>$M$10*$W$10</f>
        <v>20446.095499999999</v>
      </c>
      <c r="AD10" s="6">
        <f>$O$10*$X$10</f>
        <v>67579.056499999992</v>
      </c>
      <c r="AE10" s="6">
        <f>$K$10*$Y$10</f>
        <v>0</v>
      </c>
      <c r="AF10" s="6">
        <f ca="1">$M$10*$Z$10</f>
        <v>27696.114112817973</v>
      </c>
      <c r="AG10" s="6">
        <f>$O$10*$AA$10</f>
        <v>23617.486429071119</v>
      </c>
    </row>
    <row r="11" spans="1:48" ht="11.25" customHeight="1" x14ac:dyDescent="0.3">
      <c r="A11" s="4" t="s">
        <v>28</v>
      </c>
      <c r="B11" s="4" t="s">
        <v>39</v>
      </c>
      <c r="C11" s="4" t="s">
        <v>40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35</v>
      </c>
      <c r="I11" s="5">
        <v>44652</v>
      </c>
      <c r="J11" s="6">
        <v>0</v>
      </c>
      <c r="K11" s="6">
        <v>0</v>
      </c>
      <c r="L11" s="6">
        <v>9.8810000000000002</v>
      </c>
      <c r="M11" s="6">
        <v>9.8810000000000002</v>
      </c>
      <c r="N11" s="6">
        <v>9.8810000000000002</v>
      </c>
      <c r="O11" s="6">
        <v>9.8810000000000002</v>
      </c>
      <c r="P11" s="6">
        <v>0</v>
      </c>
      <c r="Q11" s="4" t="s">
        <v>26</v>
      </c>
      <c r="R11" s="4">
        <v>0</v>
      </c>
      <c r="S11" s="6">
        <v>0</v>
      </c>
      <c r="T11" s="6">
        <v>6</v>
      </c>
      <c r="U11" s="6">
        <v>50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67.489999999999995</v>
      </c>
      <c r="X11" s="6">
        <f>IF(ISERROR(VLOOKUP($U$11,'TAR FIN'!$A$1:$O$85,15,0)),0,VLOOKUP($U$11,'TAR FIN'!$A$1:$O$85,15,0))</f>
        <v>223.07</v>
      </c>
      <c r="Y11" s="6"/>
      <c r="Z11" s="6">
        <f ca="1">('TUSD BE'!$AM$12+'TUSD BF'!$AM$12+'TUSD CVA'!$AM$12)*1</f>
        <v>91.421403244159023</v>
      </c>
      <c r="AA11" s="6">
        <f>('TE BE'!$AB$6+'TE BF'!$AB$6+'TE CVA'!$AB$6)*1</f>
        <v>77.958364182443049</v>
      </c>
      <c r="AB11" s="6">
        <f>$K$11*$V$11</f>
        <v>0</v>
      </c>
      <c r="AC11" s="6">
        <f>$M$11*$W$11</f>
        <v>666.86869000000002</v>
      </c>
      <c r="AD11" s="6">
        <f>$O$11*$X$11</f>
        <v>2204.1546699999999</v>
      </c>
      <c r="AE11" s="6">
        <f>$K$11*$Y$11</f>
        <v>0</v>
      </c>
      <c r="AF11" s="6">
        <f ca="1">$M$11*$Z$11</f>
        <v>903.3348854555353</v>
      </c>
      <c r="AG11" s="6">
        <f>$O$11*$AA$11</f>
        <v>770.30659648671974</v>
      </c>
    </row>
    <row r="12" spans="1:48" ht="11.25" customHeight="1" x14ac:dyDescent="0.3">
      <c r="A12" s="4" t="s">
        <v>21</v>
      </c>
      <c r="B12" s="4" t="s">
        <v>39</v>
      </c>
      <c r="C12" s="4" t="s">
        <v>40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35</v>
      </c>
      <c r="I12" s="5">
        <v>44682</v>
      </c>
      <c r="J12" s="6">
        <v>0</v>
      </c>
      <c r="K12" s="6">
        <v>0</v>
      </c>
      <c r="L12" s="6">
        <v>307.20800000000003</v>
      </c>
      <c r="M12" s="6">
        <v>307.20800000000003</v>
      </c>
      <c r="N12" s="6">
        <v>307.20800000000003</v>
      </c>
      <c r="O12" s="6">
        <v>307.20800000000003</v>
      </c>
      <c r="P12" s="6">
        <v>0</v>
      </c>
      <c r="Q12" s="4" t="s">
        <v>26</v>
      </c>
      <c r="R12" s="4">
        <v>0</v>
      </c>
      <c r="S12" s="6">
        <v>0</v>
      </c>
      <c r="T12" s="6">
        <v>6</v>
      </c>
      <c r="U12" s="6">
        <v>50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67.489999999999995</v>
      </c>
      <c r="X12" s="6">
        <f>IF(ISERROR(VLOOKUP($U$12,'TAR FIN'!$A$1:$O$85,15,0)),0,VLOOKUP($U$12,'TAR FIN'!$A$1:$O$85,15,0))</f>
        <v>223.07</v>
      </c>
      <c r="Y12" s="6"/>
      <c r="Z12" s="6">
        <f ca="1">('TUSD BE'!$AM$12+'TUSD BF'!$AM$12+'TUSD CVA'!$AM$12)*1</f>
        <v>91.421403244159023</v>
      </c>
      <c r="AA12" s="6">
        <f>('TE BE'!$AB$6+'TE BF'!$AB$6+'TE CVA'!$AB$6)*1</f>
        <v>77.958364182443049</v>
      </c>
      <c r="AB12" s="6">
        <f>$K$12*$V$12</f>
        <v>0</v>
      </c>
      <c r="AC12" s="6">
        <f>$M$12*$W$12</f>
        <v>20733.467919999999</v>
      </c>
      <c r="AD12" s="6">
        <f>$O$12*$X$12</f>
        <v>68528.888560000007</v>
      </c>
      <c r="AE12" s="6">
        <f>$K$12*$Y$12</f>
        <v>0</v>
      </c>
      <c r="AF12" s="6">
        <f ca="1">$M$12*$Z$12</f>
        <v>28085.386447831606</v>
      </c>
      <c r="AG12" s="6">
        <f>$O$12*$AA$12</f>
        <v>23949.433143759965</v>
      </c>
    </row>
    <row r="13" spans="1:48" ht="11.25" customHeight="1" x14ac:dyDescent="0.3">
      <c r="A13" s="4" t="s">
        <v>28</v>
      </c>
      <c r="B13" s="4" t="s">
        <v>39</v>
      </c>
      <c r="C13" s="4" t="s">
        <v>40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35</v>
      </c>
      <c r="I13" s="5">
        <v>44682</v>
      </c>
      <c r="J13" s="6">
        <v>0</v>
      </c>
      <c r="K13" s="6">
        <v>0</v>
      </c>
      <c r="L13" s="6">
        <v>11.500999999999999</v>
      </c>
      <c r="M13" s="6">
        <v>11.500999999999999</v>
      </c>
      <c r="N13" s="6">
        <v>11.500999999999999</v>
      </c>
      <c r="O13" s="6">
        <v>11.500999999999999</v>
      </c>
      <c r="P13" s="6">
        <v>0</v>
      </c>
      <c r="Q13" s="4" t="s">
        <v>26</v>
      </c>
      <c r="R13" s="4">
        <v>0</v>
      </c>
      <c r="S13" s="6">
        <v>0</v>
      </c>
      <c r="T13" s="6">
        <v>6</v>
      </c>
      <c r="U13" s="6">
        <v>50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67.489999999999995</v>
      </c>
      <c r="X13" s="6">
        <f>IF(ISERROR(VLOOKUP($U$13,'TAR FIN'!$A$1:$O$85,15,0)),0,VLOOKUP($U$13,'TAR FIN'!$A$1:$O$85,15,0))</f>
        <v>223.07</v>
      </c>
      <c r="Y13" s="6"/>
      <c r="Z13" s="6">
        <f ca="1">('TUSD BE'!$AM$12+'TUSD BF'!$AM$12+'TUSD CVA'!$AM$12)*1</f>
        <v>91.421403244159023</v>
      </c>
      <c r="AA13" s="6">
        <f>('TE BE'!$AB$6+'TE BF'!$AB$6+'TE CVA'!$AB$6)*1</f>
        <v>77.958364182443049</v>
      </c>
      <c r="AB13" s="6">
        <f>$K$13*$V$13</f>
        <v>0</v>
      </c>
      <c r="AC13" s="6">
        <f>$M$13*$W$13</f>
        <v>776.2024899999999</v>
      </c>
      <c r="AD13" s="6">
        <f>$O$13*$X$13</f>
        <v>2565.5280699999998</v>
      </c>
      <c r="AE13" s="6">
        <f>$K$13*$Y$13</f>
        <v>0</v>
      </c>
      <c r="AF13" s="6">
        <f ca="1">$M$13*$Z$13</f>
        <v>1051.4375587110728</v>
      </c>
      <c r="AG13" s="6">
        <f>$O$13*$AA$13</f>
        <v>896.59914646227742</v>
      </c>
    </row>
    <row r="14" spans="1:48" ht="11.25" customHeight="1" x14ac:dyDescent="0.3">
      <c r="A14" s="4" t="s">
        <v>21</v>
      </c>
      <c r="B14" s="4" t="s">
        <v>39</v>
      </c>
      <c r="C14" s="4" t="s">
        <v>40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35</v>
      </c>
      <c r="I14" s="5">
        <v>44713</v>
      </c>
      <c r="J14" s="6">
        <v>0</v>
      </c>
      <c r="K14" s="6">
        <v>0</v>
      </c>
      <c r="L14" s="6">
        <v>290.33999999999997</v>
      </c>
      <c r="M14" s="6">
        <v>290.33999999999997</v>
      </c>
      <c r="N14" s="6">
        <v>290.33999999999997</v>
      </c>
      <c r="O14" s="6">
        <v>290.33999999999997</v>
      </c>
      <c r="P14" s="6">
        <v>0</v>
      </c>
      <c r="Q14" s="4" t="s">
        <v>26</v>
      </c>
      <c r="R14" s="4">
        <v>0</v>
      </c>
      <c r="S14" s="6">
        <v>0</v>
      </c>
      <c r="T14" s="6">
        <v>6</v>
      </c>
      <c r="U14" s="6">
        <v>50</v>
      </c>
      <c r="V14" s="6">
        <f>IF(ISERROR(VLOOKUP($S$14,'TAR FIN'!$A$1:$O$85,15,0)),0,VLOOKUP($S$14,'TAR FIN'!$A$1:$O$85,15,0))</f>
        <v>0</v>
      </c>
      <c r="W14" s="6">
        <f>IF(ISERROR(VLOOKUP($T$14,'TAR FIN'!$A$1:$O$85,15,0)),0,VLOOKUP($T$14,'TAR FIN'!$A$1:$O$85,15,0))</f>
        <v>67.489999999999995</v>
      </c>
      <c r="X14" s="6">
        <f>IF(ISERROR(VLOOKUP($U$14,'TAR FIN'!$A$1:$O$85,15,0)),0,VLOOKUP($U$14,'TAR FIN'!$A$1:$O$85,15,0))</f>
        <v>223.07</v>
      </c>
      <c r="Y14" s="6"/>
      <c r="Z14" s="6">
        <f ca="1">('TUSD BE'!$AM$12+'TUSD BF'!$AM$12+'TUSD CVA'!$AM$12)*1</f>
        <v>91.421403244159023</v>
      </c>
      <c r="AA14" s="6">
        <f>('TE BE'!$AB$6+'TE BF'!$AB$6+'TE CVA'!$AB$6)*1</f>
        <v>77.958364182443049</v>
      </c>
      <c r="AB14" s="6">
        <f>$K$14*$V$14</f>
        <v>0</v>
      </c>
      <c r="AC14" s="6">
        <f>$M$14*$W$14</f>
        <v>19595.046599999998</v>
      </c>
      <c r="AD14" s="6">
        <f>$O$14*$X$14</f>
        <v>64766.143799999991</v>
      </c>
      <c r="AE14" s="6">
        <f>$K$14*$Y$14</f>
        <v>0</v>
      </c>
      <c r="AF14" s="6">
        <f ca="1">$M$14*$Z$14</f>
        <v>26543.290217909129</v>
      </c>
      <c r="AG14" s="6">
        <f>$O$14*$AA$14</f>
        <v>22634.431456730512</v>
      </c>
    </row>
    <row r="15" spans="1:48" ht="11.25" customHeight="1" x14ac:dyDescent="0.3">
      <c r="A15" s="4" t="s">
        <v>28</v>
      </c>
      <c r="B15" s="4" t="s">
        <v>39</v>
      </c>
      <c r="C15" s="4" t="s">
        <v>40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35</v>
      </c>
      <c r="I15" s="5">
        <v>44713</v>
      </c>
      <c r="J15" s="6">
        <v>0</v>
      </c>
      <c r="K15" s="6">
        <v>0</v>
      </c>
      <c r="L15" s="6">
        <v>15.744999999999999</v>
      </c>
      <c r="M15" s="6">
        <v>15.744999999999999</v>
      </c>
      <c r="N15" s="6">
        <v>15.744999999999999</v>
      </c>
      <c r="O15" s="6">
        <v>15.744999999999999</v>
      </c>
      <c r="P15" s="6">
        <v>0</v>
      </c>
      <c r="Q15" s="4" t="s">
        <v>26</v>
      </c>
      <c r="R15" s="4">
        <v>0</v>
      </c>
      <c r="S15" s="6">
        <v>0</v>
      </c>
      <c r="T15" s="6">
        <v>6</v>
      </c>
      <c r="U15" s="6">
        <v>50</v>
      </c>
      <c r="V15" s="6">
        <f>IF(ISERROR(VLOOKUP($S$15,'TAR FIN'!$A$1:$O$85,15,0)),0,VLOOKUP($S$15,'TAR FIN'!$A$1:$O$85,15,0))</f>
        <v>0</v>
      </c>
      <c r="W15" s="6">
        <f>IF(ISERROR(VLOOKUP($T$15,'TAR FIN'!$A$1:$O$85,15,0)),0,VLOOKUP($T$15,'TAR FIN'!$A$1:$O$85,15,0))</f>
        <v>67.489999999999995</v>
      </c>
      <c r="X15" s="6">
        <f>IF(ISERROR(VLOOKUP($U$15,'TAR FIN'!$A$1:$O$85,15,0)),0,VLOOKUP($U$15,'TAR FIN'!$A$1:$O$85,15,0))</f>
        <v>223.07</v>
      </c>
      <c r="Y15" s="6"/>
      <c r="Z15" s="6">
        <f ca="1">('TUSD BE'!$AM$12+'TUSD BF'!$AM$12+'TUSD CVA'!$AM$12)*1</f>
        <v>91.421403244159023</v>
      </c>
      <c r="AA15" s="6">
        <f>('TE BE'!$AB$6+'TE BF'!$AB$6+'TE CVA'!$AB$6)*1</f>
        <v>77.958364182443049</v>
      </c>
      <c r="AB15" s="6">
        <f>$K$15*$V$15</f>
        <v>0</v>
      </c>
      <c r="AC15" s="6">
        <f>$M$15*$W$15</f>
        <v>1062.6300499999998</v>
      </c>
      <c r="AD15" s="6">
        <f>$O$15*$X$15</f>
        <v>3512.2371499999999</v>
      </c>
      <c r="AE15" s="6">
        <f>$K$15*$Y$15</f>
        <v>0</v>
      </c>
      <c r="AF15" s="6">
        <f ca="1">$M$15*$Z$15</f>
        <v>1439.4299940792837</v>
      </c>
      <c r="AG15" s="6">
        <f>$O$15*$AA$15</f>
        <v>1227.4544440525658</v>
      </c>
    </row>
    <row r="16" spans="1:48" ht="11.25" customHeight="1" x14ac:dyDescent="0.3">
      <c r="A16" s="4" t="s">
        <v>21</v>
      </c>
      <c r="B16" s="4" t="s">
        <v>39</v>
      </c>
      <c r="C16" s="4" t="s">
        <v>40</v>
      </c>
      <c r="D16" s="4" t="s">
        <v>41</v>
      </c>
      <c r="E16" s="4" t="s">
        <v>25</v>
      </c>
      <c r="F16" s="4" t="s">
        <v>25</v>
      </c>
      <c r="G16" s="4" t="s">
        <v>25</v>
      </c>
      <c r="H16" s="4" t="s">
        <v>35</v>
      </c>
      <c r="I16" s="5">
        <v>44743</v>
      </c>
      <c r="J16" s="6">
        <v>0</v>
      </c>
      <c r="K16" s="6">
        <v>0</v>
      </c>
      <c r="L16" s="6">
        <v>311.78899999999999</v>
      </c>
      <c r="M16" s="6">
        <v>311.78899999999999</v>
      </c>
      <c r="N16" s="6">
        <v>311.78899999999999</v>
      </c>
      <c r="O16" s="6">
        <v>311.78899999999999</v>
      </c>
      <c r="P16" s="6">
        <v>0</v>
      </c>
      <c r="Q16" s="4" t="s">
        <v>26</v>
      </c>
      <c r="R16" s="4">
        <v>0</v>
      </c>
      <c r="S16" s="6">
        <v>0</v>
      </c>
      <c r="T16" s="6">
        <v>6</v>
      </c>
      <c r="U16" s="6">
        <v>50</v>
      </c>
      <c r="V16" s="6">
        <f>IF(ISERROR(VLOOKUP($S$16,'TAR FIN'!$A$1:$O$85,15,0)),0,VLOOKUP($S$16,'TAR FIN'!$A$1:$O$85,15,0))</f>
        <v>0</v>
      </c>
      <c r="W16" s="6">
        <f>IF(ISERROR(VLOOKUP($T$16,'TAR FIN'!$A$1:$O$85,15,0)),0,VLOOKUP($T$16,'TAR FIN'!$A$1:$O$85,15,0))</f>
        <v>67.489999999999995</v>
      </c>
      <c r="X16" s="6">
        <f>IF(ISERROR(VLOOKUP($U$16,'TAR FIN'!$A$1:$O$85,15,0)),0,VLOOKUP($U$16,'TAR FIN'!$A$1:$O$85,15,0))</f>
        <v>223.07</v>
      </c>
      <c r="Y16" s="6"/>
      <c r="Z16" s="6">
        <f ca="1">('TUSD BE'!$AM$12+'TUSD BF'!$AM$12+'TUSD CVA'!$AM$12)*1</f>
        <v>91.421403244159023</v>
      </c>
      <c r="AA16" s="6">
        <f>('TE BE'!$AB$6+'TE BF'!$AB$6+'TE CVA'!$AB$6)*1</f>
        <v>77.958364182443049</v>
      </c>
      <c r="AB16" s="6">
        <f>$K$16*$V$16</f>
        <v>0</v>
      </c>
      <c r="AC16" s="6">
        <f>$M$16*$W$16</f>
        <v>21042.639609999998</v>
      </c>
      <c r="AD16" s="6">
        <f>$O$16*$X$16</f>
        <v>69550.772230000002</v>
      </c>
      <c r="AE16" s="6">
        <f>$K$16*$Y$16</f>
        <v>0</v>
      </c>
      <c r="AF16" s="6">
        <f ca="1">$M$16*$Z$16</f>
        <v>28504.187896093095</v>
      </c>
      <c r="AG16" s="6">
        <f>$O$16*$AA$16</f>
        <v>24306.560410079735</v>
      </c>
    </row>
    <row r="17" spans="1:33" ht="11.25" customHeight="1" x14ac:dyDescent="0.3">
      <c r="A17" s="4" t="s">
        <v>28</v>
      </c>
      <c r="B17" s="4" t="s">
        <v>39</v>
      </c>
      <c r="C17" s="4" t="s">
        <v>40</v>
      </c>
      <c r="D17" s="4" t="s">
        <v>41</v>
      </c>
      <c r="E17" s="4" t="s">
        <v>25</v>
      </c>
      <c r="F17" s="4" t="s">
        <v>25</v>
      </c>
      <c r="G17" s="4" t="s">
        <v>25</v>
      </c>
      <c r="H17" s="4" t="s">
        <v>35</v>
      </c>
      <c r="I17" s="5">
        <v>44743</v>
      </c>
      <c r="J17" s="6">
        <v>0</v>
      </c>
      <c r="K17" s="6">
        <v>0</v>
      </c>
      <c r="L17" s="6">
        <v>15.247</v>
      </c>
      <c r="M17" s="6">
        <v>15.247</v>
      </c>
      <c r="N17" s="6">
        <v>15.247</v>
      </c>
      <c r="O17" s="6">
        <v>15.247</v>
      </c>
      <c r="P17" s="6">
        <v>0</v>
      </c>
      <c r="Q17" s="4" t="s">
        <v>26</v>
      </c>
      <c r="R17" s="4">
        <v>0</v>
      </c>
      <c r="S17" s="6">
        <v>0</v>
      </c>
      <c r="T17" s="6">
        <v>6</v>
      </c>
      <c r="U17" s="6">
        <v>50</v>
      </c>
      <c r="V17" s="6">
        <f>IF(ISERROR(VLOOKUP($S$17,'TAR FIN'!$A$1:$O$85,15,0)),0,VLOOKUP($S$17,'TAR FIN'!$A$1:$O$85,15,0))</f>
        <v>0</v>
      </c>
      <c r="W17" s="6">
        <f>IF(ISERROR(VLOOKUP($T$17,'TAR FIN'!$A$1:$O$85,15,0)),0,VLOOKUP($T$17,'TAR FIN'!$A$1:$O$85,15,0))</f>
        <v>67.489999999999995</v>
      </c>
      <c r="X17" s="6">
        <f>IF(ISERROR(VLOOKUP($U$17,'TAR FIN'!$A$1:$O$85,15,0)),0,VLOOKUP($U$17,'TAR FIN'!$A$1:$O$85,15,0))</f>
        <v>223.07</v>
      </c>
      <c r="Y17" s="6"/>
      <c r="Z17" s="6">
        <f ca="1">('TUSD BE'!$AM$12+'TUSD BF'!$AM$12+'TUSD CVA'!$AM$12)*1</f>
        <v>91.421403244159023</v>
      </c>
      <c r="AA17" s="6">
        <f>('TE BE'!$AB$6+'TE BF'!$AB$6+'TE CVA'!$AB$6)*1</f>
        <v>77.958364182443049</v>
      </c>
      <c r="AB17" s="6">
        <f>$K$17*$V$17</f>
        <v>0</v>
      </c>
      <c r="AC17" s="6">
        <f>$M$17*$W$17</f>
        <v>1029.0200299999999</v>
      </c>
      <c r="AD17" s="6">
        <f>$O$17*$X$17</f>
        <v>3401.1482900000001</v>
      </c>
      <c r="AE17" s="6">
        <f>$K$17*$Y$17</f>
        <v>0</v>
      </c>
      <c r="AF17" s="6">
        <f ca="1">$M$17*$Z$17</f>
        <v>1393.9021352636926</v>
      </c>
      <c r="AG17" s="6">
        <f>$O$17*$AA$17</f>
        <v>1188.6311786897093</v>
      </c>
    </row>
    <row r="18" spans="1:33" ht="11.25" customHeight="1" x14ac:dyDescent="0.3">
      <c r="A18" s="4" t="s">
        <v>21</v>
      </c>
      <c r="B18" s="4" t="s">
        <v>39</v>
      </c>
      <c r="C18" s="4" t="s">
        <v>40</v>
      </c>
      <c r="D18" s="4" t="s">
        <v>41</v>
      </c>
      <c r="E18" s="4" t="s">
        <v>25</v>
      </c>
      <c r="F18" s="4" t="s">
        <v>25</v>
      </c>
      <c r="G18" s="4" t="s">
        <v>25</v>
      </c>
      <c r="H18" s="4" t="s">
        <v>35</v>
      </c>
      <c r="I18" s="5">
        <v>44774</v>
      </c>
      <c r="J18" s="6">
        <v>0</v>
      </c>
      <c r="K18" s="6">
        <v>0</v>
      </c>
      <c r="L18" s="6">
        <v>313.17599999999999</v>
      </c>
      <c r="M18" s="6">
        <v>313.17599999999999</v>
      </c>
      <c r="N18" s="6">
        <v>313.17599999999999</v>
      </c>
      <c r="O18" s="6">
        <v>313.17599999999999</v>
      </c>
      <c r="P18" s="6">
        <v>0</v>
      </c>
      <c r="Q18" s="4" t="s">
        <v>26</v>
      </c>
      <c r="R18" s="4">
        <v>0</v>
      </c>
      <c r="S18" s="6">
        <v>0</v>
      </c>
      <c r="T18" s="6">
        <v>6</v>
      </c>
      <c r="U18" s="6">
        <v>50</v>
      </c>
      <c r="V18" s="6">
        <f>IF(ISERROR(VLOOKUP($S$18,'TAR FIN'!$A$1:$O$85,15,0)),0,VLOOKUP($S$18,'TAR FIN'!$A$1:$O$85,15,0))</f>
        <v>0</v>
      </c>
      <c r="W18" s="6">
        <f>IF(ISERROR(VLOOKUP($T$18,'TAR FIN'!$A$1:$O$85,15,0)),0,VLOOKUP($T$18,'TAR FIN'!$A$1:$O$85,15,0))</f>
        <v>67.489999999999995</v>
      </c>
      <c r="X18" s="6">
        <f>IF(ISERROR(VLOOKUP($U$18,'TAR FIN'!$A$1:$O$85,15,0)),0,VLOOKUP($U$18,'TAR FIN'!$A$1:$O$85,15,0))</f>
        <v>223.07</v>
      </c>
      <c r="Y18" s="6"/>
      <c r="Z18" s="6">
        <f ca="1">('TUSD BE'!$AM$12+'TUSD BF'!$AM$12+'TUSD CVA'!$AM$12)*1</f>
        <v>91.421403244159023</v>
      </c>
      <c r="AA18" s="6">
        <f>('TE BE'!$AB$6+'TE BF'!$AB$6+'TE CVA'!$AB$6)*1</f>
        <v>77.958364182443049</v>
      </c>
      <c r="AB18" s="6">
        <f>$K$18*$V$18</f>
        <v>0</v>
      </c>
      <c r="AC18" s="6">
        <f>$M$18*$W$18</f>
        <v>21136.248239999997</v>
      </c>
      <c r="AD18" s="6">
        <f>$O$18*$X$18</f>
        <v>69860.17031999999</v>
      </c>
      <c r="AE18" s="6">
        <f>$K$18*$Y$18</f>
        <v>0</v>
      </c>
      <c r="AF18" s="6">
        <f ca="1">$M$18*$Z$18</f>
        <v>28630.989382392745</v>
      </c>
      <c r="AG18" s="6">
        <f>$O$18*$AA$18</f>
        <v>24414.688661200784</v>
      </c>
    </row>
    <row r="19" spans="1:33" ht="11.25" customHeight="1" x14ac:dyDescent="0.3">
      <c r="A19" s="4" t="s">
        <v>28</v>
      </c>
      <c r="B19" s="4" t="s">
        <v>39</v>
      </c>
      <c r="C19" s="4" t="s">
        <v>40</v>
      </c>
      <c r="D19" s="4" t="s">
        <v>41</v>
      </c>
      <c r="E19" s="4" t="s">
        <v>25</v>
      </c>
      <c r="F19" s="4" t="s">
        <v>25</v>
      </c>
      <c r="G19" s="4" t="s">
        <v>25</v>
      </c>
      <c r="H19" s="4" t="s">
        <v>35</v>
      </c>
      <c r="I19" s="5">
        <v>44774</v>
      </c>
      <c r="J19" s="6">
        <v>0</v>
      </c>
      <c r="K19" s="6">
        <v>0</v>
      </c>
      <c r="L19" s="6">
        <v>12.393000000000001</v>
      </c>
      <c r="M19" s="6">
        <v>12.393000000000001</v>
      </c>
      <c r="N19" s="6">
        <v>12.393000000000001</v>
      </c>
      <c r="O19" s="6">
        <v>12.393000000000001</v>
      </c>
      <c r="P19" s="6">
        <v>0</v>
      </c>
      <c r="Q19" s="4" t="s">
        <v>26</v>
      </c>
      <c r="R19" s="4">
        <v>0</v>
      </c>
      <c r="S19" s="6">
        <v>0</v>
      </c>
      <c r="T19" s="6">
        <v>6</v>
      </c>
      <c r="U19" s="6">
        <v>50</v>
      </c>
      <c r="V19" s="6">
        <f>IF(ISERROR(VLOOKUP($S$19,'TAR FIN'!$A$1:$O$85,15,0)),0,VLOOKUP($S$19,'TAR FIN'!$A$1:$O$85,15,0))</f>
        <v>0</v>
      </c>
      <c r="W19" s="6">
        <f>IF(ISERROR(VLOOKUP($T$19,'TAR FIN'!$A$1:$O$85,15,0)),0,VLOOKUP($T$19,'TAR FIN'!$A$1:$O$85,15,0))</f>
        <v>67.489999999999995</v>
      </c>
      <c r="X19" s="6">
        <f>IF(ISERROR(VLOOKUP($U$19,'TAR FIN'!$A$1:$O$85,15,0)),0,VLOOKUP($U$19,'TAR FIN'!$A$1:$O$85,15,0))</f>
        <v>223.07</v>
      </c>
      <c r="Y19" s="6"/>
      <c r="Z19" s="6">
        <f ca="1">('TUSD BE'!$AM$12+'TUSD BF'!$AM$12+'TUSD CVA'!$AM$12)*1</f>
        <v>91.421403244159023</v>
      </c>
      <c r="AA19" s="6">
        <f>('TE BE'!$AB$6+'TE BF'!$AB$6+'TE CVA'!$AB$6)*1</f>
        <v>77.958364182443049</v>
      </c>
      <c r="AB19" s="6">
        <f>$K$19*$V$19</f>
        <v>0</v>
      </c>
      <c r="AC19" s="6">
        <f>$M$19*$W$19</f>
        <v>836.40356999999995</v>
      </c>
      <c r="AD19" s="6">
        <f>$O$19*$X$19</f>
        <v>2764.5065100000002</v>
      </c>
      <c r="AE19" s="6">
        <f>$K$19*$Y$19</f>
        <v>0</v>
      </c>
      <c r="AF19" s="6">
        <f ca="1">$M$19*$Z$19</f>
        <v>1132.9854504048628</v>
      </c>
      <c r="AG19" s="6">
        <f>$O$19*$AA$19</f>
        <v>966.13800731301671</v>
      </c>
    </row>
    <row r="20" spans="1:33" ht="11.25" customHeight="1" x14ac:dyDescent="0.3">
      <c r="A20" s="4" t="s">
        <v>21</v>
      </c>
      <c r="B20" s="4" t="s">
        <v>39</v>
      </c>
      <c r="C20" s="4" t="s">
        <v>40</v>
      </c>
      <c r="D20" s="4" t="s">
        <v>41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44440</v>
      </c>
      <c r="J20" s="6">
        <v>1251</v>
      </c>
      <c r="K20" s="6">
        <v>1251</v>
      </c>
      <c r="L20" s="6">
        <v>0</v>
      </c>
      <c r="M20" s="6">
        <v>0</v>
      </c>
      <c r="N20" s="6">
        <v>0</v>
      </c>
      <c r="O20" s="6">
        <v>0</v>
      </c>
      <c r="P20" s="6">
        <v>12</v>
      </c>
      <c r="Q20" s="4" t="s">
        <v>26</v>
      </c>
      <c r="R20" s="4">
        <v>0</v>
      </c>
      <c r="S20" s="6">
        <v>10</v>
      </c>
      <c r="T20" s="6">
        <v>0</v>
      </c>
      <c r="U20" s="6">
        <v>0</v>
      </c>
      <c r="V20" s="6">
        <f>IF(ISERROR(VLOOKUP($S$20,'TAR FIN'!$A$1:$O$85,15,0)),0,VLOOKUP($S$20,'TAR FIN'!$A$1:$O$85,15,0))</f>
        <v>34.08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46.049752913094459</v>
      </c>
      <c r="Z20" s="6"/>
      <c r="AA20" s="6"/>
      <c r="AB20" s="6">
        <f>$K$20*$V$20</f>
        <v>42634.079999999994</v>
      </c>
      <c r="AC20" s="6">
        <f>$M$20*$W$20</f>
        <v>0</v>
      </c>
      <c r="AD20" s="6">
        <f>$O$20*$X$20</f>
        <v>0</v>
      </c>
      <c r="AE20" s="6">
        <f ca="1">$K$20*$Y$20</f>
        <v>57608.240894281167</v>
      </c>
      <c r="AF20" s="6">
        <f>$M$20*$Z$20</f>
        <v>0</v>
      </c>
      <c r="AG20" s="6">
        <f>$O$20*$AA$20</f>
        <v>0</v>
      </c>
    </row>
    <row r="21" spans="1:33" ht="11.25" customHeight="1" x14ac:dyDescent="0.3">
      <c r="A21" s="4" t="s">
        <v>21</v>
      </c>
      <c r="B21" s="4" t="s">
        <v>39</v>
      </c>
      <c r="C21" s="4" t="s">
        <v>40</v>
      </c>
      <c r="D21" s="4" t="s">
        <v>41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44470</v>
      </c>
      <c r="J21" s="6">
        <v>1245</v>
      </c>
      <c r="K21" s="6">
        <v>1245</v>
      </c>
      <c r="L21" s="6">
        <v>0</v>
      </c>
      <c r="M21" s="6">
        <v>0</v>
      </c>
      <c r="N21" s="6">
        <v>0</v>
      </c>
      <c r="O21" s="6">
        <v>0</v>
      </c>
      <c r="P21" s="6">
        <v>12</v>
      </c>
      <c r="Q21" s="4" t="s">
        <v>26</v>
      </c>
      <c r="R21" s="4">
        <v>0</v>
      </c>
      <c r="S21" s="6">
        <v>10</v>
      </c>
      <c r="T21" s="6">
        <v>0</v>
      </c>
      <c r="U21" s="6">
        <v>0</v>
      </c>
      <c r="V21" s="6">
        <f>IF(ISERROR(VLOOKUP($S$21,'TAR FIN'!$A$1:$O$85,15,0)),0,VLOOKUP($S$21,'TAR FIN'!$A$1:$O$85,15,0))</f>
        <v>34.08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46.049752913094459</v>
      </c>
      <c r="Z21" s="6"/>
      <c r="AA21" s="6"/>
      <c r="AB21" s="6">
        <f>$K$21*$V$21</f>
        <v>42429.599999999999</v>
      </c>
      <c r="AC21" s="6">
        <f>$M$21*$W$21</f>
        <v>0</v>
      </c>
      <c r="AD21" s="6">
        <f>$O$21*$X$21</f>
        <v>0</v>
      </c>
      <c r="AE21" s="6">
        <f ca="1">$K$21*$Y$21</f>
        <v>57331.942376802603</v>
      </c>
      <c r="AF21" s="6">
        <f>$M$21*$Z$21</f>
        <v>0</v>
      </c>
      <c r="AG21" s="6">
        <f>$O$21*$AA$21</f>
        <v>0</v>
      </c>
    </row>
    <row r="22" spans="1:33" ht="11.25" customHeight="1" x14ac:dyDescent="0.3">
      <c r="A22" s="4" t="s">
        <v>21</v>
      </c>
      <c r="B22" s="4" t="s">
        <v>39</v>
      </c>
      <c r="C22" s="4" t="s">
        <v>40</v>
      </c>
      <c r="D22" s="4" t="s">
        <v>41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44501</v>
      </c>
      <c r="J22" s="6">
        <v>1322</v>
      </c>
      <c r="K22" s="6">
        <v>1322</v>
      </c>
      <c r="L22" s="6">
        <v>0</v>
      </c>
      <c r="M22" s="6">
        <v>0</v>
      </c>
      <c r="N22" s="6">
        <v>0</v>
      </c>
      <c r="O22" s="6">
        <v>0</v>
      </c>
      <c r="P22" s="6">
        <v>12</v>
      </c>
      <c r="Q22" s="4" t="s">
        <v>26</v>
      </c>
      <c r="R22" s="4">
        <v>0</v>
      </c>
      <c r="S22" s="6">
        <v>10</v>
      </c>
      <c r="T22" s="6">
        <v>0</v>
      </c>
      <c r="U22" s="6">
        <v>0</v>
      </c>
      <c r="V22" s="6">
        <f>IF(ISERROR(VLOOKUP($S$22,'TAR FIN'!$A$1:$O$85,15,0)),0,VLOOKUP($S$22,'TAR FIN'!$A$1:$O$85,15,0))</f>
        <v>34.08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46.049752913094459</v>
      </c>
      <c r="Z22" s="6"/>
      <c r="AA22" s="6"/>
      <c r="AB22" s="6">
        <f>$K$22*$V$22</f>
        <v>45053.759999999995</v>
      </c>
      <c r="AC22" s="6">
        <f>$M$22*$W$22</f>
        <v>0</v>
      </c>
      <c r="AD22" s="6">
        <f>$O$22*$X$22</f>
        <v>0</v>
      </c>
      <c r="AE22" s="6">
        <f ca="1">$K$22*$Y$22</f>
        <v>60877.773351110875</v>
      </c>
      <c r="AF22" s="6">
        <f>$M$22*$Z$22</f>
        <v>0</v>
      </c>
      <c r="AG22" s="6">
        <f>$O$22*$AA$22</f>
        <v>0</v>
      </c>
    </row>
    <row r="23" spans="1:33" ht="11.25" customHeight="1" x14ac:dyDescent="0.3">
      <c r="A23" s="4" t="s">
        <v>21</v>
      </c>
      <c r="B23" s="4" t="s">
        <v>39</v>
      </c>
      <c r="C23" s="4" t="s">
        <v>40</v>
      </c>
      <c r="D23" s="4" t="s">
        <v>41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44531</v>
      </c>
      <c r="J23" s="6">
        <v>1396</v>
      </c>
      <c r="K23" s="6">
        <v>1396</v>
      </c>
      <c r="L23" s="6">
        <v>0</v>
      </c>
      <c r="M23" s="6">
        <v>0</v>
      </c>
      <c r="N23" s="6">
        <v>0</v>
      </c>
      <c r="O23" s="6">
        <v>0</v>
      </c>
      <c r="P23" s="6">
        <v>12</v>
      </c>
      <c r="Q23" s="4" t="s">
        <v>26</v>
      </c>
      <c r="R23" s="4">
        <v>0</v>
      </c>
      <c r="S23" s="6">
        <v>10</v>
      </c>
      <c r="T23" s="6">
        <v>0</v>
      </c>
      <c r="U23" s="6">
        <v>0</v>
      </c>
      <c r="V23" s="6">
        <f>IF(ISERROR(VLOOKUP($S$23,'TAR FIN'!$A$1:$O$85,15,0)),0,VLOOKUP($S$23,'TAR FIN'!$A$1:$O$85,15,0))</f>
        <v>34.08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46.049752913094459</v>
      </c>
      <c r="Z23" s="6"/>
      <c r="AA23" s="6"/>
      <c r="AB23" s="6">
        <f>$K$23*$V$23</f>
        <v>47575.68</v>
      </c>
      <c r="AC23" s="6">
        <f>$M$23*$W$23</f>
        <v>0</v>
      </c>
      <c r="AD23" s="6">
        <f>$O$23*$X$23</f>
        <v>0</v>
      </c>
      <c r="AE23" s="6">
        <f ca="1">$K$23*$Y$23</f>
        <v>64285.45506667986</v>
      </c>
      <c r="AF23" s="6">
        <f>$M$23*$Z$23</f>
        <v>0</v>
      </c>
      <c r="AG23" s="6">
        <f>$O$23*$AA$23</f>
        <v>0</v>
      </c>
    </row>
    <row r="24" spans="1:33" ht="11.25" customHeight="1" x14ac:dyDescent="0.3">
      <c r="A24" s="4" t="s">
        <v>21</v>
      </c>
      <c r="B24" s="4" t="s">
        <v>39</v>
      </c>
      <c r="C24" s="4" t="s">
        <v>40</v>
      </c>
      <c r="D24" s="4" t="s">
        <v>41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44562</v>
      </c>
      <c r="J24" s="6">
        <v>1416</v>
      </c>
      <c r="K24" s="6">
        <v>1416</v>
      </c>
      <c r="L24" s="6">
        <v>0</v>
      </c>
      <c r="M24" s="6">
        <v>0</v>
      </c>
      <c r="N24" s="6">
        <v>0</v>
      </c>
      <c r="O24" s="6">
        <v>0</v>
      </c>
      <c r="P24" s="6">
        <v>12</v>
      </c>
      <c r="Q24" s="4" t="s">
        <v>26</v>
      </c>
      <c r="R24" s="4">
        <v>0</v>
      </c>
      <c r="S24" s="6">
        <v>10</v>
      </c>
      <c r="T24" s="6">
        <v>0</v>
      </c>
      <c r="U24" s="6">
        <v>0</v>
      </c>
      <c r="V24" s="6">
        <f>IF(ISERROR(VLOOKUP($S$24,'TAR FIN'!$A$1:$O$85,15,0)),0,VLOOKUP($S$24,'TAR FIN'!$A$1:$O$85,15,0))</f>
        <v>34.08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46.049752913094459</v>
      </c>
      <c r="Z24" s="6"/>
      <c r="AA24" s="6"/>
      <c r="AB24" s="6">
        <f>$K$24*$V$24</f>
        <v>48257.279999999999</v>
      </c>
      <c r="AC24" s="6">
        <f>$M$24*$W$24</f>
        <v>0</v>
      </c>
      <c r="AD24" s="6">
        <f>$O$24*$X$24</f>
        <v>0</v>
      </c>
      <c r="AE24" s="6">
        <f ca="1">$K$24*$Y$24</f>
        <v>65206.450124941752</v>
      </c>
      <c r="AF24" s="6">
        <f>$M$24*$Z$24</f>
        <v>0</v>
      </c>
      <c r="AG24" s="6">
        <f>$O$24*$AA$24</f>
        <v>0</v>
      </c>
    </row>
    <row r="25" spans="1:33" ht="11.25" customHeight="1" x14ac:dyDescent="0.3">
      <c r="A25" s="4" t="s">
        <v>21</v>
      </c>
      <c r="B25" s="4" t="s">
        <v>39</v>
      </c>
      <c r="C25" s="4" t="s">
        <v>40</v>
      </c>
      <c r="D25" s="4" t="s">
        <v>41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44593</v>
      </c>
      <c r="J25" s="6">
        <v>1401</v>
      </c>
      <c r="K25" s="6">
        <v>1401</v>
      </c>
      <c r="L25" s="6">
        <v>0</v>
      </c>
      <c r="M25" s="6">
        <v>0</v>
      </c>
      <c r="N25" s="6">
        <v>0</v>
      </c>
      <c r="O25" s="6">
        <v>0</v>
      </c>
      <c r="P25" s="6">
        <v>13</v>
      </c>
      <c r="Q25" s="4" t="s">
        <v>26</v>
      </c>
      <c r="R25" s="4">
        <v>0</v>
      </c>
      <c r="S25" s="6">
        <v>10</v>
      </c>
      <c r="T25" s="6">
        <v>0</v>
      </c>
      <c r="U25" s="6">
        <v>0</v>
      </c>
      <c r="V25" s="6">
        <f>IF(ISERROR(VLOOKUP($S$25,'TAR FIN'!$A$1:$O$85,15,0)),0,VLOOKUP($S$25,'TAR FIN'!$A$1:$O$85,15,0))</f>
        <v>34.08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46.049752913094459</v>
      </c>
      <c r="Z25" s="6"/>
      <c r="AA25" s="6"/>
      <c r="AB25" s="6">
        <f>$K$25*$V$25</f>
        <v>47746.079999999994</v>
      </c>
      <c r="AC25" s="6">
        <f>$M$25*$W$25</f>
        <v>0</v>
      </c>
      <c r="AD25" s="6">
        <f>$O$25*$X$25</f>
        <v>0</v>
      </c>
      <c r="AE25" s="6">
        <f ca="1">$K$25*$Y$25</f>
        <v>64515.703831245337</v>
      </c>
      <c r="AF25" s="6">
        <f>$M$25*$Z$25</f>
        <v>0</v>
      </c>
      <c r="AG25" s="6">
        <f>$O$25*$AA$25</f>
        <v>0</v>
      </c>
    </row>
    <row r="26" spans="1:33" ht="11.25" customHeight="1" x14ac:dyDescent="0.3">
      <c r="A26" s="4" t="s">
        <v>21</v>
      </c>
      <c r="B26" s="4" t="s">
        <v>39</v>
      </c>
      <c r="C26" s="4" t="s">
        <v>40</v>
      </c>
      <c r="D26" s="4" t="s">
        <v>41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44621</v>
      </c>
      <c r="J26" s="6">
        <v>1349</v>
      </c>
      <c r="K26" s="6">
        <v>1349</v>
      </c>
      <c r="L26" s="6">
        <v>0</v>
      </c>
      <c r="M26" s="6">
        <v>0</v>
      </c>
      <c r="N26" s="6">
        <v>0</v>
      </c>
      <c r="O26" s="6">
        <v>0</v>
      </c>
      <c r="P26" s="6">
        <v>12</v>
      </c>
      <c r="Q26" s="4" t="s">
        <v>26</v>
      </c>
      <c r="R26" s="4">
        <v>0</v>
      </c>
      <c r="S26" s="6">
        <v>10</v>
      </c>
      <c r="T26" s="6">
        <v>0</v>
      </c>
      <c r="U26" s="6">
        <v>0</v>
      </c>
      <c r="V26" s="6">
        <f>IF(ISERROR(VLOOKUP($S$26,'TAR FIN'!$A$1:$O$85,15,0)),0,VLOOKUP($S$26,'TAR FIN'!$A$1:$O$85,15,0))</f>
        <v>34.08</v>
      </c>
      <c r="W26" s="6">
        <f>IF(ISERROR(VLOOKUP($T$26,'TAR FIN'!$A$1:$O$85,15,0)),0,VLOOKUP($T$26,'TAR FIN'!$A$1:$O$85,15,0))</f>
        <v>0</v>
      </c>
      <c r="X26" s="6">
        <f>IF(ISERROR(VLOOKUP($U$26,'TAR FIN'!$A$1:$O$85,15,0)),0,VLOOKUP($U$26,'TAR FIN'!$A$1:$O$85,15,0))</f>
        <v>0</v>
      </c>
      <c r="Y26" s="6">
        <f ca="1">('TUSD BE'!$AM$10+'TUSD BF'!$AM$10+'TUSD CVA'!$AM$10)*1</f>
        <v>46.049752913094459</v>
      </c>
      <c r="Z26" s="6"/>
      <c r="AA26" s="6"/>
      <c r="AB26" s="6">
        <f>$K$26*$V$26</f>
        <v>45973.919999999998</v>
      </c>
      <c r="AC26" s="6">
        <f>$M$26*$W$26</f>
        <v>0</v>
      </c>
      <c r="AD26" s="6">
        <f>$O$26*$X$26</f>
        <v>0</v>
      </c>
      <c r="AE26" s="6">
        <f ca="1">$K$26*$Y$26</f>
        <v>62121.116679764425</v>
      </c>
      <c r="AF26" s="6">
        <f>$M$26*$Z$26</f>
        <v>0</v>
      </c>
      <c r="AG26" s="6">
        <f>$O$26*$AA$26</f>
        <v>0</v>
      </c>
    </row>
    <row r="27" spans="1:33" ht="11.25" customHeight="1" x14ac:dyDescent="0.3">
      <c r="A27" s="4" t="s">
        <v>28</v>
      </c>
      <c r="B27" s="4" t="s">
        <v>39</v>
      </c>
      <c r="C27" s="4" t="s">
        <v>40</v>
      </c>
      <c r="D27" s="4" t="s">
        <v>41</v>
      </c>
      <c r="E27" s="4" t="s">
        <v>25</v>
      </c>
      <c r="F27" s="4" t="s">
        <v>25</v>
      </c>
      <c r="G27" s="4" t="s">
        <v>25</v>
      </c>
      <c r="H27" s="4" t="s">
        <v>25</v>
      </c>
      <c r="I27" s="5">
        <v>44621</v>
      </c>
      <c r="J27" s="6">
        <v>72</v>
      </c>
      <c r="K27" s="6">
        <v>72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4" t="s">
        <v>26</v>
      </c>
      <c r="R27" s="4">
        <v>0</v>
      </c>
      <c r="S27" s="6">
        <v>10</v>
      </c>
      <c r="T27" s="6">
        <v>0</v>
      </c>
      <c r="U27" s="6">
        <v>0</v>
      </c>
      <c r="V27" s="6">
        <f>IF(ISERROR(VLOOKUP($S$27,'TAR FIN'!$A$1:$O$85,15,0)),0,VLOOKUP($S$27,'TAR FIN'!$A$1:$O$85,15,0))</f>
        <v>34.08</v>
      </c>
      <c r="W27" s="6">
        <f>IF(ISERROR(VLOOKUP($T$27,'TAR FIN'!$A$1:$O$85,15,0)),0,VLOOKUP($T$27,'TAR FIN'!$A$1:$O$85,15,0))</f>
        <v>0</v>
      </c>
      <c r="X27" s="6">
        <f>IF(ISERROR(VLOOKUP($U$27,'TAR FIN'!$A$1:$O$85,15,0)),0,VLOOKUP($U$27,'TAR FIN'!$A$1:$O$85,15,0))</f>
        <v>0</v>
      </c>
      <c r="Y27" s="6">
        <f ca="1">('TUSD BE'!$AM$10+'TUSD BF'!$AM$10+'TUSD CVA'!$AM$10)*1</f>
        <v>46.049752913094459</v>
      </c>
      <c r="Z27" s="6"/>
      <c r="AA27" s="6"/>
      <c r="AB27" s="6">
        <f>$K$27*$V$27</f>
        <v>2453.7599999999998</v>
      </c>
      <c r="AC27" s="6">
        <f>$M$27*$W$27</f>
        <v>0</v>
      </c>
      <c r="AD27" s="6">
        <f>$O$27*$X$27</f>
        <v>0</v>
      </c>
      <c r="AE27" s="6">
        <f ca="1">$K$27*$Y$27</f>
        <v>3315.5822097428008</v>
      </c>
      <c r="AF27" s="6">
        <f>$M$27*$Z$27</f>
        <v>0</v>
      </c>
      <c r="AG27" s="6">
        <f>$O$27*$AA$27</f>
        <v>0</v>
      </c>
    </row>
    <row r="28" spans="1:33" ht="11.25" customHeight="1" x14ac:dyDescent="0.3">
      <c r="A28" s="4" t="s">
        <v>21</v>
      </c>
      <c r="B28" s="4" t="s">
        <v>39</v>
      </c>
      <c r="C28" s="4" t="s">
        <v>40</v>
      </c>
      <c r="D28" s="4" t="s">
        <v>41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44652</v>
      </c>
      <c r="J28" s="6">
        <v>1236</v>
      </c>
      <c r="K28" s="6">
        <v>1236</v>
      </c>
      <c r="L28" s="6">
        <v>0</v>
      </c>
      <c r="M28" s="6">
        <v>0</v>
      </c>
      <c r="N28" s="6">
        <v>0</v>
      </c>
      <c r="O28" s="6">
        <v>0</v>
      </c>
      <c r="P28" s="6">
        <v>12</v>
      </c>
      <c r="Q28" s="4" t="s">
        <v>26</v>
      </c>
      <c r="R28" s="4">
        <v>0</v>
      </c>
      <c r="S28" s="6">
        <v>10</v>
      </c>
      <c r="T28" s="6">
        <v>0</v>
      </c>
      <c r="U28" s="6">
        <v>0</v>
      </c>
      <c r="V28" s="6">
        <f>IF(ISERROR(VLOOKUP($S$28,'TAR FIN'!$A$1:$O$85,15,0)),0,VLOOKUP($S$28,'TAR FIN'!$A$1:$O$85,15,0))</f>
        <v>34.08</v>
      </c>
      <c r="W28" s="6">
        <f>IF(ISERROR(VLOOKUP($T$28,'TAR FIN'!$A$1:$O$85,15,0)),0,VLOOKUP($T$28,'TAR FIN'!$A$1:$O$85,15,0))</f>
        <v>0</v>
      </c>
      <c r="X28" s="6">
        <f>IF(ISERROR(VLOOKUP($U$28,'TAR FIN'!$A$1:$O$85,15,0)),0,VLOOKUP($U$28,'TAR FIN'!$A$1:$O$85,15,0))</f>
        <v>0</v>
      </c>
      <c r="Y28" s="6">
        <f ca="1">('TUSD BE'!$AM$10+'TUSD BF'!$AM$10+'TUSD CVA'!$AM$10)*1</f>
        <v>46.049752913094459</v>
      </c>
      <c r="Z28" s="6"/>
      <c r="AA28" s="6"/>
      <c r="AB28" s="6">
        <f>$K$28*$V$28</f>
        <v>42122.879999999997</v>
      </c>
      <c r="AC28" s="6">
        <f>$M$28*$W$28</f>
        <v>0</v>
      </c>
      <c r="AD28" s="6">
        <f>$O$28*$X$28</f>
        <v>0</v>
      </c>
      <c r="AE28" s="6">
        <f ca="1">$K$28*$Y$28</f>
        <v>56917.494600584752</v>
      </c>
      <c r="AF28" s="6">
        <f>$M$28*$Z$28</f>
        <v>0</v>
      </c>
      <c r="AG28" s="6">
        <f>$O$28*$AA$28</f>
        <v>0</v>
      </c>
    </row>
    <row r="29" spans="1:33" ht="11.25" customHeight="1" x14ac:dyDescent="0.3">
      <c r="A29" s="4" t="s">
        <v>28</v>
      </c>
      <c r="B29" s="4" t="s">
        <v>39</v>
      </c>
      <c r="C29" s="4" t="s">
        <v>40</v>
      </c>
      <c r="D29" s="4" t="s">
        <v>41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44652</v>
      </c>
      <c r="J29" s="6">
        <v>70</v>
      </c>
      <c r="K29" s="6">
        <v>70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4" t="s">
        <v>26</v>
      </c>
      <c r="R29" s="4">
        <v>0</v>
      </c>
      <c r="S29" s="6">
        <v>10</v>
      </c>
      <c r="T29" s="6">
        <v>0</v>
      </c>
      <c r="U29" s="6">
        <v>0</v>
      </c>
      <c r="V29" s="6">
        <f>IF(ISERROR(VLOOKUP($S$29,'TAR FIN'!$A$1:$O$85,15,0)),0,VLOOKUP($S$29,'TAR FIN'!$A$1:$O$85,15,0))</f>
        <v>34.08</v>
      </c>
      <c r="W29" s="6">
        <f>IF(ISERROR(VLOOKUP($T$29,'TAR FIN'!$A$1:$O$85,15,0)),0,VLOOKUP($T$29,'TAR FIN'!$A$1:$O$85,15,0))</f>
        <v>0</v>
      </c>
      <c r="X29" s="6">
        <f>IF(ISERROR(VLOOKUP($U$29,'TAR FIN'!$A$1:$O$85,15,0)),0,VLOOKUP($U$29,'TAR FIN'!$A$1:$O$85,15,0))</f>
        <v>0</v>
      </c>
      <c r="Y29" s="6">
        <f ca="1">('TUSD BE'!$AM$10+'TUSD BF'!$AM$10+'TUSD CVA'!$AM$10)*1</f>
        <v>46.049752913094459</v>
      </c>
      <c r="Z29" s="6"/>
      <c r="AA29" s="6"/>
      <c r="AB29" s="6">
        <f>$K$29*$V$29</f>
        <v>2385.6</v>
      </c>
      <c r="AC29" s="6">
        <f>$M$29*$W$29</f>
        <v>0</v>
      </c>
      <c r="AD29" s="6">
        <f>$O$29*$X$29</f>
        <v>0</v>
      </c>
      <c r="AE29" s="6">
        <f ca="1">$K$29*$Y$29</f>
        <v>3223.4827039166121</v>
      </c>
      <c r="AF29" s="6">
        <f>$M$29*$Z$29</f>
        <v>0</v>
      </c>
      <c r="AG29" s="6">
        <f>$O$29*$AA$29</f>
        <v>0</v>
      </c>
    </row>
    <row r="30" spans="1:33" ht="11.25" customHeight="1" x14ac:dyDescent="0.3">
      <c r="A30" s="4" t="s">
        <v>21</v>
      </c>
      <c r="B30" s="4" t="s">
        <v>39</v>
      </c>
      <c r="C30" s="4" t="s">
        <v>40</v>
      </c>
      <c r="D30" s="4" t="s">
        <v>41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44682</v>
      </c>
      <c r="J30" s="6">
        <v>1230</v>
      </c>
      <c r="K30" s="6">
        <v>1230</v>
      </c>
      <c r="L30" s="6">
        <v>0</v>
      </c>
      <c r="M30" s="6">
        <v>0</v>
      </c>
      <c r="N30" s="6">
        <v>0</v>
      </c>
      <c r="O30" s="6">
        <v>0</v>
      </c>
      <c r="P30" s="6">
        <v>12</v>
      </c>
      <c r="Q30" s="4" t="s">
        <v>26</v>
      </c>
      <c r="R30" s="4">
        <v>0</v>
      </c>
      <c r="S30" s="6">
        <v>10</v>
      </c>
      <c r="T30" s="6">
        <v>0</v>
      </c>
      <c r="U30" s="6">
        <v>0</v>
      </c>
      <c r="V30" s="6">
        <f>IF(ISERROR(VLOOKUP($S$30,'TAR FIN'!$A$1:$O$85,15,0)),0,VLOOKUP($S$30,'TAR FIN'!$A$1:$O$85,15,0))</f>
        <v>34.08</v>
      </c>
      <c r="W30" s="6">
        <f>IF(ISERROR(VLOOKUP($T$30,'TAR FIN'!$A$1:$O$85,15,0)),0,VLOOKUP($T$30,'TAR FIN'!$A$1:$O$85,15,0))</f>
        <v>0</v>
      </c>
      <c r="X30" s="6">
        <f>IF(ISERROR(VLOOKUP($U$30,'TAR FIN'!$A$1:$O$85,15,0)),0,VLOOKUP($U$30,'TAR FIN'!$A$1:$O$85,15,0))</f>
        <v>0</v>
      </c>
      <c r="Y30" s="6">
        <f ca="1">('TUSD BE'!$AM$10+'TUSD BF'!$AM$10+'TUSD CVA'!$AM$10)*1</f>
        <v>46.049752913094459</v>
      </c>
      <c r="Z30" s="6"/>
      <c r="AA30" s="6"/>
      <c r="AB30" s="6">
        <f>$K$30*$V$30</f>
        <v>41918.400000000001</v>
      </c>
      <c r="AC30" s="6">
        <f>$M$30*$W$30</f>
        <v>0</v>
      </c>
      <c r="AD30" s="6">
        <f>$O$30*$X$30</f>
        <v>0</v>
      </c>
      <c r="AE30" s="6">
        <f ca="1">$K$30*$Y$30</f>
        <v>56641.196083106181</v>
      </c>
      <c r="AF30" s="6">
        <f>$M$30*$Z$30</f>
        <v>0</v>
      </c>
      <c r="AG30" s="6">
        <f>$O$30*$AA$30</f>
        <v>0</v>
      </c>
    </row>
    <row r="31" spans="1:33" ht="11.25" customHeight="1" x14ac:dyDescent="0.3">
      <c r="A31" s="4" t="s">
        <v>28</v>
      </c>
      <c r="B31" s="4" t="s">
        <v>39</v>
      </c>
      <c r="C31" s="4" t="s">
        <v>40</v>
      </c>
      <c r="D31" s="4" t="s">
        <v>41</v>
      </c>
      <c r="E31" s="4" t="s">
        <v>25</v>
      </c>
      <c r="F31" s="4" t="s">
        <v>25</v>
      </c>
      <c r="G31" s="4" t="s">
        <v>25</v>
      </c>
      <c r="H31" s="4" t="s">
        <v>25</v>
      </c>
      <c r="I31" s="5">
        <v>44682</v>
      </c>
      <c r="J31" s="6">
        <v>78</v>
      </c>
      <c r="K31" s="6">
        <v>78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4" t="s">
        <v>26</v>
      </c>
      <c r="R31" s="4">
        <v>0</v>
      </c>
      <c r="S31" s="6">
        <v>10</v>
      </c>
      <c r="T31" s="6">
        <v>0</v>
      </c>
      <c r="U31" s="6">
        <v>0</v>
      </c>
      <c r="V31" s="6">
        <f>IF(ISERROR(VLOOKUP($S$31,'TAR FIN'!$A$1:$O$85,15,0)),0,VLOOKUP($S$31,'TAR FIN'!$A$1:$O$85,15,0))</f>
        <v>34.08</v>
      </c>
      <c r="W31" s="6">
        <f>IF(ISERROR(VLOOKUP($T$31,'TAR FIN'!$A$1:$O$85,15,0)),0,VLOOKUP($T$31,'TAR FIN'!$A$1:$O$85,15,0))</f>
        <v>0</v>
      </c>
      <c r="X31" s="6">
        <f>IF(ISERROR(VLOOKUP($U$31,'TAR FIN'!$A$1:$O$85,15,0)),0,VLOOKUP($U$31,'TAR FIN'!$A$1:$O$85,15,0))</f>
        <v>0</v>
      </c>
      <c r="Y31" s="6">
        <f ca="1">('TUSD BE'!$AM$10+'TUSD BF'!$AM$10+'TUSD CVA'!$AM$10)*1</f>
        <v>46.049752913094459</v>
      </c>
      <c r="Z31" s="6"/>
      <c r="AA31" s="6"/>
      <c r="AB31" s="6">
        <f>$K$31*$V$31</f>
        <v>2658.24</v>
      </c>
      <c r="AC31" s="6">
        <f>$M$31*$W$31</f>
        <v>0</v>
      </c>
      <c r="AD31" s="6">
        <f>$O$31*$X$31</f>
        <v>0</v>
      </c>
      <c r="AE31" s="6">
        <f ca="1">$K$31*$Y$31</f>
        <v>3591.8807272213676</v>
      </c>
      <c r="AF31" s="6">
        <f>$M$31*$Z$31</f>
        <v>0</v>
      </c>
      <c r="AG31" s="6">
        <f>$O$31*$AA$31</f>
        <v>0</v>
      </c>
    </row>
    <row r="32" spans="1:33" ht="11.25" customHeight="1" x14ac:dyDescent="0.3">
      <c r="A32" s="4" t="s">
        <v>21</v>
      </c>
      <c r="B32" s="4" t="s">
        <v>39</v>
      </c>
      <c r="C32" s="4" t="s">
        <v>40</v>
      </c>
      <c r="D32" s="4" t="s">
        <v>41</v>
      </c>
      <c r="E32" s="4" t="s">
        <v>25</v>
      </c>
      <c r="F32" s="4" t="s">
        <v>25</v>
      </c>
      <c r="G32" s="4" t="s">
        <v>25</v>
      </c>
      <c r="H32" s="4" t="s">
        <v>25</v>
      </c>
      <c r="I32" s="5">
        <v>44713</v>
      </c>
      <c r="J32" s="6">
        <v>1229</v>
      </c>
      <c r="K32" s="6">
        <v>1229</v>
      </c>
      <c r="L32" s="6">
        <v>0</v>
      </c>
      <c r="M32" s="6">
        <v>0</v>
      </c>
      <c r="N32" s="6">
        <v>0</v>
      </c>
      <c r="O32" s="6">
        <v>0</v>
      </c>
      <c r="P32" s="6">
        <v>12</v>
      </c>
      <c r="Q32" s="4" t="s">
        <v>26</v>
      </c>
      <c r="R32" s="4">
        <v>0</v>
      </c>
      <c r="S32" s="6">
        <v>10</v>
      </c>
      <c r="T32" s="6">
        <v>0</v>
      </c>
      <c r="U32" s="6">
        <v>0</v>
      </c>
      <c r="V32" s="6">
        <f>IF(ISERROR(VLOOKUP($S$32,'TAR FIN'!$A$1:$O$85,15,0)),0,VLOOKUP($S$32,'TAR FIN'!$A$1:$O$85,15,0))</f>
        <v>34.08</v>
      </c>
      <c r="W32" s="6">
        <f>IF(ISERROR(VLOOKUP($T$32,'TAR FIN'!$A$1:$O$85,15,0)),0,VLOOKUP($T$32,'TAR FIN'!$A$1:$O$85,15,0))</f>
        <v>0</v>
      </c>
      <c r="X32" s="6">
        <f>IF(ISERROR(VLOOKUP($U$32,'TAR FIN'!$A$1:$O$85,15,0)),0,VLOOKUP($U$32,'TAR FIN'!$A$1:$O$85,15,0))</f>
        <v>0</v>
      </c>
      <c r="Y32" s="6">
        <f ca="1">('TUSD BE'!$AM$10+'TUSD BF'!$AM$10+'TUSD CVA'!$AM$10)*1</f>
        <v>46.049752913094459</v>
      </c>
      <c r="Z32" s="6"/>
      <c r="AA32" s="6"/>
      <c r="AB32" s="6">
        <f>$K$32*$V$32</f>
        <v>41884.32</v>
      </c>
      <c r="AC32" s="6">
        <f>$M$32*$W$32</f>
        <v>0</v>
      </c>
      <c r="AD32" s="6">
        <f>$O$32*$X$32</f>
        <v>0</v>
      </c>
      <c r="AE32" s="6">
        <f ca="1">$K$32*$Y$32</f>
        <v>56595.146330193093</v>
      </c>
      <c r="AF32" s="6">
        <f>$M$32*$Z$32</f>
        <v>0</v>
      </c>
      <c r="AG32" s="6">
        <f>$O$32*$AA$32</f>
        <v>0</v>
      </c>
    </row>
    <row r="33" spans="1:33" ht="11.25" customHeight="1" x14ac:dyDescent="0.3">
      <c r="A33" s="4" t="s">
        <v>28</v>
      </c>
      <c r="B33" s="4" t="s">
        <v>39</v>
      </c>
      <c r="C33" s="4" t="s">
        <v>40</v>
      </c>
      <c r="D33" s="4" t="s">
        <v>41</v>
      </c>
      <c r="E33" s="4" t="s">
        <v>25</v>
      </c>
      <c r="F33" s="4" t="s">
        <v>25</v>
      </c>
      <c r="G33" s="4" t="s">
        <v>25</v>
      </c>
      <c r="H33" s="4" t="s">
        <v>25</v>
      </c>
      <c r="I33" s="5">
        <v>44713</v>
      </c>
      <c r="J33" s="6">
        <v>74</v>
      </c>
      <c r="K33" s="6">
        <v>74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26</v>
      </c>
      <c r="R33" s="4">
        <v>0</v>
      </c>
      <c r="S33" s="6">
        <v>10</v>
      </c>
      <c r="T33" s="6">
        <v>0</v>
      </c>
      <c r="U33" s="6">
        <v>0</v>
      </c>
      <c r="V33" s="6">
        <f>IF(ISERROR(VLOOKUP($S$33,'TAR FIN'!$A$1:$O$85,15,0)),0,VLOOKUP($S$33,'TAR FIN'!$A$1:$O$85,15,0))</f>
        <v>34.08</v>
      </c>
      <c r="W33" s="6">
        <f>IF(ISERROR(VLOOKUP($T$33,'TAR FIN'!$A$1:$O$85,15,0)),0,VLOOKUP($T$33,'TAR FIN'!$A$1:$O$85,15,0))</f>
        <v>0</v>
      </c>
      <c r="X33" s="6">
        <f>IF(ISERROR(VLOOKUP($U$33,'TAR FIN'!$A$1:$O$85,15,0)),0,VLOOKUP($U$33,'TAR FIN'!$A$1:$O$85,15,0))</f>
        <v>0</v>
      </c>
      <c r="Y33" s="6">
        <f ca="1">('TUSD BE'!$AM$10+'TUSD BF'!$AM$10+'TUSD CVA'!$AM$10)*1</f>
        <v>46.049752913094459</v>
      </c>
      <c r="Z33" s="6"/>
      <c r="AA33" s="6"/>
      <c r="AB33" s="6">
        <f>$K$33*$V$33</f>
        <v>2521.92</v>
      </c>
      <c r="AC33" s="6">
        <f>$M$33*$W$33</f>
        <v>0</v>
      </c>
      <c r="AD33" s="6">
        <f>$O$33*$X$33</f>
        <v>0</v>
      </c>
      <c r="AE33" s="6">
        <f ca="1">$K$33*$Y$33</f>
        <v>3407.6817155689901</v>
      </c>
      <c r="AF33" s="6">
        <f>$M$33*$Z$33</f>
        <v>0</v>
      </c>
      <c r="AG33" s="6">
        <f>$O$33*$AA$33</f>
        <v>0</v>
      </c>
    </row>
    <row r="34" spans="1:33" ht="11.25" customHeight="1" x14ac:dyDescent="0.3">
      <c r="A34" s="4" t="s">
        <v>21</v>
      </c>
      <c r="B34" s="4" t="s">
        <v>39</v>
      </c>
      <c r="C34" s="4" t="s">
        <v>40</v>
      </c>
      <c r="D34" s="4" t="s">
        <v>41</v>
      </c>
      <c r="E34" s="4" t="s">
        <v>25</v>
      </c>
      <c r="F34" s="4" t="s">
        <v>25</v>
      </c>
      <c r="G34" s="4" t="s">
        <v>25</v>
      </c>
      <c r="H34" s="4" t="s">
        <v>25</v>
      </c>
      <c r="I34" s="5">
        <v>44743</v>
      </c>
      <c r="J34" s="6">
        <v>1232</v>
      </c>
      <c r="K34" s="6">
        <v>1232</v>
      </c>
      <c r="L34" s="6">
        <v>0</v>
      </c>
      <c r="M34" s="6">
        <v>0</v>
      </c>
      <c r="N34" s="6">
        <v>0</v>
      </c>
      <c r="O34" s="6">
        <v>0</v>
      </c>
      <c r="P34" s="6">
        <v>12</v>
      </c>
      <c r="Q34" s="4" t="s">
        <v>26</v>
      </c>
      <c r="R34" s="4">
        <v>0</v>
      </c>
      <c r="S34" s="6">
        <v>10</v>
      </c>
      <c r="T34" s="6">
        <v>0</v>
      </c>
      <c r="U34" s="6">
        <v>0</v>
      </c>
      <c r="V34" s="6">
        <f>IF(ISERROR(VLOOKUP($S$34,'TAR FIN'!$A$1:$O$85,15,0)),0,VLOOKUP($S$34,'TAR FIN'!$A$1:$O$85,15,0))</f>
        <v>34.08</v>
      </c>
      <c r="W34" s="6">
        <f>IF(ISERROR(VLOOKUP($T$34,'TAR FIN'!$A$1:$O$85,15,0)),0,VLOOKUP($T$34,'TAR FIN'!$A$1:$O$85,15,0))</f>
        <v>0</v>
      </c>
      <c r="X34" s="6">
        <f>IF(ISERROR(VLOOKUP($U$34,'TAR FIN'!$A$1:$O$85,15,0)),0,VLOOKUP($U$34,'TAR FIN'!$A$1:$O$85,15,0))</f>
        <v>0</v>
      </c>
      <c r="Y34" s="6">
        <f ca="1">('TUSD BE'!$AM$10+'TUSD BF'!$AM$10+'TUSD CVA'!$AM$10)*1</f>
        <v>46.049752913094459</v>
      </c>
      <c r="Z34" s="6"/>
      <c r="AA34" s="6"/>
      <c r="AB34" s="6">
        <f>$K$34*$V$34</f>
        <v>41986.559999999998</v>
      </c>
      <c r="AC34" s="6">
        <f>$M$34*$W$34</f>
        <v>0</v>
      </c>
      <c r="AD34" s="6">
        <f>$O$34*$X$34</f>
        <v>0</v>
      </c>
      <c r="AE34" s="6">
        <f ca="1">$K$34*$Y$34</f>
        <v>56733.295588932371</v>
      </c>
      <c r="AF34" s="6">
        <f>$M$34*$Z$34</f>
        <v>0</v>
      </c>
      <c r="AG34" s="6">
        <f>$O$34*$AA$34</f>
        <v>0</v>
      </c>
    </row>
    <row r="35" spans="1:33" ht="11.25" customHeight="1" x14ac:dyDescent="0.3">
      <c r="A35" s="4" t="s">
        <v>28</v>
      </c>
      <c r="B35" s="4" t="s">
        <v>39</v>
      </c>
      <c r="C35" s="4" t="s">
        <v>40</v>
      </c>
      <c r="D35" s="4" t="s">
        <v>41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44743</v>
      </c>
      <c r="J35" s="6">
        <v>91</v>
      </c>
      <c r="K35" s="6">
        <v>91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26</v>
      </c>
      <c r="R35" s="4">
        <v>0</v>
      </c>
      <c r="S35" s="6">
        <v>10</v>
      </c>
      <c r="T35" s="6">
        <v>0</v>
      </c>
      <c r="U35" s="6">
        <v>0</v>
      </c>
      <c r="V35" s="6">
        <f>IF(ISERROR(VLOOKUP($S$35,'TAR FIN'!$A$1:$O$85,15,0)),0,VLOOKUP($S$35,'TAR FIN'!$A$1:$O$85,15,0))</f>
        <v>34.08</v>
      </c>
      <c r="W35" s="6">
        <f>IF(ISERROR(VLOOKUP($T$35,'TAR FIN'!$A$1:$O$85,15,0)),0,VLOOKUP($T$35,'TAR FIN'!$A$1:$O$85,15,0))</f>
        <v>0</v>
      </c>
      <c r="X35" s="6">
        <f>IF(ISERROR(VLOOKUP($U$35,'TAR FIN'!$A$1:$O$85,15,0)),0,VLOOKUP($U$35,'TAR FIN'!$A$1:$O$85,15,0))</f>
        <v>0</v>
      </c>
      <c r="Y35" s="6">
        <f ca="1">('TUSD BE'!$AM$10+'TUSD BF'!$AM$10+'TUSD CVA'!$AM$10)*1</f>
        <v>46.049752913094459</v>
      </c>
      <c r="Z35" s="6"/>
      <c r="AA35" s="6"/>
      <c r="AB35" s="6">
        <f>$K$35*$V$35</f>
        <v>3101.2799999999997</v>
      </c>
      <c r="AC35" s="6">
        <f>$M$35*$W$35</f>
        <v>0</v>
      </c>
      <c r="AD35" s="6">
        <f>$O$35*$X$35</f>
        <v>0</v>
      </c>
      <c r="AE35" s="6">
        <f ca="1">$K$35*$Y$35</f>
        <v>4190.5275150915959</v>
      </c>
      <c r="AF35" s="6">
        <f>$M$35*$Z$35</f>
        <v>0</v>
      </c>
      <c r="AG35" s="6">
        <f>$O$35*$AA$35</f>
        <v>0</v>
      </c>
    </row>
    <row r="36" spans="1:33" ht="11.25" customHeight="1" x14ac:dyDescent="0.3">
      <c r="A36" s="4" t="s">
        <v>21</v>
      </c>
      <c r="B36" s="4" t="s">
        <v>39</v>
      </c>
      <c r="C36" s="4" t="s">
        <v>40</v>
      </c>
      <c r="D36" s="4" t="s">
        <v>41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44774</v>
      </c>
      <c r="J36" s="6">
        <v>1228</v>
      </c>
      <c r="K36" s="6">
        <v>1228</v>
      </c>
      <c r="L36" s="6">
        <v>0</v>
      </c>
      <c r="M36" s="6">
        <v>0</v>
      </c>
      <c r="N36" s="6">
        <v>0</v>
      </c>
      <c r="O36" s="6">
        <v>0</v>
      </c>
      <c r="P36" s="6">
        <v>12</v>
      </c>
      <c r="Q36" s="4" t="s">
        <v>26</v>
      </c>
      <c r="R36" s="4">
        <v>0</v>
      </c>
      <c r="S36" s="6">
        <v>10</v>
      </c>
      <c r="T36" s="6">
        <v>0</v>
      </c>
      <c r="U36" s="6">
        <v>0</v>
      </c>
      <c r="V36" s="6">
        <f>IF(ISERROR(VLOOKUP($S$36,'TAR FIN'!$A$1:$O$85,15,0)),0,VLOOKUP($S$36,'TAR FIN'!$A$1:$O$85,15,0))</f>
        <v>34.08</v>
      </c>
      <c r="W36" s="6">
        <f>IF(ISERROR(VLOOKUP($T$36,'TAR FIN'!$A$1:$O$85,15,0)),0,VLOOKUP($T$36,'TAR FIN'!$A$1:$O$85,15,0))</f>
        <v>0</v>
      </c>
      <c r="X36" s="6">
        <f>IF(ISERROR(VLOOKUP($U$36,'TAR FIN'!$A$1:$O$85,15,0)),0,VLOOKUP($U$36,'TAR FIN'!$A$1:$O$85,15,0))</f>
        <v>0</v>
      </c>
      <c r="Y36" s="6">
        <f ca="1">('TUSD BE'!$AM$10+'TUSD BF'!$AM$10+'TUSD CVA'!$AM$10)*1</f>
        <v>46.049752913094459</v>
      </c>
      <c r="Z36" s="6"/>
      <c r="AA36" s="6"/>
      <c r="AB36" s="6">
        <f>$K$36*$V$36</f>
        <v>41850.239999999998</v>
      </c>
      <c r="AC36" s="6">
        <f>$M$36*$W$36</f>
        <v>0</v>
      </c>
      <c r="AD36" s="6">
        <f>$O$36*$X$36</f>
        <v>0</v>
      </c>
      <c r="AE36" s="6">
        <f ca="1">$K$36*$Y$36</f>
        <v>56549.096577279997</v>
      </c>
      <c r="AF36" s="6">
        <f>$M$36*$Z$36</f>
        <v>0</v>
      </c>
      <c r="AG36" s="6">
        <f>$O$36*$AA$36</f>
        <v>0</v>
      </c>
    </row>
    <row r="37" spans="1:33" ht="11.25" customHeight="1" x14ac:dyDescent="0.3">
      <c r="A37" s="4" t="s">
        <v>28</v>
      </c>
      <c r="B37" s="4" t="s">
        <v>39</v>
      </c>
      <c r="C37" s="4" t="s">
        <v>40</v>
      </c>
      <c r="D37" s="4" t="s">
        <v>41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44774</v>
      </c>
      <c r="J37" s="6">
        <v>75</v>
      </c>
      <c r="K37" s="6">
        <v>75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4" t="s">
        <v>26</v>
      </c>
      <c r="R37" s="4">
        <v>0</v>
      </c>
      <c r="S37" s="6">
        <v>10</v>
      </c>
      <c r="T37" s="6">
        <v>0</v>
      </c>
      <c r="U37" s="6">
        <v>0</v>
      </c>
      <c r="V37" s="6">
        <f>IF(ISERROR(VLOOKUP($S$37,'TAR FIN'!$A$1:$O$85,15,0)),0,VLOOKUP($S$37,'TAR FIN'!$A$1:$O$85,15,0))</f>
        <v>34.08</v>
      </c>
      <c r="W37" s="6">
        <f>IF(ISERROR(VLOOKUP($T$37,'TAR FIN'!$A$1:$O$85,15,0)),0,VLOOKUP($T$37,'TAR FIN'!$A$1:$O$85,15,0))</f>
        <v>0</v>
      </c>
      <c r="X37" s="6">
        <f>IF(ISERROR(VLOOKUP($U$37,'TAR FIN'!$A$1:$O$85,15,0)),0,VLOOKUP($U$37,'TAR FIN'!$A$1:$O$85,15,0))</f>
        <v>0</v>
      </c>
      <c r="Y37" s="6">
        <f ca="1">('TUSD BE'!$AM$10+'TUSD BF'!$AM$10+'TUSD CVA'!$AM$10)*1</f>
        <v>46.049752913094459</v>
      </c>
      <c r="Z37" s="6"/>
      <c r="AA37" s="6"/>
      <c r="AB37" s="6">
        <f>$K$37*$V$37</f>
        <v>2556</v>
      </c>
      <c r="AC37" s="6">
        <f>$M$37*$W$37</f>
        <v>0</v>
      </c>
      <c r="AD37" s="6">
        <f>$O$37*$X$37</f>
        <v>0</v>
      </c>
      <c r="AE37" s="6">
        <f ca="1">$K$37*$Y$37</f>
        <v>3453.7314684820844</v>
      </c>
      <c r="AF37" s="6">
        <f>$M$37*$Z$37</f>
        <v>0</v>
      </c>
      <c r="AG37" s="6">
        <f>$O$37*$AA$37</f>
        <v>0</v>
      </c>
    </row>
    <row r="38" spans="1:33" ht="11.25" customHeight="1" x14ac:dyDescent="0.3">
      <c r="A38" s="4" t="s">
        <v>21</v>
      </c>
      <c r="B38" s="4" t="s">
        <v>39</v>
      </c>
      <c r="C38" s="4" t="s">
        <v>40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34</v>
      </c>
      <c r="I38" s="5">
        <v>44440</v>
      </c>
      <c r="J38" s="6">
        <v>0</v>
      </c>
      <c r="K38" s="6">
        <v>0</v>
      </c>
      <c r="L38" s="6">
        <v>7.4359999999999999</v>
      </c>
      <c r="M38" s="6">
        <v>7.4359999999999999</v>
      </c>
      <c r="N38" s="6">
        <v>7.4359999999999999</v>
      </c>
      <c r="O38" s="6">
        <v>7.4359999999999999</v>
      </c>
      <c r="P38" s="6">
        <v>0</v>
      </c>
      <c r="Q38" s="4" t="s">
        <v>26</v>
      </c>
      <c r="R38" s="4">
        <v>0</v>
      </c>
      <c r="S38" s="6">
        <v>0</v>
      </c>
      <c r="T38" s="6">
        <v>23</v>
      </c>
      <c r="U38" s="6">
        <v>25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2545.94</v>
      </c>
      <c r="X38" s="6">
        <f>IF(ISERROR(VLOOKUP($U$38,'TAR FIN'!$A$1:$O$85,15,0)),0,VLOOKUP($U$38,'TAR FIN'!$A$1:$O$85,15,0))</f>
        <v>223.07</v>
      </c>
      <c r="Y38" s="6"/>
      <c r="Z38" s="6">
        <f ca="1">('TUSD BE'!$AM$11+'TUSD BF'!$AM$11+'TUSD CVA'!$AM$11)*1</f>
        <v>3597.960494353159</v>
      </c>
      <c r="AA38" s="6">
        <f>('TE BE'!$AB$5+'TE BF'!$AB$5+'TE CVA'!$AB$5)*1</f>
        <v>77.958364182443049</v>
      </c>
      <c r="AB38" s="6">
        <f>$K$38*$V$38</f>
        <v>0</v>
      </c>
      <c r="AC38" s="6">
        <f>$M$38*$W$38</f>
        <v>18931.609840000001</v>
      </c>
      <c r="AD38" s="6">
        <f>$O$38*$X$38</f>
        <v>1658.7485199999999</v>
      </c>
      <c r="AE38" s="6">
        <f>$K$38*$Y$38</f>
        <v>0</v>
      </c>
      <c r="AF38" s="6">
        <f ca="1">$M$38*$Z$38</f>
        <v>26754.434236010089</v>
      </c>
      <c r="AG38" s="6">
        <f>$O$38*$AA$38</f>
        <v>579.69839606064647</v>
      </c>
    </row>
    <row r="39" spans="1:33" ht="11.25" customHeight="1" x14ac:dyDescent="0.3">
      <c r="A39" s="4" t="s">
        <v>21</v>
      </c>
      <c r="B39" s="4" t="s">
        <v>39</v>
      </c>
      <c r="C39" s="4" t="s">
        <v>40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34</v>
      </c>
      <c r="I39" s="5">
        <v>44470</v>
      </c>
      <c r="J39" s="6">
        <v>0</v>
      </c>
      <c r="K39" s="6">
        <v>0</v>
      </c>
      <c r="L39" s="6">
        <v>7.6539999999999999</v>
      </c>
      <c r="M39" s="6">
        <v>7.6539999999999999</v>
      </c>
      <c r="N39" s="6">
        <v>7.6539999999999999</v>
      </c>
      <c r="O39" s="6">
        <v>7.6539999999999999</v>
      </c>
      <c r="P39" s="6">
        <v>0</v>
      </c>
      <c r="Q39" s="4" t="s">
        <v>26</v>
      </c>
      <c r="R39" s="4">
        <v>0</v>
      </c>
      <c r="S39" s="6">
        <v>0</v>
      </c>
      <c r="T39" s="6">
        <v>23</v>
      </c>
      <c r="U39" s="6">
        <v>25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2545.94</v>
      </c>
      <c r="X39" s="6">
        <f>IF(ISERROR(VLOOKUP($U$39,'TAR FIN'!$A$1:$O$85,15,0)),0,VLOOKUP($U$39,'TAR FIN'!$A$1:$O$85,15,0))</f>
        <v>223.07</v>
      </c>
      <c r="Y39" s="6"/>
      <c r="Z39" s="6">
        <f ca="1">('TUSD BE'!$AM$11+'TUSD BF'!$AM$11+'TUSD CVA'!$AM$11)*1</f>
        <v>3597.960494353159</v>
      </c>
      <c r="AA39" s="6">
        <f>('TE BE'!$AB$5+'TE BF'!$AB$5+'TE CVA'!$AB$5)*1</f>
        <v>77.958364182443049</v>
      </c>
      <c r="AB39" s="6">
        <f>$K$39*$V$39</f>
        <v>0</v>
      </c>
      <c r="AC39" s="6">
        <f>$M$39*$W$39</f>
        <v>19486.624759999999</v>
      </c>
      <c r="AD39" s="6">
        <f>$O$39*$X$39</f>
        <v>1707.37778</v>
      </c>
      <c r="AE39" s="6">
        <f>$K$39*$Y$39</f>
        <v>0</v>
      </c>
      <c r="AF39" s="6">
        <f ca="1">$M$39*$Z$39</f>
        <v>27538.789623779077</v>
      </c>
      <c r="AG39" s="6">
        <f>$O$39*$AA$39</f>
        <v>596.69331945241913</v>
      </c>
    </row>
    <row r="40" spans="1:33" ht="11.25" customHeight="1" x14ac:dyDescent="0.3">
      <c r="A40" s="4" t="s">
        <v>21</v>
      </c>
      <c r="B40" s="4" t="s">
        <v>39</v>
      </c>
      <c r="C40" s="4" t="s">
        <v>40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34</v>
      </c>
      <c r="I40" s="5">
        <v>44501</v>
      </c>
      <c r="J40" s="6">
        <v>0</v>
      </c>
      <c r="K40" s="6">
        <v>0</v>
      </c>
      <c r="L40" s="6">
        <v>11.316000000000001</v>
      </c>
      <c r="M40" s="6">
        <v>11.316000000000001</v>
      </c>
      <c r="N40" s="6">
        <v>11.316000000000001</v>
      </c>
      <c r="O40" s="6">
        <v>11.316000000000001</v>
      </c>
      <c r="P40" s="6">
        <v>0</v>
      </c>
      <c r="Q40" s="4" t="s">
        <v>26</v>
      </c>
      <c r="R40" s="4">
        <v>0</v>
      </c>
      <c r="S40" s="6">
        <v>0</v>
      </c>
      <c r="T40" s="6">
        <v>23</v>
      </c>
      <c r="U40" s="6">
        <v>25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2545.94</v>
      </c>
      <c r="X40" s="6">
        <f>IF(ISERROR(VLOOKUP($U$40,'TAR FIN'!$A$1:$O$85,15,0)),0,VLOOKUP($U$40,'TAR FIN'!$A$1:$O$85,15,0))</f>
        <v>223.07</v>
      </c>
      <c r="Y40" s="6"/>
      <c r="Z40" s="6">
        <f ca="1">('TUSD BE'!$AM$11+'TUSD BF'!$AM$11+'TUSD CVA'!$AM$11)*1</f>
        <v>3597.960494353159</v>
      </c>
      <c r="AA40" s="6">
        <f>('TE BE'!$AB$5+'TE BF'!$AB$5+'TE CVA'!$AB$5)*1</f>
        <v>77.958364182443049</v>
      </c>
      <c r="AB40" s="6">
        <f>$K$40*$V$40</f>
        <v>0</v>
      </c>
      <c r="AC40" s="6">
        <f>$M$40*$W$40</f>
        <v>28809.857040000003</v>
      </c>
      <c r="AD40" s="6">
        <f>$O$40*$X$40</f>
        <v>2524.2601199999999</v>
      </c>
      <c r="AE40" s="6">
        <f>$K$40*$Y$40</f>
        <v>0</v>
      </c>
      <c r="AF40" s="6">
        <f ca="1">$M$40*$Z$40</f>
        <v>40714.52095410035</v>
      </c>
      <c r="AG40" s="6">
        <f>$O$40*$AA$40</f>
        <v>882.17684908852561</v>
      </c>
    </row>
    <row r="41" spans="1:33" ht="11.25" customHeight="1" x14ac:dyDescent="0.3">
      <c r="A41" s="4" t="s">
        <v>21</v>
      </c>
      <c r="B41" s="4" t="s">
        <v>39</v>
      </c>
      <c r="C41" s="4" t="s">
        <v>40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34</v>
      </c>
      <c r="I41" s="5">
        <v>44531</v>
      </c>
      <c r="J41" s="6">
        <v>0</v>
      </c>
      <c r="K41" s="6">
        <v>0</v>
      </c>
      <c r="L41" s="6">
        <v>14.263999999999999</v>
      </c>
      <c r="M41" s="6">
        <v>14.263999999999999</v>
      </c>
      <c r="N41" s="6">
        <v>14.263999999999999</v>
      </c>
      <c r="O41" s="6">
        <v>14.263999999999999</v>
      </c>
      <c r="P41" s="6">
        <v>0</v>
      </c>
      <c r="Q41" s="4" t="s">
        <v>26</v>
      </c>
      <c r="R41" s="4">
        <v>0</v>
      </c>
      <c r="S41" s="6">
        <v>0</v>
      </c>
      <c r="T41" s="6">
        <v>23</v>
      </c>
      <c r="U41" s="6">
        <v>25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2545.94</v>
      </c>
      <c r="X41" s="6">
        <f>IF(ISERROR(VLOOKUP($U$41,'TAR FIN'!$A$1:$O$85,15,0)),0,VLOOKUP($U$41,'TAR FIN'!$A$1:$O$85,15,0))</f>
        <v>223.07</v>
      </c>
      <c r="Y41" s="6"/>
      <c r="Z41" s="6">
        <f ca="1">('TUSD BE'!$AM$11+'TUSD BF'!$AM$11+'TUSD CVA'!$AM$11)*1</f>
        <v>3597.960494353159</v>
      </c>
      <c r="AA41" s="6">
        <f>('TE BE'!$AB$5+'TE BF'!$AB$5+'TE CVA'!$AB$5)*1</f>
        <v>77.958364182443049</v>
      </c>
      <c r="AB41" s="6">
        <f>$K$41*$V$41</f>
        <v>0</v>
      </c>
      <c r="AC41" s="6">
        <f>$M$41*$W$41</f>
        <v>36315.288159999996</v>
      </c>
      <c r="AD41" s="6">
        <f>$O$41*$X$41</f>
        <v>3181.8704799999996</v>
      </c>
      <c r="AE41" s="6">
        <f>$K$41*$Y$41</f>
        <v>0</v>
      </c>
      <c r="AF41" s="6">
        <f ca="1">$M$41*$Z$41</f>
        <v>51321.308491453456</v>
      </c>
      <c r="AG41" s="6">
        <f>$O$41*$AA$41</f>
        <v>1111.9981066983676</v>
      </c>
    </row>
    <row r="42" spans="1:33" ht="11.25" customHeight="1" x14ac:dyDescent="0.3">
      <c r="A42" s="4" t="s">
        <v>21</v>
      </c>
      <c r="B42" s="4" t="s">
        <v>39</v>
      </c>
      <c r="C42" s="4" t="s">
        <v>40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34</v>
      </c>
      <c r="I42" s="5">
        <v>44562</v>
      </c>
      <c r="J42" s="6">
        <v>0</v>
      </c>
      <c r="K42" s="6">
        <v>0</v>
      </c>
      <c r="L42" s="6">
        <v>11.019</v>
      </c>
      <c r="M42" s="6">
        <v>11.019</v>
      </c>
      <c r="N42" s="6">
        <v>11.019</v>
      </c>
      <c r="O42" s="6">
        <v>11.019</v>
      </c>
      <c r="P42" s="6">
        <v>0</v>
      </c>
      <c r="Q42" s="4" t="s">
        <v>26</v>
      </c>
      <c r="R42" s="4">
        <v>0</v>
      </c>
      <c r="S42" s="6">
        <v>0</v>
      </c>
      <c r="T42" s="6">
        <v>23</v>
      </c>
      <c r="U42" s="6">
        <v>25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2545.94</v>
      </c>
      <c r="X42" s="6">
        <f>IF(ISERROR(VLOOKUP($U$42,'TAR FIN'!$A$1:$O$85,15,0)),0,VLOOKUP($U$42,'TAR FIN'!$A$1:$O$85,15,0))</f>
        <v>223.07</v>
      </c>
      <c r="Y42" s="6"/>
      <c r="Z42" s="6">
        <f ca="1">('TUSD BE'!$AM$11+'TUSD BF'!$AM$11+'TUSD CVA'!$AM$11)*1</f>
        <v>3597.960494353159</v>
      </c>
      <c r="AA42" s="6">
        <f>('TE BE'!$AB$5+'TE BF'!$AB$5+'TE CVA'!$AB$5)*1</f>
        <v>77.958364182443049</v>
      </c>
      <c r="AB42" s="6">
        <f>$K$42*$V$42</f>
        <v>0</v>
      </c>
      <c r="AC42" s="6">
        <f>$M$42*$W$42</f>
        <v>28053.71286</v>
      </c>
      <c r="AD42" s="6">
        <f>$O$42*$X$42</f>
        <v>2458.0083300000001</v>
      </c>
      <c r="AE42" s="6">
        <f>$K$42*$Y$42</f>
        <v>0</v>
      </c>
      <c r="AF42" s="6">
        <f ca="1">$M$42*$Z$42</f>
        <v>39645.926687277461</v>
      </c>
      <c r="AG42" s="6">
        <f>$O$42*$AA$42</f>
        <v>859.02321492633996</v>
      </c>
    </row>
    <row r="43" spans="1:33" ht="11.25" customHeight="1" x14ac:dyDescent="0.3">
      <c r="A43" s="4" t="s">
        <v>21</v>
      </c>
      <c r="B43" s="4" t="s">
        <v>39</v>
      </c>
      <c r="C43" s="4" t="s">
        <v>40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34</v>
      </c>
      <c r="I43" s="5">
        <v>44593</v>
      </c>
      <c r="J43" s="6">
        <v>0</v>
      </c>
      <c r="K43" s="6">
        <v>0</v>
      </c>
      <c r="L43" s="6">
        <v>9.9260000000000002</v>
      </c>
      <c r="M43" s="6">
        <v>9.9260000000000002</v>
      </c>
      <c r="N43" s="6">
        <v>9.9260000000000002</v>
      </c>
      <c r="O43" s="6">
        <v>9.9260000000000002</v>
      </c>
      <c r="P43" s="6">
        <v>0</v>
      </c>
      <c r="Q43" s="4" t="s">
        <v>26</v>
      </c>
      <c r="R43" s="4">
        <v>0</v>
      </c>
      <c r="S43" s="6">
        <v>0</v>
      </c>
      <c r="T43" s="6">
        <v>23</v>
      </c>
      <c r="U43" s="6">
        <v>25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2545.94</v>
      </c>
      <c r="X43" s="6">
        <f>IF(ISERROR(VLOOKUP($U$43,'TAR FIN'!$A$1:$O$85,15,0)),0,VLOOKUP($U$43,'TAR FIN'!$A$1:$O$85,15,0))</f>
        <v>223.07</v>
      </c>
      <c r="Y43" s="6"/>
      <c r="Z43" s="6">
        <f ca="1">('TUSD BE'!$AM$11+'TUSD BF'!$AM$11+'TUSD CVA'!$AM$11)*1</f>
        <v>3597.960494353159</v>
      </c>
      <c r="AA43" s="6">
        <f>('TE BE'!$AB$5+'TE BF'!$AB$5+'TE CVA'!$AB$5)*1</f>
        <v>77.958364182443049</v>
      </c>
      <c r="AB43" s="6">
        <f>$K$43*$V$43</f>
        <v>0</v>
      </c>
      <c r="AC43" s="6">
        <f>$M$43*$W$43</f>
        <v>25271.00044</v>
      </c>
      <c r="AD43" s="6">
        <f>$O$43*$X$43</f>
        <v>2214.1928199999998</v>
      </c>
      <c r="AE43" s="6">
        <f>$K$43*$Y$43</f>
        <v>0</v>
      </c>
      <c r="AF43" s="6">
        <f ca="1">$M$43*$Z$43</f>
        <v>35713.35586694946</v>
      </c>
      <c r="AG43" s="6">
        <f>$O$43*$AA$43</f>
        <v>773.81472287492966</v>
      </c>
    </row>
    <row r="44" spans="1:33" ht="11.25" customHeight="1" x14ac:dyDescent="0.3">
      <c r="A44" s="4" t="s">
        <v>21</v>
      </c>
      <c r="B44" s="4" t="s">
        <v>39</v>
      </c>
      <c r="C44" s="4" t="s">
        <v>40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34</v>
      </c>
      <c r="I44" s="5">
        <v>44621</v>
      </c>
      <c r="J44" s="6">
        <v>0</v>
      </c>
      <c r="K44" s="6">
        <v>0</v>
      </c>
      <c r="L44" s="6">
        <v>6.8</v>
      </c>
      <c r="M44" s="6">
        <v>6.8</v>
      </c>
      <c r="N44" s="6">
        <v>6.8</v>
      </c>
      <c r="O44" s="6">
        <v>6.8</v>
      </c>
      <c r="P44" s="6">
        <v>0</v>
      </c>
      <c r="Q44" s="4" t="s">
        <v>26</v>
      </c>
      <c r="R44" s="4">
        <v>0</v>
      </c>
      <c r="S44" s="6">
        <v>0</v>
      </c>
      <c r="T44" s="6">
        <v>23</v>
      </c>
      <c r="U44" s="6">
        <v>25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2545.94</v>
      </c>
      <c r="X44" s="6">
        <f>IF(ISERROR(VLOOKUP($U$44,'TAR FIN'!$A$1:$O$85,15,0)),0,VLOOKUP($U$44,'TAR FIN'!$A$1:$O$85,15,0))</f>
        <v>223.07</v>
      </c>
      <c r="Y44" s="6"/>
      <c r="Z44" s="6">
        <f ca="1">('TUSD BE'!$AM$11+'TUSD BF'!$AM$11+'TUSD CVA'!$AM$11)*1</f>
        <v>3597.960494353159</v>
      </c>
      <c r="AA44" s="6">
        <f>('TE BE'!$AB$5+'TE BF'!$AB$5+'TE CVA'!$AB$5)*1</f>
        <v>77.958364182443049</v>
      </c>
      <c r="AB44" s="6">
        <f>$K$44*$V$44</f>
        <v>0</v>
      </c>
      <c r="AC44" s="6">
        <f>$M$44*$W$44</f>
        <v>17312.392</v>
      </c>
      <c r="AD44" s="6">
        <f>$O$44*$X$44</f>
        <v>1516.876</v>
      </c>
      <c r="AE44" s="6">
        <f>$K$44*$Y$44</f>
        <v>0</v>
      </c>
      <c r="AF44" s="6">
        <f ca="1">$M$44*$Z$44</f>
        <v>24466.131361601481</v>
      </c>
      <c r="AG44" s="6">
        <f>$O$44*$AA$44</f>
        <v>530.11687644061271</v>
      </c>
    </row>
    <row r="45" spans="1:33" ht="11.25" customHeight="1" x14ac:dyDescent="0.3">
      <c r="A45" s="4" t="s">
        <v>28</v>
      </c>
      <c r="B45" s="4" t="s">
        <v>39</v>
      </c>
      <c r="C45" s="4" t="s">
        <v>40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34</v>
      </c>
      <c r="I45" s="5">
        <v>44621</v>
      </c>
      <c r="J45" s="6">
        <v>0</v>
      </c>
      <c r="K45" s="6">
        <v>0</v>
      </c>
      <c r="L45" s="6">
        <v>2.5350000000000001</v>
      </c>
      <c r="M45" s="6">
        <v>2.5350000000000001</v>
      </c>
      <c r="N45" s="6">
        <v>2.5350000000000001</v>
      </c>
      <c r="O45" s="6">
        <v>2.5350000000000001</v>
      </c>
      <c r="P45" s="6">
        <v>0</v>
      </c>
      <c r="Q45" s="4" t="s">
        <v>26</v>
      </c>
      <c r="R45" s="4">
        <v>0</v>
      </c>
      <c r="S45" s="6">
        <v>0</v>
      </c>
      <c r="T45" s="6">
        <v>23</v>
      </c>
      <c r="U45" s="6">
        <v>25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2545.94</v>
      </c>
      <c r="X45" s="6">
        <f>IF(ISERROR(VLOOKUP($U$45,'TAR FIN'!$A$1:$O$85,15,0)),0,VLOOKUP($U$45,'TAR FIN'!$A$1:$O$85,15,0))</f>
        <v>223.07</v>
      </c>
      <c r="Y45" s="6"/>
      <c r="Z45" s="6">
        <f ca="1">('TUSD BE'!$AM$11+'TUSD BF'!$AM$11+'TUSD CVA'!$AM$11)*1</f>
        <v>3597.960494353159</v>
      </c>
      <c r="AA45" s="6">
        <f>('TE BE'!$AB$5+'TE BF'!$AB$5+'TE CVA'!$AB$5)*1</f>
        <v>77.958364182443049</v>
      </c>
      <c r="AB45" s="6">
        <f>$K$45*$V$45</f>
        <v>0</v>
      </c>
      <c r="AC45" s="6">
        <f>$M$45*$W$45</f>
        <v>6453.9579000000003</v>
      </c>
      <c r="AD45" s="6">
        <f>$O$45*$X$45</f>
        <v>565.48244999999997</v>
      </c>
      <c r="AE45" s="6">
        <f>$K$45*$Y$45</f>
        <v>0</v>
      </c>
      <c r="AF45" s="6">
        <f ca="1">$M$45*$Z$45</f>
        <v>9120.8298531852579</v>
      </c>
      <c r="AG45" s="6">
        <f>$O$45*$AA$45</f>
        <v>197.62445320249313</v>
      </c>
    </row>
    <row r="46" spans="1:33" ht="11.25" customHeight="1" x14ac:dyDescent="0.3">
      <c r="A46" s="4" t="s">
        <v>21</v>
      </c>
      <c r="B46" s="4" t="s">
        <v>39</v>
      </c>
      <c r="C46" s="4" t="s">
        <v>40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34</v>
      </c>
      <c r="I46" s="5">
        <v>44652</v>
      </c>
      <c r="J46" s="6">
        <v>0</v>
      </c>
      <c r="K46" s="6">
        <v>0</v>
      </c>
      <c r="L46" s="6">
        <v>10.007</v>
      </c>
      <c r="M46" s="6">
        <v>10.007</v>
      </c>
      <c r="N46" s="6">
        <v>10.007</v>
      </c>
      <c r="O46" s="6">
        <v>10.007</v>
      </c>
      <c r="P46" s="6">
        <v>0</v>
      </c>
      <c r="Q46" s="4" t="s">
        <v>26</v>
      </c>
      <c r="R46" s="4">
        <v>0</v>
      </c>
      <c r="S46" s="6">
        <v>0</v>
      </c>
      <c r="T46" s="6">
        <v>23</v>
      </c>
      <c r="U46" s="6">
        <v>25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2545.94</v>
      </c>
      <c r="X46" s="6">
        <f>IF(ISERROR(VLOOKUP($U$46,'TAR FIN'!$A$1:$O$85,15,0)),0,VLOOKUP($U$46,'TAR FIN'!$A$1:$O$85,15,0))</f>
        <v>223.07</v>
      </c>
      <c r="Y46" s="6"/>
      <c r="Z46" s="6">
        <f ca="1">('TUSD BE'!$AM$11+'TUSD BF'!$AM$11+'TUSD CVA'!$AM$11)*1</f>
        <v>3597.960494353159</v>
      </c>
      <c r="AA46" s="6">
        <f>('TE BE'!$AB$5+'TE BF'!$AB$5+'TE CVA'!$AB$5)*1</f>
        <v>77.958364182443049</v>
      </c>
      <c r="AB46" s="6">
        <f>$K$46*$V$46</f>
        <v>0</v>
      </c>
      <c r="AC46" s="6">
        <f>$M$46*$W$46</f>
        <v>25477.221580000001</v>
      </c>
      <c r="AD46" s="6">
        <f>$O$46*$X$46</f>
        <v>2232.2614899999999</v>
      </c>
      <c r="AE46" s="6">
        <f>$K$46*$Y$46</f>
        <v>0</v>
      </c>
      <c r="AF46" s="6">
        <f ca="1">$M$46*$Z$46</f>
        <v>36004.790666992063</v>
      </c>
      <c r="AG46" s="6">
        <f>$O$46*$AA$46</f>
        <v>780.12935037370755</v>
      </c>
    </row>
    <row r="47" spans="1:33" ht="11.25" customHeight="1" x14ac:dyDescent="0.3">
      <c r="A47" s="4" t="s">
        <v>28</v>
      </c>
      <c r="B47" s="4" t="s">
        <v>39</v>
      </c>
      <c r="C47" s="4" t="s">
        <v>40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34</v>
      </c>
      <c r="I47" s="5">
        <v>44652</v>
      </c>
      <c r="J47" s="6">
        <v>0</v>
      </c>
      <c r="K47" s="6">
        <v>0</v>
      </c>
      <c r="L47" s="6">
        <v>2.6059999999999999</v>
      </c>
      <c r="M47" s="6">
        <v>2.6059999999999999</v>
      </c>
      <c r="N47" s="6">
        <v>2.6059999999999999</v>
      </c>
      <c r="O47" s="6">
        <v>2.6059999999999999</v>
      </c>
      <c r="P47" s="6">
        <v>0</v>
      </c>
      <c r="Q47" s="4" t="s">
        <v>26</v>
      </c>
      <c r="R47" s="4">
        <v>0</v>
      </c>
      <c r="S47" s="6">
        <v>0</v>
      </c>
      <c r="T47" s="6">
        <v>23</v>
      </c>
      <c r="U47" s="6">
        <v>25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2545.94</v>
      </c>
      <c r="X47" s="6">
        <f>IF(ISERROR(VLOOKUP($U$47,'TAR FIN'!$A$1:$O$85,15,0)),0,VLOOKUP($U$47,'TAR FIN'!$A$1:$O$85,15,0))</f>
        <v>223.07</v>
      </c>
      <c r="Y47" s="6"/>
      <c r="Z47" s="6">
        <f ca="1">('TUSD BE'!$AM$11+'TUSD BF'!$AM$11+'TUSD CVA'!$AM$11)*1</f>
        <v>3597.960494353159</v>
      </c>
      <c r="AA47" s="6">
        <f>('TE BE'!$AB$5+'TE BF'!$AB$5+'TE CVA'!$AB$5)*1</f>
        <v>77.958364182443049</v>
      </c>
      <c r="AB47" s="6">
        <f>$K$47*$V$47</f>
        <v>0</v>
      </c>
      <c r="AC47" s="6">
        <f>$M$47*$W$47</f>
        <v>6634.7196400000003</v>
      </c>
      <c r="AD47" s="6">
        <f>$O$47*$X$47</f>
        <v>581.3204199999999</v>
      </c>
      <c r="AE47" s="6">
        <f>$K$47*$Y$47</f>
        <v>0</v>
      </c>
      <c r="AF47" s="6">
        <f ca="1">$M$47*$Z$47</f>
        <v>9376.2850482843314</v>
      </c>
      <c r="AG47" s="6">
        <f>$O$47*$AA$47</f>
        <v>203.15949705944658</v>
      </c>
    </row>
    <row r="48" spans="1:33" ht="11.25" customHeight="1" x14ac:dyDescent="0.3">
      <c r="A48" s="4" t="s">
        <v>21</v>
      </c>
      <c r="B48" s="4" t="s">
        <v>39</v>
      </c>
      <c r="C48" s="4" t="s">
        <v>40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34</v>
      </c>
      <c r="I48" s="5">
        <v>44682</v>
      </c>
      <c r="J48" s="6">
        <v>0</v>
      </c>
      <c r="K48" s="6">
        <v>0</v>
      </c>
      <c r="L48" s="6">
        <v>11.064</v>
      </c>
      <c r="M48" s="6">
        <v>11.064</v>
      </c>
      <c r="N48" s="6">
        <v>11.064</v>
      </c>
      <c r="O48" s="6">
        <v>11.064</v>
      </c>
      <c r="P48" s="6">
        <v>0</v>
      </c>
      <c r="Q48" s="4" t="s">
        <v>26</v>
      </c>
      <c r="R48" s="4">
        <v>0</v>
      </c>
      <c r="S48" s="6">
        <v>0</v>
      </c>
      <c r="T48" s="6">
        <v>23</v>
      </c>
      <c r="U48" s="6">
        <v>25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2545.94</v>
      </c>
      <c r="X48" s="6">
        <f>IF(ISERROR(VLOOKUP($U$48,'TAR FIN'!$A$1:$O$85,15,0)),0,VLOOKUP($U$48,'TAR FIN'!$A$1:$O$85,15,0))</f>
        <v>223.07</v>
      </c>
      <c r="Y48" s="6"/>
      <c r="Z48" s="6">
        <f ca="1">('TUSD BE'!$AM$11+'TUSD BF'!$AM$11+'TUSD CVA'!$AM$11)*1</f>
        <v>3597.960494353159</v>
      </c>
      <c r="AA48" s="6">
        <f>('TE BE'!$AB$5+'TE BF'!$AB$5+'TE CVA'!$AB$5)*1</f>
        <v>77.958364182443049</v>
      </c>
      <c r="AB48" s="6">
        <f>$K$48*$V$48</f>
        <v>0</v>
      </c>
      <c r="AC48" s="6">
        <f>$M$48*$W$48</f>
        <v>28168.280160000002</v>
      </c>
      <c r="AD48" s="6">
        <f>$O$48*$X$48</f>
        <v>2468.04648</v>
      </c>
      <c r="AE48" s="6">
        <f>$K$48*$Y$48</f>
        <v>0</v>
      </c>
      <c r="AF48" s="6">
        <f ca="1">$M$48*$Z$48</f>
        <v>39807.83490952335</v>
      </c>
      <c r="AG48" s="6">
        <f>$O$48*$AA$48</f>
        <v>862.53134131454988</v>
      </c>
    </row>
    <row r="49" spans="1:33" ht="11.25" customHeight="1" x14ac:dyDescent="0.3">
      <c r="A49" s="4" t="s">
        <v>28</v>
      </c>
      <c r="B49" s="4" t="s">
        <v>39</v>
      </c>
      <c r="C49" s="4" t="s">
        <v>40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34</v>
      </c>
      <c r="I49" s="5">
        <v>44682</v>
      </c>
      <c r="J49" s="6">
        <v>0</v>
      </c>
      <c r="K49" s="6">
        <v>0</v>
      </c>
      <c r="L49" s="6">
        <v>3.242</v>
      </c>
      <c r="M49" s="6">
        <v>3.242</v>
      </c>
      <c r="N49" s="6">
        <v>3.242</v>
      </c>
      <c r="O49" s="6">
        <v>3.242</v>
      </c>
      <c r="P49" s="6">
        <v>0</v>
      </c>
      <c r="Q49" s="4" t="s">
        <v>26</v>
      </c>
      <c r="R49" s="4">
        <v>0</v>
      </c>
      <c r="S49" s="6">
        <v>0</v>
      </c>
      <c r="T49" s="6">
        <v>23</v>
      </c>
      <c r="U49" s="6">
        <v>25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2545.94</v>
      </c>
      <c r="X49" s="6">
        <f>IF(ISERROR(VLOOKUP($U$49,'TAR FIN'!$A$1:$O$85,15,0)),0,VLOOKUP($U$49,'TAR FIN'!$A$1:$O$85,15,0))</f>
        <v>223.07</v>
      </c>
      <c r="Y49" s="6"/>
      <c r="Z49" s="6">
        <f ca="1">('TUSD BE'!$AM$11+'TUSD BF'!$AM$11+'TUSD CVA'!$AM$11)*1</f>
        <v>3597.960494353159</v>
      </c>
      <c r="AA49" s="6">
        <f>('TE BE'!$AB$5+'TE BF'!$AB$5+'TE CVA'!$AB$5)*1</f>
        <v>77.958364182443049</v>
      </c>
      <c r="AB49" s="6">
        <f>$K$49*$V$49</f>
        <v>0</v>
      </c>
      <c r="AC49" s="6">
        <f>$M$49*$W$49</f>
        <v>8253.9374800000005</v>
      </c>
      <c r="AD49" s="6">
        <f>$O$49*$X$49</f>
        <v>723.19294000000002</v>
      </c>
      <c r="AE49" s="6">
        <f>$K$49*$Y$49</f>
        <v>0</v>
      </c>
      <c r="AF49" s="6">
        <f ca="1">$M$49*$Z$49</f>
        <v>11664.587922692941</v>
      </c>
      <c r="AG49" s="6">
        <f>$O$49*$AA$49</f>
        <v>252.74101667948037</v>
      </c>
    </row>
    <row r="50" spans="1:33" ht="11.25" customHeight="1" x14ac:dyDescent="0.3">
      <c r="A50" s="4" t="s">
        <v>21</v>
      </c>
      <c r="B50" s="4" t="s">
        <v>39</v>
      </c>
      <c r="C50" s="4" t="s">
        <v>40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34</v>
      </c>
      <c r="I50" s="5">
        <v>44713</v>
      </c>
      <c r="J50" s="6">
        <v>0</v>
      </c>
      <c r="K50" s="6">
        <v>0</v>
      </c>
      <c r="L50" s="6">
        <v>9.5440000000000005</v>
      </c>
      <c r="M50" s="6">
        <v>9.5440000000000005</v>
      </c>
      <c r="N50" s="6">
        <v>9.5440000000000005</v>
      </c>
      <c r="O50" s="6">
        <v>9.5440000000000005</v>
      </c>
      <c r="P50" s="6">
        <v>0</v>
      </c>
      <c r="Q50" s="4" t="s">
        <v>26</v>
      </c>
      <c r="R50" s="4">
        <v>0</v>
      </c>
      <c r="S50" s="6">
        <v>0</v>
      </c>
      <c r="T50" s="6">
        <v>23</v>
      </c>
      <c r="U50" s="6">
        <v>25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2545.94</v>
      </c>
      <c r="X50" s="6">
        <f>IF(ISERROR(VLOOKUP($U$50,'TAR FIN'!$A$1:$O$85,15,0)),0,VLOOKUP($U$50,'TAR FIN'!$A$1:$O$85,15,0))</f>
        <v>223.07</v>
      </c>
      <c r="Y50" s="6"/>
      <c r="Z50" s="6">
        <f ca="1">('TUSD BE'!$AM$11+'TUSD BF'!$AM$11+'TUSD CVA'!$AM$11)*1</f>
        <v>3597.960494353159</v>
      </c>
      <c r="AA50" s="6">
        <f>('TE BE'!$AB$5+'TE BF'!$AB$5+'TE CVA'!$AB$5)*1</f>
        <v>77.958364182443049</v>
      </c>
      <c r="AB50" s="6">
        <f>$K$50*$V$50</f>
        <v>0</v>
      </c>
      <c r="AC50" s="6">
        <f>$M$50*$W$50</f>
        <v>24298.451360000003</v>
      </c>
      <c r="AD50" s="6">
        <f>$O$50*$X$50</f>
        <v>2128.9800799999998</v>
      </c>
      <c r="AE50" s="6">
        <f>$K$50*$Y$50</f>
        <v>0</v>
      </c>
      <c r="AF50" s="6">
        <f ca="1">$M$50*$Z$50</f>
        <v>34338.934958106554</v>
      </c>
      <c r="AG50" s="6">
        <f>$O$50*$AA$50</f>
        <v>744.03462775723654</v>
      </c>
    </row>
    <row r="51" spans="1:33" ht="11.25" customHeight="1" x14ac:dyDescent="0.3">
      <c r="A51" s="4" t="s">
        <v>28</v>
      </c>
      <c r="B51" s="4" t="s">
        <v>39</v>
      </c>
      <c r="C51" s="4" t="s">
        <v>40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34</v>
      </c>
      <c r="I51" s="5">
        <v>44713</v>
      </c>
      <c r="J51" s="6">
        <v>0</v>
      </c>
      <c r="K51" s="6">
        <v>0</v>
      </c>
      <c r="L51" s="6">
        <v>3.2149999999999999</v>
      </c>
      <c r="M51" s="6">
        <v>3.2149999999999999</v>
      </c>
      <c r="N51" s="6">
        <v>3.2149999999999999</v>
      </c>
      <c r="O51" s="6">
        <v>3.2149999999999999</v>
      </c>
      <c r="P51" s="6">
        <v>0</v>
      </c>
      <c r="Q51" s="4" t="s">
        <v>26</v>
      </c>
      <c r="R51" s="4">
        <v>0</v>
      </c>
      <c r="S51" s="6">
        <v>0</v>
      </c>
      <c r="T51" s="6">
        <v>23</v>
      </c>
      <c r="U51" s="6">
        <v>25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2545.94</v>
      </c>
      <c r="X51" s="6">
        <f>IF(ISERROR(VLOOKUP($U$51,'TAR FIN'!$A$1:$O$85,15,0)),0,VLOOKUP($U$51,'TAR FIN'!$A$1:$O$85,15,0))</f>
        <v>223.07</v>
      </c>
      <c r="Y51" s="6"/>
      <c r="Z51" s="6">
        <f ca="1">('TUSD BE'!$AM$11+'TUSD BF'!$AM$11+'TUSD CVA'!$AM$11)*1</f>
        <v>3597.960494353159</v>
      </c>
      <c r="AA51" s="6">
        <f>('TE BE'!$AB$5+'TE BF'!$AB$5+'TE CVA'!$AB$5)*1</f>
        <v>77.958364182443049</v>
      </c>
      <c r="AB51" s="6">
        <f>$K$51*$V$51</f>
        <v>0</v>
      </c>
      <c r="AC51" s="6">
        <f>$M$51*$W$51</f>
        <v>8185.1970999999994</v>
      </c>
      <c r="AD51" s="6">
        <f>$O$51*$X$51</f>
        <v>717.17004999999995</v>
      </c>
      <c r="AE51" s="6">
        <f>$K$51*$Y$51</f>
        <v>0</v>
      </c>
      <c r="AF51" s="6">
        <f ca="1">$M$51*$Z$51</f>
        <v>11567.442989345405</v>
      </c>
      <c r="AG51" s="6">
        <f>$O$51*$AA$51</f>
        <v>250.63614084655438</v>
      </c>
    </row>
    <row r="52" spans="1:33" ht="11.25" customHeight="1" x14ac:dyDescent="0.3">
      <c r="A52" s="4" t="s">
        <v>21</v>
      </c>
      <c r="B52" s="4" t="s">
        <v>39</v>
      </c>
      <c r="C52" s="4" t="s">
        <v>40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34</v>
      </c>
      <c r="I52" s="5">
        <v>44743</v>
      </c>
      <c r="J52" s="6">
        <v>0</v>
      </c>
      <c r="K52" s="6">
        <v>0</v>
      </c>
      <c r="L52" s="6">
        <v>8.4250000000000007</v>
      </c>
      <c r="M52" s="6">
        <v>8.4250000000000007</v>
      </c>
      <c r="N52" s="6">
        <v>8.4250000000000007</v>
      </c>
      <c r="O52" s="6">
        <v>8.4250000000000007</v>
      </c>
      <c r="P52" s="6">
        <v>0</v>
      </c>
      <c r="Q52" s="4" t="s">
        <v>26</v>
      </c>
      <c r="R52" s="4">
        <v>0</v>
      </c>
      <c r="S52" s="6">
        <v>0</v>
      </c>
      <c r="T52" s="6">
        <v>23</v>
      </c>
      <c r="U52" s="6">
        <v>25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2545.94</v>
      </c>
      <c r="X52" s="6">
        <f>IF(ISERROR(VLOOKUP($U$52,'TAR FIN'!$A$1:$O$85,15,0)),0,VLOOKUP($U$52,'TAR FIN'!$A$1:$O$85,15,0))</f>
        <v>223.07</v>
      </c>
      <c r="Y52" s="6"/>
      <c r="Z52" s="6">
        <f ca="1">('TUSD BE'!$AM$11+'TUSD BF'!$AM$11+'TUSD CVA'!$AM$11)*1</f>
        <v>3597.960494353159</v>
      </c>
      <c r="AA52" s="6">
        <f>('TE BE'!$AB$5+'TE BF'!$AB$5+'TE CVA'!$AB$5)*1</f>
        <v>77.958364182443049</v>
      </c>
      <c r="AB52" s="6">
        <f>$K$52*$V$52</f>
        <v>0</v>
      </c>
      <c r="AC52" s="6">
        <f>$M$52*$W$52</f>
        <v>21449.544500000004</v>
      </c>
      <c r="AD52" s="6">
        <f>$O$52*$X$52</f>
        <v>1879.3647500000002</v>
      </c>
      <c r="AE52" s="6">
        <f>$K$52*$Y$52</f>
        <v>0</v>
      </c>
      <c r="AF52" s="6">
        <f ca="1">$M$52*$Z$52</f>
        <v>30312.817164925367</v>
      </c>
      <c r="AG52" s="6">
        <f>$O$52*$AA$52</f>
        <v>656.79921823708275</v>
      </c>
    </row>
    <row r="53" spans="1:33" ht="11.25" customHeight="1" x14ac:dyDescent="0.3">
      <c r="A53" s="4" t="s">
        <v>28</v>
      </c>
      <c r="B53" s="4" t="s">
        <v>39</v>
      </c>
      <c r="C53" s="4" t="s">
        <v>40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34</v>
      </c>
      <c r="I53" s="5">
        <v>44743</v>
      </c>
      <c r="J53" s="6">
        <v>0</v>
      </c>
      <c r="K53" s="6">
        <v>0</v>
      </c>
      <c r="L53" s="6">
        <v>3.6680000000000001</v>
      </c>
      <c r="M53" s="6">
        <v>3.6680000000000001</v>
      </c>
      <c r="N53" s="6">
        <v>3.6680000000000001</v>
      </c>
      <c r="O53" s="6">
        <v>3.6680000000000001</v>
      </c>
      <c r="P53" s="6">
        <v>0</v>
      </c>
      <c r="Q53" s="4" t="s">
        <v>26</v>
      </c>
      <c r="R53" s="4">
        <v>0</v>
      </c>
      <c r="S53" s="6">
        <v>0</v>
      </c>
      <c r="T53" s="6">
        <v>23</v>
      </c>
      <c r="U53" s="6">
        <v>25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2545.94</v>
      </c>
      <c r="X53" s="6">
        <f>IF(ISERROR(VLOOKUP($U$53,'TAR FIN'!$A$1:$O$85,15,0)),0,VLOOKUP($U$53,'TAR FIN'!$A$1:$O$85,15,0))</f>
        <v>223.07</v>
      </c>
      <c r="Y53" s="6"/>
      <c r="Z53" s="6">
        <f ca="1">('TUSD BE'!$AM$11+'TUSD BF'!$AM$11+'TUSD CVA'!$AM$11)*1</f>
        <v>3597.960494353159</v>
      </c>
      <c r="AA53" s="6">
        <f>('TE BE'!$AB$5+'TE BF'!$AB$5+'TE CVA'!$AB$5)*1</f>
        <v>77.958364182443049</v>
      </c>
      <c r="AB53" s="6">
        <f>$K$53*$V$53</f>
        <v>0</v>
      </c>
      <c r="AC53" s="6">
        <f>$M$53*$W$53</f>
        <v>9338.50792</v>
      </c>
      <c r="AD53" s="6">
        <f>$O$53*$X$53</f>
        <v>818.22076000000004</v>
      </c>
      <c r="AE53" s="6">
        <f>$K$53*$Y$53</f>
        <v>0</v>
      </c>
      <c r="AF53" s="6">
        <f ca="1">$M$53*$Z$53</f>
        <v>13197.319093287388</v>
      </c>
      <c r="AG53" s="6">
        <f>$O$53*$AA$53</f>
        <v>285.95127982120113</v>
      </c>
    </row>
    <row r="54" spans="1:33" ht="11.25" customHeight="1" x14ac:dyDescent="0.3">
      <c r="A54" s="4" t="s">
        <v>21</v>
      </c>
      <c r="B54" s="4" t="s">
        <v>39</v>
      </c>
      <c r="C54" s="4" t="s">
        <v>40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34</v>
      </c>
      <c r="I54" s="5">
        <v>44774</v>
      </c>
      <c r="J54" s="6">
        <v>0</v>
      </c>
      <c r="K54" s="6">
        <v>0</v>
      </c>
      <c r="L54" s="6">
        <v>7.665</v>
      </c>
      <c r="M54" s="6">
        <v>7.665</v>
      </c>
      <c r="N54" s="6">
        <v>7.665</v>
      </c>
      <c r="O54" s="6">
        <v>7.665</v>
      </c>
      <c r="P54" s="6">
        <v>0</v>
      </c>
      <c r="Q54" s="4" t="s">
        <v>26</v>
      </c>
      <c r="R54" s="4">
        <v>0</v>
      </c>
      <c r="S54" s="6">
        <v>0</v>
      </c>
      <c r="T54" s="6">
        <v>23</v>
      </c>
      <c r="U54" s="6">
        <v>25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2545.94</v>
      </c>
      <c r="X54" s="6">
        <f>IF(ISERROR(VLOOKUP($U$54,'TAR FIN'!$A$1:$O$85,15,0)),0,VLOOKUP($U$54,'TAR FIN'!$A$1:$O$85,15,0))</f>
        <v>223.07</v>
      </c>
      <c r="Y54" s="6"/>
      <c r="Z54" s="6">
        <f ca="1">('TUSD BE'!$AM$11+'TUSD BF'!$AM$11+'TUSD CVA'!$AM$11)*1</f>
        <v>3597.960494353159</v>
      </c>
      <c r="AA54" s="6">
        <f>('TE BE'!$AB$5+'TE BF'!$AB$5+'TE CVA'!$AB$5)*1</f>
        <v>77.958364182443049</v>
      </c>
      <c r="AB54" s="6">
        <f>$K$54*$V$54</f>
        <v>0</v>
      </c>
      <c r="AC54" s="6">
        <f>$M$54*$W$54</f>
        <v>19514.630100000002</v>
      </c>
      <c r="AD54" s="6">
        <f>$O$54*$X$54</f>
        <v>1709.8315499999999</v>
      </c>
      <c r="AE54" s="6">
        <f>$K$54*$Y$54</f>
        <v>0</v>
      </c>
      <c r="AF54" s="6">
        <f ca="1">$M$54*$Z$54</f>
        <v>27578.367189216962</v>
      </c>
      <c r="AG54" s="6">
        <f>$O$54*$AA$54</f>
        <v>597.55086145842597</v>
      </c>
    </row>
    <row r="55" spans="1:33" ht="11.25" customHeight="1" x14ac:dyDescent="0.3">
      <c r="A55" s="4" t="s">
        <v>28</v>
      </c>
      <c r="B55" s="4" t="s">
        <v>39</v>
      </c>
      <c r="C55" s="4" t="s">
        <v>40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34</v>
      </c>
      <c r="I55" s="5">
        <v>44774</v>
      </c>
      <c r="J55" s="6">
        <v>0</v>
      </c>
      <c r="K55" s="6">
        <v>0</v>
      </c>
      <c r="L55" s="6">
        <v>3.7949999999999999</v>
      </c>
      <c r="M55" s="6">
        <v>3.7949999999999999</v>
      </c>
      <c r="N55" s="6">
        <v>3.7949999999999999</v>
      </c>
      <c r="O55" s="6">
        <v>3.7949999999999999</v>
      </c>
      <c r="P55" s="6">
        <v>0</v>
      </c>
      <c r="Q55" s="4" t="s">
        <v>26</v>
      </c>
      <c r="R55" s="4">
        <v>0</v>
      </c>
      <c r="S55" s="6">
        <v>0</v>
      </c>
      <c r="T55" s="6">
        <v>23</v>
      </c>
      <c r="U55" s="6">
        <v>25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2545.94</v>
      </c>
      <c r="X55" s="6">
        <f>IF(ISERROR(VLOOKUP($U$55,'TAR FIN'!$A$1:$O$85,15,0)),0,VLOOKUP($U$55,'TAR FIN'!$A$1:$O$85,15,0))</f>
        <v>223.07</v>
      </c>
      <c r="Y55" s="6"/>
      <c r="Z55" s="6">
        <f ca="1">('TUSD BE'!$AM$11+'TUSD BF'!$AM$11+'TUSD CVA'!$AM$11)*1</f>
        <v>3597.960494353159</v>
      </c>
      <c r="AA55" s="6">
        <f>('TE BE'!$AB$5+'TE BF'!$AB$5+'TE CVA'!$AB$5)*1</f>
        <v>77.958364182443049</v>
      </c>
      <c r="AB55" s="6">
        <f>$K$55*$V$55</f>
        <v>0</v>
      </c>
      <c r="AC55" s="6">
        <f>$M$55*$W$55</f>
        <v>9661.8423000000003</v>
      </c>
      <c r="AD55" s="6">
        <f>$O$55*$X$55</f>
        <v>846.55064999999991</v>
      </c>
      <c r="AE55" s="6">
        <f>$K$55*$Y$55</f>
        <v>0</v>
      </c>
      <c r="AF55" s="6">
        <f ca="1">$M$55*$Z$55</f>
        <v>13654.260076070239</v>
      </c>
      <c r="AG55" s="6">
        <f>$O$55*$AA$55</f>
        <v>295.85199207237139</v>
      </c>
    </row>
    <row r="56" spans="1:33" ht="11.25" customHeight="1" x14ac:dyDescent="0.3">
      <c r="A56" s="4" t="s">
        <v>21</v>
      </c>
      <c r="B56" s="4" t="s">
        <v>39</v>
      </c>
      <c r="C56" s="4" t="s">
        <v>40</v>
      </c>
      <c r="D56" s="4" t="s">
        <v>38</v>
      </c>
      <c r="E56" s="4" t="s">
        <v>25</v>
      </c>
      <c r="F56" s="4" t="s">
        <v>51</v>
      </c>
      <c r="G56" s="4" t="s">
        <v>25</v>
      </c>
      <c r="H56" s="4" t="s">
        <v>35</v>
      </c>
      <c r="I56" s="5">
        <v>44440</v>
      </c>
      <c r="J56" s="6">
        <v>0</v>
      </c>
      <c r="K56" s="6">
        <v>0</v>
      </c>
      <c r="L56" s="6">
        <v>112.67</v>
      </c>
      <c r="M56" s="6">
        <v>56.335000000000001</v>
      </c>
      <c r="N56" s="6">
        <v>0</v>
      </c>
      <c r="O56" s="6">
        <v>0</v>
      </c>
      <c r="P56" s="6">
        <v>0</v>
      </c>
      <c r="Q56" s="4" t="s">
        <v>52</v>
      </c>
      <c r="R56" s="4">
        <v>0</v>
      </c>
      <c r="S56" s="6">
        <v>0</v>
      </c>
      <c r="T56" s="6">
        <v>6</v>
      </c>
      <c r="U56" s="6">
        <v>0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67.489999999999995</v>
      </c>
      <c r="X56" s="6">
        <f>IF(ISERROR(VLOOKUP($U$56,'TAR FIN'!$A$1:$O$85,15,0)),0,VLOOKUP($U$56,'TAR FIN'!$A$1:$O$85,15,0))</f>
        <v>0</v>
      </c>
      <c r="Y56" s="6"/>
      <c r="Z56" s="6">
        <f ca="1">('TUSD BE'!$AM$12+'TUSD BF'!$AM$12+'TUSD CVA'!$AM$12)*1</f>
        <v>91.421403244159023</v>
      </c>
      <c r="AA56" s="6"/>
      <c r="AB56" s="6">
        <f>$K$56*$V$56</f>
        <v>0</v>
      </c>
      <c r="AC56" s="6">
        <f>$M$56*$W$56</f>
        <v>3802.0491499999998</v>
      </c>
      <c r="AD56" s="6">
        <f>$O$56*$X$56</f>
        <v>0</v>
      </c>
      <c r="AE56" s="6">
        <f>$K$56*$Y$56</f>
        <v>0</v>
      </c>
      <c r="AF56" s="6">
        <f ca="1">$M$56*$Z$56</f>
        <v>5150.2247517596988</v>
      </c>
      <c r="AG56" s="6">
        <f>$O$56*$AA$56</f>
        <v>0</v>
      </c>
    </row>
    <row r="57" spans="1:33" ht="11.25" customHeight="1" x14ac:dyDescent="0.3">
      <c r="A57" s="4" t="s">
        <v>27</v>
      </c>
      <c r="B57" s="4" t="s">
        <v>39</v>
      </c>
      <c r="C57" s="4" t="s">
        <v>40</v>
      </c>
      <c r="D57" s="4" t="s">
        <v>38</v>
      </c>
      <c r="E57" s="4" t="s">
        <v>25</v>
      </c>
      <c r="F57" s="4" t="s">
        <v>51</v>
      </c>
      <c r="G57" s="4" t="s">
        <v>25</v>
      </c>
      <c r="H57" s="4" t="s">
        <v>35</v>
      </c>
      <c r="I57" s="5">
        <v>44440</v>
      </c>
      <c r="J57" s="6">
        <v>0</v>
      </c>
      <c r="K57" s="6">
        <v>0</v>
      </c>
      <c r="L57" s="6">
        <v>112.67</v>
      </c>
      <c r="M57" s="6">
        <v>56.335000000000001</v>
      </c>
      <c r="N57" s="6">
        <v>0</v>
      </c>
      <c r="O57" s="6">
        <v>0</v>
      </c>
      <c r="P57" s="6">
        <v>0</v>
      </c>
      <c r="Q57" s="4" t="s">
        <v>52</v>
      </c>
      <c r="R57" s="4">
        <v>0</v>
      </c>
      <c r="S57" s="6">
        <v>0</v>
      </c>
      <c r="T57" s="6">
        <v>6</v>
      </c>
      <c r="U57" s="6">
        <v>0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67.489999999999995</v>
      </c>
      <c r="X57" s="6">
        <f>IF(ISERROR(VLOOKUP($U$57,'TAR FIN'!$A$1:$O$85,15,0)),0,VLOOKUP($U$57,'TAR FIN'!$A$1:$O$85,15,0))</f>
        <v>0</v>
      </c>
      <c r="Y57" s="6"/>
      <c r="Z57" s="6">
        <f ca="1">('TUSD BE'!$AM$12+'TUSD BF'!$AM$12+'TUSD CVA'!$AM$12)*1</f>
        <v>91.421403244159023</v>
      </c>
      <c r="AA57" s="6"/>
      <c r="AB57" s="6">
        <f>$K$57*$V$57</f>
        <v>0</v>
      </c>
      <c r="AC57" s="6">
        <f>$M$57*$W$57</f>
        <v>3802.0491499999998</v>
      </c>
      <c r="AD57" s="6">
        <f>$O$57*$X$57</f>
        <v>0</v>
      </c>
      <c r="AE57" s="6">
        <f>$K$57*$Y$57</f>
        <v>0</v>
      </c>
      <c r="AF57" s="6">
        <f ca="1">$M$57*$Z$57</f>
        <v>5150.2247517596988</v>
      </c>
      <c r="AG57" s="6">
        <f>$O$57*$AA$57</f>
        <v>0</v>
      </c>
    </row>
    <row r="58" spans="1:33" ht="11.25" customHeight="1" x14ac:dyDescent="0.3">
      <c r="A58" s="4" t="s">
        <v>21</v>
      </c>
      <c r="B58" s="4" t="s">
        <v>39</v>
      </c>
      <c r="C58" s="4" t="s">
        <v>40</v>
      </c>
      <c r="D58" s="4" t="s">
        <v>38</v>
      </c>
      <c r="E58" s="4" t="s">
        <v>25</v>
      </c>
      <c r="F58" s="4" t="s">
        <v>51</v>
      </c>
      <c r="G58" s="4" t="s">
        <v>25</v>
      </c>
      <c r="H58" s="4" t="s">
        <v>35</v>
      </c>
      <c r="I58" s="5">
        <v>44470</v>
      </c>
      <c r="J58" s="6">
        <v>0</v>
      </c>
      <c r="K58" s="6">
        <v>0</v>
      </c>
      <c r="L58" s="6">
        <v>136.489</v>
      </c>
      <c r="M58" s="6">
        <v>68.244500000000002</v>
      </c>
      <c r="N58" s="6">
        <v>0</v>
      </c>
      <c r="O58" s="6">
        <v>0</v>
      </c>
      <c r="P58" s="6">
        <v>0</v>
      </c>
      <c r="Q58" s="4" t="s">
        <v>52</v>
      </c>
      <c r="R58" s="4">
        <v>0</v>
      </c>
      <c r="S58" s="6">
        <v>0</v>
      </c>
      <c r="T58" s="6">
        <v>6</v>
      </c>
      <c r="U58" s="6">
        <v>0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67.489999999999995</v>
      </c>
      <c r="X58" s="6">
        <f>IF(ISERROR(VLOOKUP($U$58,'TAR FIN'!$A$1:$O$85,15,0)),0,VLOOKUP($U$58,'TAR FIN'!$A$1:$O$85,15,0))</f>
        <v>0</v>
      </c>
      <c r="Y58" s="6"/>
      <c r="Z58" s="6">
        <f ca="1">('TUSD BE'!$AM$12+'TUSD BF'!$AM$12+'TUSD CVA'!$AM$12)*1</f>
        <v>91.421403244159023</v>
      </c>
      <c r="AA58" s="6"/>
      <c r="AB58" s="6">
        <f>$K$58*$V$58</f>
        <v>0</v>
      </c>
      <c r="AC58" s="6">
        <f>$M$58*$W$58</f>
        <v>4605.8213049999995</v>
      </c>
      <c r="AD58" s="6">
        <f>$O$58*$X$58</f>
        <v>0</v>
      </c>
      <c r="AE58" s="6">
        <f>$K$58*$Y$58</f>
        <v>0</v>
      </c>
      <c r="AF58" s="6">
        <f ca="1">$M$58*$Z$58</f>
        <v>6239.0079536960111</v>
      </c>
      <c r="AG58" s="6">
        <f>$O$58*$AA$58</f>
        <v>0</v>
      </c>
    </row>
    <row r="59" spans="1:33" ht="11.25" customHeight="1" x14ac:dyDescent="0.3">
      <c r="A59" s="4" t="s">
        <v>27</v>
      </c>
      <c r="B59" s="4" t="s">
        <v>39</v>
      </c>
      <c r="C59" s="4" t="s">
        <v>40</v>
      </c>
      <c r="D59" s="4" t="s">
        <v>38</v>
      </c>
      <c r="E59" s="4" t="s">
        <v>25</v>
      </c>
      <c r="F59" s="4" t="s">
        <v>51</v>
      </c>
      <c r="G59" s="4" t="s">
        <v>25</v>
      </c>
      <c r="H59" s="4" t="s">
        <v>35</v>
      </c>
      <c r="I59" s="5">
        <v>44470</v>
      </c>
      <c r="J59" s="6">
        <v>0</v>
      </c>
      <c r="K59" s="6">
        <v>0</v>
      </c>
      <c r="L59" s="6">
        <v>136.489</v>
      </c>
      <c r="M59" s="6">
        <v>68.244500000000002</v>
      </c>
      <c r="N59" s="6">
        <v>0</v>
      </c>
      <c r="O59" s="6">
        <v>0</v>
      </c>
      <c r="P59" s="6">
        <v>0</v>
      </c>
      <c r="Q59" s="4" t="s">
        <v>52</v>
      </c>
      <c r="R59" s="4">
        <v>0</v>
      </c>
      <c r="S59" s="6">
        <v>0</v>
      </c>
      <c r="T59" s="6">
        <v>6</v>
      </c>
      <c r="U59" s="6">
        <v>0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67.489999999999995</v>
      </c>
      <c r="X59" s="6">
        <f>IF(ISERROR(VLOOKUP($U$59,'TAR FIN'!$A$1:$O$85,15,0)),0,VLOOKUP($U$59,'TAR FIN'!$A$1:$O$85,15,0))</f>
        <v>0</v>
      </c>
      <c r="Y59" s="6"/>
      <c r="Z59" s="6">
        <f ca="1">('TUSD BE'!$AM$12+'TUSD BF'!$AM$12+'TUSD CVA'!$AM$12)*1</f>
        <v>91.421403244159023</v>
      </c>
      <c r="AA59" s="6"/>
      <c r="AB59" s="6">
        <f>$K$59*$V$59</f>
        <v>0</v>
      </c>
      <c r="AC59" s="6">
        <f>$M$59*$W$59</f>
        <v>4605.8213049999995</v>
      </c>
      <c r="AD59" s="6">
        <f>$O$59*$X$59</f>
        <v>0</v>
      </c>
      <c r="AE59" s="6">
        <f>$K$59*$Y$59</f>
        <v>0</v>
      </c>
      <c r="AF59" s="6">
        <f ca="1">$M$59*$Z$59</f>
        <v>6239.0079536960111</v>
      </c>
      <c r="AG59" s="6">
        <f>$O$59*$AA$59</f>
        <v>0</v>
      </c>
    </row>
    <row r="60" spans="1:33" ht="11.25" customHeight="1" x14ac:dyDescent="0.3">
      <c r="A60" s="4" t="s">
        <v>21</v>
      </c>
      <c r="B60" s="4" t="s">
        <v>39</v>
      </c>
      <c r="C60" s="4" t="s">
        <v>40</v>
      </c>
      <c r="D60" s="4" t="s">
        <v>38</v>
      </c>
      <c r="E60" s="4" t="s">
        <v>25</v>
      </c>
      <c r="F60" s="4" t="s">
        <v>51</v>
      </c>
      <c r="G60" s="4" t="s">
        <v>25</v>
      </c>
      <c r="H60" s="4" t="s">
        <v>35</v>
      </c>
      <c r="I60" s="5">
        <v>44501</v>
      </c>
      <c r="J60" s="6">
        <v>0</v>
      </c>
      <c r="K60" s="6">
        <v>0</v>
      </c>
      <c r="L60" s="6">
        <v>129.18799999999999</v>
      </c>
      <c r="M60" s="6">
        <v>64.593999999999994</v>
      </c>
      <c r="N60" s="6">
        <v>0</v>
      </c>
      <c r="O60" s="6">
        <v>0</v>
      </c>
      <c r="P60" s="6">
        <v>0</v>
      </c>
      <c r="Q60" s="4" t="s">
        <v>52</v>
      </c>
      <c r="R60" s="4">
        <v>0</v>
      </c>
      <c r="S60" s="6">
        <v>0</v>
      </c>
      <c r="T60" s="6">
        <v>6</v>
      </c>
      <c r="U60" s="6">
        <v>0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67.489999999999995</v>
      </c>
      <c r="X60" s="6">
        <f>IF(ISERROR(VLOOKUP($U$60,'TAR FIN'!$A$1:$O$85,15,0)),0,VLOOKUP($U$60,'TAR FIN'!$A$1:$O$85,15,0))</f>
        <v>0</v>
      </c>
      <c r="Y60" s="6"/>
      <c r="Z60" s="6">
        <f ca="1">('TUSD BE'!$AM$12+'TUSD BF'!$AM$12+'TUSD CVA'!$AM$12)*1</f>
        <v>91.421403244159023</v>
      </c>
      <c r="AA60" s="6"/>
      <c r="AB60" s="6">
        <f>$K$60*$V$60</f>
        <v>0</v>
      </c>
      <c r="AC60" s="6">
        <f>$M$60*$W$60</f>
        <v>4359.449059999999</v>
      </c>
      <c r="AD60" s="6">
        <f>$O$60*$X$60</f>
        <v>0</v>
      </c>
      <c r="AE60" s="6">
        <f>$K$60*$Y$60</f>
        <v>0</v>
      </c>
      <c r="AF60" s="6">
        <f ca="1">$M$60*$Z$60</f>
        <v>5905.2741211532075</v>
      </c>
      <c r="AG60" s="6">
        <f>$O$60*$AA$60</f>
        <v>0</v>
      </c>
    </row>
    <row r="61" spans="1:33" ht="11.25" customHeight="1" x14ac:dyDescent="0.3">
      <c r="A61" s="4" t="s">
        <v>27</v>
      </c>
      <c r="B61" s="4" t="s">
        <v>39</v>
      </c>
      <c r="C61" s="4" t="s">
        <v>40</v>
      </c>
      <c r="D61" s="4" t="s">
        <v>38</v>
      </c>
      <c r="E61" s="4" t="s">
        <v>25</v>
      </c>
      <c r="F61" s="4" t="s">
        <v>51</v>
      </c>
      <c r="G61" s="4" t="s">
        <v>25</v>
      </c>
      <c r="H61" s="4" t="s">
        <v>35</v>
      </c>
      <c r="I61" s="5">
        <v>44501</v>
      </c>
      <c r="J61" s="6">
        <v>0</v>
      </c>
      <c r="K61" s="6">
        <v>0</v>
      </c>
      <c r="L61" s="6">
        <v>129.18799999999999</v>
      </c>
      <c r="M61" s="6">
        <v>64.593999999999994</v>
      </c>
      <c r="N61" s="6">
        <v>0</v>
      </c>
      <c r="O61" s="6">
        <v>0</v>
      </c>
      <c r="P61" s="6">
        <v>0</v>
      </c>
      <c r="Q61" s="4" t="s">
        <v>52</v>
      </c>
      <c r="R61" s="4">
        <v>0</v>
      </c>
      <c r="S61" s="6">
        <v>0</v>
      </c>
      <c r="T61" s="6">
        <v>6</v>
      </c>
      <c r="U61" s="6">
        <v>0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67.489999999999995</v>
      </c>
      <c r="X61" s="6">
        <f>IF(ISERROR(VLOOKUP($U$61,'TAR FIN'!$A$1:$O$85,15,0)),0,VLOOKUP($U$61,'TAR FIN'!$A$1:$O$85,15,0))</f>
        <v>0</v>
      </c>
      <c r="Y61" s="6"/>
      <c r="Z61" s="6">
        <f ca="1">('TUSD BE'!$AM$12+'TUSD BF'!$AM$12+'TUSD CVA'!$AM$12)*1</f>
        <v>91.421403244159023</v>
      </c>
      <c r="AA61" s="6"/>
      <c r="AB61" s="6">
        <f>$K$61*$V$61</f>
        <v>0</v>
      </c>
      <c r="AC61" s="6">
        <f>$M$61*$W$61</f>
        <v>4359.449059999999</v>
      </c>
      <c r="AD61" s="6">
        <f>$O$61*$X$61</f>
        <v>0</v>
      </c>
      <c r="AE61" s="6">
        <f>$K$61*$Y$61</f>
        <v>0</v>
      </c>
      <c r="AF61" s="6">
        <f ca="1">$M$61*$Z$61</f>
        <v>5905.2741211532075</v>
      </c>
      <c r="AG61" s="6">
        <f>$O$61*$AA$61</f>
        <v>0</v>
      </c>
    </row>
    <row r="62" spans="1:33" ht="11.25" customHeight="1" x14ac:dyDescent="0.3">
      <c r="A62" s="4" t="s">
        <v>21</v>
      </c>
      <c r="B62" s="4" t="s">
        <v>39</v>
      </c>
      <c r="C62" s="4" t="s">
        <v>40</v>
      </c>
      <c r="D62" s="4" t="s">
        <v>38</v>
      </c>
      <c r="E62" s="4" t="s">
        <v>25</v>
      </c>
      <c r="F62" s="4" t="s">
        <v>51</v>
      </c>
      <c r="G62" s="4" t="s">
        <v>25</v>
      </c>
      <c r="H62" s="4" t="s">
        <v>35</v>
      </c>
      <c r="I62" s="5">
        <v>44531</v>
      </c>
      <c r="J62" s="6">
        <v>0</v>
      </c>
      <c r="K62" s="6">
        <v>0</v>
      </c>
      <c r="L62" s="6">
        <v>132.274</v>
      </c>
      <c r="M62" s="6">
        <v>66.137</v>
      </c>
      <c r="N62" s="6">
        <v>0</v>
      </c>
      <c r="O62" s="6">
        <v>0</v>
      </c>
      <c r="P62" s="6">
        <v>0</v>
      </c>
      <c r="Q62" s="4" t="s">
        <v>52</v>
      </c>
      <c r="R62" s="4">
        <v>0</v>
      </c>
      <c r="S62" s="6">
        <v>0</v>
      </c>
      <c r="T62" s="6">
        <v>6</v>
      </c>
      <c r="U62" s="6">
        <v>0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67.489999999999995</v>
      </c>
      <c r="X62" s="6">
        <f>IF(ISERROR(VLOOKUP($U$62,'TAR FIN'!$A$1:$O$85,15,0)),0,VLOOKUP($U$62,'TAR FIN'!$A$1:$O$85,15,0))</f>
        <v>0</v>
      </c>
      <c r="Y62" s="6"/>
      <c r="Z62" s="6">
        <f ca="1">('TUSD BE'!$AM$12+'TUSD BF'!$AM$12+'TUSD CVA'!$AM$12)*1</f>
        <v>91.421403244159023</v>
      </c>
      <c r="AA62" s="6"/>
      <c r="AB62" s="6">
        <f>$K$62*$V$62</f>
        <v>0</v>
      </c>
      <c r="AC62" s="6">
        <f>$M$62*$W$62</f>
        <v>4463.5861299999997</v>
      </c>
      <c r="AD62" s="6">
        <f>$O$62*$X$62</f>
        <v>0</v>
      </c>
      <c r="AE62" s="6">
        <f>$K$62*$Y$62</f>
        <v>0</v>
      </c>
      <c r="AF62" s="6">
        <f ca="1">$M$62*$Z$62</f>
        <v>6046.3373463589451</v>
      </c>
      <c r="AG62" s="6">
        <f>$O$62*$AA$62</f>
        <v>0</v>
      </c>
    </row>
    <row r="63" spans="1:33" ht="11.25" customHeight="1" x14ac:dyDescent="0.3">
      <c r="A63" s="4" t="s">
        <v>27</v>
      </c>
      <c r="B63" s="4" t="s">
        <v>39</v>
      </c>
      <c r="C63" s="4" t="s">
        <v>40</v>
      </c>
      <c r="D63" s="4" t="s">
        <v>38</v>
      </c>
      <c r="E63" s="4" t="s">
        <v>25</v>
      </c>
      <c r="F63" s="4" t="s">
        <v>51</v>
      </c>
      <c r="G63" s="4" t="s">
        <v>25</v>
      </c>
      <c r="H63" s="4" t="s">
        <v>35</v>
      </c>
      <c r="I63" s="5">
        <v>44531</v>
      </c>
      <c r="J63" s="6">
        <v>0</v>
      </c>
      <c r="K63" s="6">
        <v>0</v>
      </c>
      <c r="L63" s="6">
        <v>132.274</v>
      </c>
      <c r="M63" s="6">
        <v>66.137</v>
      </c>
      <c r="N63" s="6">
        <v>0</v>
      </c>
      <c r="O63" s="6">
        <v>0</v>
      </c>
      <c r="P63" s="6">
        <v>0</v>
      </c>
      <c r="Q63" s="4" t="s">
        <v>52</v>
      </c>
      <c r="R63" s="4">
        <v>0</v>
      </c>
      <c r="S63" s="6">
        <v>0</v>
      </c>
      <c r="T63" s="6">
        <v>6</v>
      </c>
      <c r="U63" s="6">
        <v>0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67.489999999999995</v>
      </c>
      <c r="X63" s="6">
        <f>IF(ISERROR(VLOOKUP($U$63,'TAR FIN'!$A$1:$O$85,15,0)),0,VLOOKUP($U$63,'TAR FIN'!$A$1:$O$85,15,0))</f>
        <v>0</v>
      </c>
      <c r="Y63" s="6"/>
      <c r="Z63" s="6">
        <f ca="1">('TUSD BE'!$AM$12+'TUSD BF'!$AM$12+'TUSD CVA'!$AM$12)*1</f>
        <v>91.421403244159023</v>
      </c>
      <c r="AA63" s="6"/>
      <c r="AB63" s="6">
        <f>$K$63*$V$63</f>
        <v>0</v>
      </c>
      <c r="AC63" s="6">
        <f>$M$63*$W$63</f>
        <v>4463.5861299999997</v>
      </c>
      <c r="AD63" s="6">
        <f>$O$63*$X$63</f>
        <v>0</v>
      </c>
      <c r="AE63" s="6">
        <f>$K$63*$Y$63</f>
        <v>0</v>
      </c>
      <c r="AF63" s="6">
        <f ca="1">$M$63*$Z$63</f>
        <v>6046.3373463589451</v>
      </c>
      <c r="AG63" s="6">
        <f>$O$63*$AA$63</f>
        <v>0</v>
      </c>
    </row>
    <row r="64" spans="1:33" ht="11.25" customHeight="1" x14ac:dyDescent="0.3">
      <c r="A64" s="4" t="s">
        <v>21</v>
      </c>
      <c r="B64" s="4" t="s">
        <v>39</v>
      </c>
      <c r="C64" s="4" t="s">
        <v>40</v>
      </c>
      <c r="D64" s="4" t="s">
        <v>38</v>
      </c>
      <c r="E64" s="4" t="s">
        <v>25</v>
      </c>
      <c r="F64" s="4" t="s">
        <v>51</v>
      </c>
      <c r="G64" s="4" t="s">
        <v>25</v>
      </c>
      <c r="H64" s="4" t="s">
        <v>35</v>
      </c>
      <c r="I64" s="5">
        <v>44562</v>
      </c>
      <c r="J64" s="6">
        <v>0</v>
      </c>
      <c r="K64" s="6">
        <v>0</v>
      </c>
      <c r="L64" s="6">
        <v>150.48500000000001</v>
      </c>
      <c r="M64" s="6">
        <v>75.242500000000007</v>
      </c>
      <c r="N64" s="6">
        <v>0</v>
      </c>
      <c r="O64" s="6">
        <v>0</v>
      </c>
      <c r="P64" s="6">
        <v>0</v>
      </c>
      <c r="Q64" s="4" t="s">
        <v>52</v>
      </c>
      <c r="R64" s="4">
        <v>0</v>
      </c>
      <c r="S64" s="6">
        <v>0</v>
      </c>
      <c r="T64" s="6">
        <v>6</v>
      </c>
      <c r="U64" s="6">
        <v>0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67.489999999999995</v>
      </c>
      <c r="X64" s="6">
        <f>IF(ISERROR(VLOOKUP($U$64,'TAR FIN'!$A$1:$O$85,15,0)),0,VLOOKUP($U$64,'TAR FIN'!$A$1:$O$85,15,0))</f>
        <v>0</v>
      </c>
      <c r="Y64" s="6"/>
      <c r="Z64" s="6">
        <f ca="1">('TUSD BE'!$AM$12+'TUSD BF'!$AM$12+'TUSD CVA'!$AM$12)*1</f>
        <v>91.421403244159023</v>
      </c>
      <c r="AA64" s="6"/>
      <c r="AB64" s="6">
        <f>$K$64*$V$64</f>
        <v>0</v>
      </c>
      <c r="AC64" s="6">
        <f>$M$64*$W$64</f>
        <v>5078.116325</v>
      </c>
      <c r="AD64" s="6">
        <f>$O$64*$X$64</f>
        <v>0</v>
      </c>
      <c r="AE64" s="6">
        <f>$K$64*$Y$64</f>
        <v>0</v>
      </c>
      <c r="AF64" s="6">
        <f ca="1">$M$64*$Z$64</f>
        <v>6878.7749335986364</v>
      </c>
      <c r="AG64" s="6">
        <f>$O$64*$AA$64</f>
        <v>0</v>
      </c>
    </row>
    <row r="65" spans="1:33" ht="11.25" customHeight="1" x14ac:dyDescent="0.3">
      <c r="A65" s="4" t="s">
        <v>27</v>
      </c>
      <c r="B65" s="4" t="s">
        <v>39</v>
      </c>
      <c r="C65" s="4" t="s">
        <v>40</v>
      </c>
      <c r="D65" s="4" t="s">
        <v>38</v>
      </c>
      <c r="E65" s="4" t="s">
        <v>25</v>
      </c>
      <c r="F65" s="4" t="s">
        <v>51</v>
      </c>
      <c r="G65" s="4" t="s">
        <v>25</v>
      </c>
      <c r="H65" s="4" t="s">
        <v>35</v>
      </c>
      <c r="I65" s="5">
        <v>44562</v>
      </c>
      <c r="J65" s="6">
        <v>0</v>
      </c>
      <c r="K65" s="6">
        <v>0</v>
      </c>
      <c r="L65" s="6">
        <v>150.48500000000001</v>
      </c>
      <c r="M65" s="6">
        <v>75.242500000000007</v>
      </c>
      <c r="N65" s="6">
        <v>0</v>
      </c>
      <c r="O65" s="6">
        <v>0</v>
      </c>
      <c r="P65" s="6">
        <v>0</v>
      </c>
      <c r="Q65" s="4" t="s">
        <v>52</v>
      </c>
      <c r="R65" s="4">
        <v>0</v>
      </c>
      <c r="S65" s="6">
        <v>0</v>
      </c>
      <c r="T65" s="6">
        <v>6</v>
      </c>
      <c r="U65" s="6">
        <v>0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67.489999999999995</v>
      </c>
      <c r="X65" s="6">
        <f>IF(ISERROR(VLOOKUP($U$65,'TAR FIN'!$A$1:$O$85,15,0)),0,VLOOKUP($U$65,'TAR FIN'!$A$1:$O$85,15,0))</f>
        <v>0</v>
      </c>
      <c r="Y65" s="6"/>
      <c r="Z65" s="6">
        <f ca="1">('TUSD BE'!$AM$12+'TUSD BF'!$AM$12+'TUSD CVA'!$AM$12)*1</f>
        <v>91.421403244159023</v>
      </c>
      <c r="AA65" s="6"/>
      <c r="AB65" s="6">
        <f>$K$65*$V$65</f>
        <v>0</v>
      </c>
      <c r="AC65" s="6">
        <f>$M$65*$W$65</f>
        <v>5078.116325</v>
      </c>
      <c r="AD65" s="6">
        <f>$O$65*$X$65</f>
        <v>0</v>
      </c>
      <c r="AE65" s="6">
        <f>$K$65*$Y$65</f>
        <v>0</v>
      </c>
      <c r="AF65" s="6">
        <f ca="1">$M$65*$Z$65</f>
        <v>6878.7749335986364</v>
      </c>
      <c r="AG65" s="6">
        <f>$O$65*$AA$65</f>
        <v>0</v>
      </c>
    </row>
    <row r="66" spans="1:33" ht="11.25" customHeight="1" x14ac:dyDescent="0.3">
      <c r="A66" s="4" t="s">
        <v>21</v>
      </c>
      <c r="B66" s="4" t="s">
        <v>39</v>
      </c>
      <c r="C66" s="4" t="s">
        <v>40</v>
      </c>
      <c r="D66" s="4" t="s">
        <v>38</v>
      </c>
      <c r="E66" s="4" t="s">
        <v>25</v>
      </c>
      <c r="F66" s="4" t="s">
        <v>51</v>
      </c>
      <c r="G66" s="4" t="s">
        <v>25</v>
      </c>
      <c r="H66" s="4" t="s">
        <v>35</v>
      </c>
      <c r="I66" s="5">
        <v>44593</v>
      </c>
      <c r="J66" s="6">
        <v>0</v>
      </c>
      <c r="K66" s="6">
        <v>0</v>
      </c>
      <c r="L66" s="6">
        <v>105.614</v>
      </c>
      <c r="M66" s="6">
        <v>52.807000000000002</v>
      </c>
      <c r="N66" s="6">
        <v>0</v>
      </c>
      <c r="O66" s="6">
        <v>0</v>
      </c>
      <c r="P66" s="6">
        <v>0</v>
      </c>
      <c r="Q66" s="4" t="s">
        <v>52</v>
      </c>
      <c r="R66" s="4">
        <v>0</v>
      </c>
      <c r="S66" s="6">
        <v>0</v>
      </c>
      <c r="T66" s="6">
        <v>6</v>
      </c>
      <c r="U66" s="6">
        <v>0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67.489999999999995</v>
      </c>
      <c r="X66" s="6">
        <f>IF(ISERROR(VLOOKUP($U$66,'TAR FIN'!$A$1:$O$85,15,0)),0,VLOOKUP($U$66,'TAR FIN'!$A$1:$O$85,15,0))</f>
        <v>0</v>
      </c>
      <c r="Y66" s="6"/>
      <c r="Z66" s="6">
        <f ca="1">('TUSD BE'!$AM$12+'TUSD BF'!$AM$12+'TUSD CVA'!$AM$12)*1</f>
        <v>91.421403244159023</v>
      </c>
      <c r="AA66" s="6"/>
      <c r="AB66" s="6">
        <f>$K$66*$V$66</f>
        <v>0</v>
      </c>
      <c r="AC66" s="6">
        <f>$M$66*$W$66</f>
        <v>3563.94443</v>
      </c>
      <c r="AD66" s="6">
        <f>$O$66*$X$66</f>
        <v>0</v>
      </c>
      <c r="AE66" s="6">
        <f>$K$66*$Y$66</f>
        <v>0</v>
      </c>
      <c r="AF66" s="6">
        <f ca="1">$M$66*$Z$66</f>
        <v>4827.690041114306</v>
      </c>
      <c r="AG66" s="6">
        <f>$O$66*$AA$66</f>
        <v>0</v>
      </c>
    </row>
    <row r="67" spans="1:33" ht="11.25" customHeight="1" x14ac:dyDescent="0.3">
      <c r="A67" s="4" t="s">
        <v>27</v>
      </c>
      <c r="B67" s="4" t="s">
        <v>39</v>
      </c>
      <c r="C67" s="4" t="s">
        <v>40</v>
      </c>
      <c r="D67" s="4" t="s">
        <v>38</v>
      </c>
      <c r="E67" s="4" t="s">
        <v>25</v>
      </c>
      <c r="F67" s="4" t="s">
        <v>51</v>
      </c>
      <c r="G67" s="4" t="s">
        <v>25</v>
      </c>
      <c r="H67" s="4" t="s">
        <v>35</v>
      </c>
      <c r="I67" s="5">
        <v>44593</v>
      </c>
      <c r="J67" s="6">
        <v>0</v>
      </c>
      <c r="K67" s="6">
        <v>0</v>
      </c>
      <c r="L67" s="6">
        <v>105.614</v>
      </c>
      <c r="M67" s="6">
        <v>52.807000000000002</v>
      </c>
      <c r="N67" s="6">
        <v>0</v>
      </c>
      <c r="O67" s="6">
        <v>0</v>
      </c>
      <c r="P67" s="6">
        <v>0</v>
      </c>
      <c r="Q67" s="4" t="s">
        <v>52</v>
      </c>
      <c r="R67" s="4">
        <v>0</v>
      </c>
      <c r="S67" s="6">
        <v>0</v>
      </c>
      <c r="T67" s="6">
        <v>6</v>
      </c>
      <c r="U67" s="6">
        <v>0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67.489999999999995</v>
      </c>
      <c r="X67" s="6">
        <f>IF(ISERROR(VLOOKUP($U$67,'TAR FIN'!$A$1:$O$85,15,0)),0,VLOOKUP($U$67,'TAR FIN'!$A$1:$O$85,15,0))</f>
        <v>0</v>
      </c>
      <c r="Y67" s="6"/>
      <c r="Z67" s="6">
        <f ca="1">('TUSD BE'!$AM$12+'TUSD BF'!$AM$12+'TUSD CVA'!$AM$12)*1</f>
        <v>91.421403244159023</v>
      </c>
      <c r="AA67" s="6"/>
      <c r="AB67" s="6">
        <f>$K$67*$V$67</f>
        <v>0</v>
      </c>
      <c r="AC67" s="6">
        <f>$M$67*$W$67</f>
        <v>3563.94443</v>
      </c>
      <c r="AD67" s="6">
        <f>$O$67*$X$67</f>
        <v>0</v>
      </c>
      <c r="AE67" s="6">
        <f>$K$67*$Y$67</f>
        <v>0</v>
      </c>
      <c r="AF67" s="6">
        <f ca="1">$M$67*$Z$67</f>
        <v>4827.690041114306</v>
      </c>
      <c r="AG67" s="6">
        <f>$O$67*$AA$67</f>
        <v>0</v>
      </c>
    </row>
    <row r="68" spans="1:33" ht="11.25" customHeight="1" x14ac:dyDescent="0.3">
      <c r="A68" s="4" t="s">
        <v>21</v>
      </c>
      <c r="B68" s="4" t="s">
        <v>39</v>
      </c>
      <c r="C68" s="4" t="s">
        <v>40</v>
      </c>
      <c r="D68" s="4" t="s">
        <v>38</v>
      </c>
      <c r="E68" s="4" t="s">
        <v>25</v>
      </c>
      <c r="F68" s="4" t="s">
        <v>51</v>
      </c>
      <c r="G68" s="4" t="s">
        <v>25</v>
      </c>
      <c r="H68" s="4" t="s">
        <v>35</v>
      </c>
      <c r="I68" s="5">
        <v>44621</v>
      </c>
      <c r="J68" s="6">
        <v>0</v>
      </c>
      <c r="K68" s="6">
        <v>0</v>
      </c>
      <c r="L68" s="6">
        <v>134.99199999999999</v>
      </c>
      <c r="M68" s="6">
        <v>67.495999999999995</v>
      </c>
      <c r="N68" s="6">
        <v>0</v>
      </c>
      <c r="O68" s="6">
        <v>0</v>
      </c>
      <c r="P68" s="6">
        <v>0</v>
      </c>
      <c r="Q68" s="4" t="s">
        <v>52</v>
      </c>
      <c r="R68" s="4">
        <v>0</v>
      </c>
      <c r="S68" s="6">
        <v>0</v>
      </c>
      <c r="T68" s="6">
        <v>6</v>
      </c>
      <c r="U68" s="6">
        <v>0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67.489999999999995</v>
      </c>
      <c r="X68" s="6">
        <f>IF(ISERROR(VLOOKUP($U$68,'TAR FIN'!$A$1:$O$85,15,0)),0,VLOOKUP($U$68,'TAR FIN'!$A$1:$O$85,15,0))</f>
        <v>0</v>
      </c>
      <c r="Y68" s="6"/>
      <c r="Z68" s="6">
        <f ca="1">('TUSD BE'!$AM$12+'TUSD BF'!$AM$12+'TUSD CVA'!$AM$12)*1</f>
        <v>91.421403244159023</v>
      </c>
      <c r="AA68" s="6"/>
      <c r="AB68" s="6">
        <f>$K$68*$V$68</f>
        <v>0</v>
      </c>
      <c r="AC68" s="6">
        <f>$M$68*$W$68</f>
        <v>4555.3050399999993</v>
      </c>
      <c r="AD68" s="6">
        <f>$O$68*$X$68</f>
        <v>0</v>
      </c>
      <c r="AE68" s="6">
        <f>$K$68*$Y$68</f>
        <v>0</v>
      </c>
      <c r="AF68" s="6">
        <f ca="1">$M$68*$Z$68</f>
        <v>6170.5790333677569</v>
      </c>
      <c r="AG68" s="6">
        <f>$O$68*$AA$68</f>
        <v>0</v>
      </c>
    </row>
    <row r="69" spans="1:33" ht="11.25" customHeight="1" x14ac:dyDescent="0.3">
      <c r="A69" s="4" t="s">
        <v>27</v>
      </c>
      <c r="B69" s="4" t="s">
        <v>39</v>
      </c>
      <c r="C69" s="4" t="s">
        <v>40</v>
      </c>
      <c r="D69" s="4" t="s">
        <v>38</v>
      </c>
      <c r="E69" s="4" t="s">
        <v>25</v>
      </c>
      <c r="F69" s="4" t="s">
        <v>51</v>
      </c>
      <c r="G69" s="4" t="s">
        <v>25</v>
      </c>
      <c r="H69" s="4" t="s">
        <v>35</v>
      </c>
      <c r="I69" s="5">
        <v>44621</v>
      </c>
      <c r="J69" s="6">
        <v>0</v>
      </c>
      <c r="K69" s="6">
        <v>0</v>
      </c>
      <c r="L69" s="6">
        <v>134.99199999999999</v>
      </c>
      <c r="M69" s="6">
        <v>67.495999999999995</v>
      </c>
      <c r="N69" s="6">
        <v>0</v>
      </c>
      <c r="O69" s="6">
        <v>0</v>
      </c>
      <c r="P69" s="6">
        <v>0</v>
      </c>
      <c r="Q69" s="4" t="s">
        <v>52</v>
      </c>
      <c r="R69" s="4">
        <v>0</v>
      </c>
      <c r="S69" s="6">
        <v>0</v>
      </c>
      <c r="T69" s="6">
        <v>6</v>
      </c>
      <c r="U69" s="6">
        <v>0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67.489999999999995</v>
      </c>
      <c r="X69" s="6">
        <f>IF(ISERROR(VLOOKUP($U$69,'TAR FIN'!$A$1:$O$85,15,0)),0,VLOOKUP($U$69,'TAR FIN'!$A$1:$O$85,15,0))</f>
        <v>0</v>
      </c>
      <c r="Y69" s="6"/>
      <c r="Z69" s="6">
        <f ca="1">('TUSD BE'!$AM$12+'TUSD BF'!$AM$12+'TUSD CVA'!$AM$12)*1</f>
        <v>91.421403244159023</v>
      </c>
      <c r="AA69" s="6"/>
      <c r="AB69" s="6">
        <f>$K$69*$V$69</f>
        <v>0</v>
      </c>
      <c r="AC69" s="6">
        <f>$M$69*$W$69</f>
        <v>4555.3050399999993</v>
      </c>
      <c r="AD69" s="6">
        <f>$O$69*$X$69</f>
        <v>0</v>
      </c>
      <c r="AE69" s="6">
        <f>$K$69*$Y$69</f>
        <v>0</v>
      </c>
      <c r="AF69" s="6">
        <f ca="1">$M$69*$Z$69</f>
        <v>6170.5790333677569</v>
      </c>
      <c r="AG69" s="6">
        <f>$O$69*$AA$69</f>
        <v>0</v>
      </c>
    </row>
    <row r="70" spans="1:33" ht="11.25" customHeight="1" x14ac:dyDescent="0.3">
      <c r="A70" s="4" t="s">
        <v>21</v>
      </c>
      <c r="B70" s="4" t="s">
        <v>39</v>
      </c>
      <c r="C70" s="4" t="s">
        <v>40</v>
      </c>
      <c r="D70" s="4" t="s">
        <v>38</v>
      </c>
      <c r="E70" s="4" t="s">
        <v>25</v>
      </c>
      <c r="F70" s="4" t="s">
        <v>51</v>
      </c>
      <c r="G70" s="4" t="s">
        <v>25</v>
      </c>
      <c r="H70" s="4" t="s">
        <v>35</v>
      </c>
      <c r="I70" s="5">
        <v>44652</v>
      </c>
      <c r="J70" s="6">
        <v>0</v>
      </c>
      <c r="K70" s="6">
        <v>0</v>
      </c>
      <c r="L70" s="6">
        <v>121.937</v>
      </c>
      <c r="M70" s="6">
        <v>60.968499999999999</v>
      </c>
      <c r="N70" s="6">
        <v>0</v>
      </c>
      <c r="O70" s="6">
        <v>0</v>
      </c>
      <c r="P70" s="6">
        <v>0</v>
      </c>
      <c r="Q70" s="4" t="s">
        <v>52</v>
      </c>
      <c r="R70" s="4">
        <v>0</v>
      </c>
      <c r="S70" s="6">
        <v>0</v>
      </c>
      <c r="T70" s="6">
        <v>6</v>
      </c>
      <c r="U70" s="6">
        <v>0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67.489999999999995</v>
      </c>
      <c r="X70" s="6">
        <f>IF(ISERROR(VLOOKUP($U$70,'TAR FIN'!$A$1:$O$85,15,0)),0,VLOOKUP($U$70,'TAR FIN'!$A$1:$O$85,15,0))</f>
        <v>0</v>
      </c>
      <c r="Y70" s="6"/>
      <c r="Z70" s="6">
        <f ca="1">('TUSD BE'!$AM$12+'TUSD BF'!$AM$12+'TUSD CVA'!$AM$12)*1</f>
        <v>91.421403244159023</v>
      </c>
      <c r="AA70" s="6"/>
      <c r="AB70" s="6">
        <f>$K$70*$V$70</f>
        <v>0</v>
      </c>
      <c r="AC70" s="6">
        <f>$M$70*$W$70</f>
        <v>4114.7640649999994</v>
      </c>
      <c r="AD70" s="6">
        <f>$O$70*$X$70</f>
        <v>0</v>
      </c>
      <c r="AE70" s="6">
        <f>$K$70*$Y$70</f>
        <v>0</v>
      </c>
      <c r="AF70" s="6">
        <f ca="1">$M$70*$Z$70</f>
        <v>5573.825823691509</v>
      </c>
      <c r="AG70" s="6">
        <f>$O$70*$AA$70</f>
        <v>0</v>
      </c>
    </row>
    <row r="71" spans="1:33" ht="11.25" customHeight="1" x14ac:dyDescent="0.3">
      <c r="A71" s="4" t="s">
        <v>27</v>
      </c>
      <c r="B71" s="4" t="s">
        <v>39</v>
      </c>
      <c r="C71" s="4" t="s">
        <v>40</v>
      </c>
      <c r="D71" s="4" t="s">
        <v>38</v>
      </c>
      <c r="E71" s="4" t="s">
        <v>25</v>
      </c>
      <c r="F71" s="4" t="s">
        <v>51</v>
      </c>
      <c r="G71" s="4" t="s">
        <v>25</v>
      </c>
      <c r="H71" s="4" t="s">
        <v>35</v>
      </c>
      <c r="I71" s="5">
        <v>44652</v>
      </c>
      <c r="J71" s="6">
        <v>0</v>
      </c>
      <c r="K71" s="6">
        <v>0</v>
      </c>
      <c r="L71" s="6">
        <v>121.937</v>
      </c>
      <c r="M71" s="6">
        <v>60.968499999999999</v>
      </c>
      <c r="N71" s="6">
        <v>0</v>
      </c>
      <c r="O71" s="6">
        <v>0</v>
      </c>
      <c r="P71" s="6">
        <v>0</v>
      </c>
      <c r="Q71" s="4" t="s">
        <v>52</v>
      </c>
      <c r="R71" s="4">
        <v>0</v>
      </c>
      <c r="S71" s="6">
        <v>0</v>
      </c>
      <c r="T71" s="6">
        <v>6</v>
      </c>
      <c r="U71" s="6">
        <v>0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67.489999999999995</v>
      </c>
      <c r="X71" s="6">
        <f>IF(ISERROR(VLOOKUP($U$71,'TAR FIN'!$A$1:$O$85,15,0)),0,VLOOKUP($U$71,'TAR FIN'!$A$1:$O$85,15,0))</f>
        <v>0</v>
      </c>
      <c r="Y71" s="6"/>
      <c r="Z71" s="6">
        <f ca="1">('TUSD BE'!$AM$12+'TUSD BF'!$AM$12+'TUSD CVA'!$AM$12)*1</f>
        <v>91.421403244159023</v>
      </c>
      <c r="AA71" s="6"/>
      <c r="AB71" s="6">
        <f>$K$71*$V$71</f>
        <v>0</v>
      </c>
      <c r="AC71" s="6">
        <f>$M$71*$W$71</f>
        <v>4114.7640649999994</v>
      </c>
      <c r="AD71" s="6">
        <f>$O$71*$X$71</f>
        <v>0</v>
      </c>
      <c r="AE71" s="6">
        <f>$K$71*$Y$71</f>
        <v>0</v>
      </c>
      <c r="AF71" s="6">
        <f ca="1">$M$71*$Z$71</f>
        <v>5573.825823691509</v>
      </c>
      <c r="AG71" s="6">
        <f>$O$71*$AA$71</f>
        <v>0</v>
      </c>
    </row>
    <row r="72" spans="1:33" ht="11.25" customHeight="1" x14ac:dyDescent="0.3">
      <c r="A72" s="4" t="s">
        <v>21</v>
      </c>
      <c r="B72" s="4" t="s">
        <v>39</v>
      </c>
      <c r="C72" s="4" t="s">
        <v>40</v>
      </c>
      <c r="D72" s="4" t="s">
        <v>38</v>
      </c>
      <c r="E72" s="4" t="s">
        <v>25</v>
      </c>
      <c r="F72" s="4" t="s">
        <v>51</v>
      </c>
      <c r="G72" s="4" t="s">
        <v>25</v>
      </c>
      <c r="H72" s="4" t="s">
        <v>35</v>
      </c>
      <c r="I72" s="5">
        <v>44682</v>
      </c>
      <c r="J72" s="6">
        <v>0</v>
      </c>
      <c r="K72" s="6">
        <v>0</v>
      </c>
      <c r="L72" s="6">
        <v>134.49</v>
      </c>
      <c r="M72" s="6">
        <v>67.245000000000005</v>
      </c>
      <c r="N72" s="6">
        <v>0</v>
      </c>
      <c r="O72" s="6">
        <v>0</v>
      </c>
      <c r="P72" s="6">
        <v>0</v>
      </c>
      <c r="Q72" s="4" t="s">
        <v>52</v>
      </c>
      <c r="R72" s="4">
        <v>0</v>
      </c>
      <c r="S72" s="6">
        <v>0</v>
      </c>
      <c r="T72" s="6">
        <v>6</v>
      </c>
      <c r="U72" s="6">
        <v>0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67.489999999999995</v>
      </c>
      <c r="X72" s="6">
        <f>IF(ISERROR(VLOOKUP($U$72,'TAR FIN'!$A$1:$O$85,15,0)),0,VLOOKUP($U$72,'TAR FIN'!$A$1:$O$85,15,0))</f>
        <v>0</v>
      </c>
      <c r="Y72" s="6"/>
      <c r="Z72" s="6">
        <f ca="1">('TUSD BE'!$AM$12+'TUSD BF'!$AM$12+'TUSD CVA'!$AM$12)*1</f>
        <v>91.421403244159023</v>
      </c>
      <c r="AA72" s="6"/>
      <c r="AB72" s="6">
        <f>$K$72*$V$72</f>
        <v>0</v>
      </c>
      <c r="AC72" s="6">
        <f>$M$72*$W$72</f>
        <v>4538.3650500000003</v>
      </c>
      <c r="AD72" s="6">
        <f>$O$72*$X$72</f>
        <v>0</v>
      </c>
      <c r="AE72" s="6">
        <f>$K$72*$Y$72</f>
        <v>0</v>
      </c>
      <c r="AF72" s="6">
        <f ca="1">$M$72*$Z$72</f>
        <v>6147.6322611534742</v>
      </c>
      <c r="AG72" s="6">
        <f>$O$72*$AA$72</f>
        <v>0</v>
      </c>
    </row>
    <row r="73" spans="1:33" ht="11.25" customHeight="1" x14ac:dyDescent="0.3">
      <c r="A73" s="4" t="s">
        <v>27</v>
      </c>
      <c r="B73" s="4" t="s">
        <v>39</v>
      </c>
      <c r="C73" s="4" t="s">
        <v>40</v>
      </c>
      <c r="D73" s="4" t="s">
        <v>38</v>
      </c>
      <c r="E73" s="4" t="s">
        <v>25</v>
      </c>
      <c r="F73" s="4" t="s">
        <v>51</v>
      </c>
      <c r="G73" s="4" t="s">
        <v>25</v>
      </c>
      <c r="H73" s="4" t="s">
        <v>35</v>
      </c>
      <c r="I73" s="5">
        <v>44682</v>
      </c>
      <c r="J73" s="6">
        <v>0</v>
      </c>
      <c r="K73" s="6">
        <v>0</v>
      </c>
      <c r="L73" s="6">
        <v>134.49</v>
      </c>
      <c r="M73" s="6">
        <v>67.245000000000005</v>
      </c>
      <c r="N73" s="6">
        <v>0</v>
      </c>
      <c r="O73" s="6">
        <v>0</v>
      </c>
      <c r="P73" s="6">
        <v>0</v>
      </c>
      <c r="Q73" s="4" t="s">
        <v>52</v>
      </c>
      <c r="R73" s="4">
        <v>0</v>
      </c>
      <c r="S73" s="6">
        <v>0</v>
      </c>
      <c r="T73" s="6">
        <v>6</v>
      </c>
      <c r="U73" s="6">
        <v>0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67.489999999999995</v>
      </c>
      <c r="X73" s="6">
        <f>IF(ISERROR(VLOOKUP($U$73,'TAR FIN'!$A$1:$O$85,15,0)),0,VLOOKUP($U$73,'TAR FIN'!$A$1:$O$85,15,0))</f>
        <v>0</v>
      </c>
      <c r="Y73" s="6"/>
      <c r="Z73" s="6">
        <f ca="1">('TUSD BE'!$AM$12+'TUSD BF'!$AM$12+'TUSD CVA'!$AM$12)*1</f>
        <v>91.421403244159023</v>
      </c>
      <c r="AA73" s="6"/>
      <c r="AB73" s="6">
        <f>$K$73*$V$73</f>
        <v>0</v>
      </c>
      <c r="AC73" s="6">
        <f>$M$73*$W$73</f>
        <v>4538.3650500000003</v>
      </c>
      <c r="AD73" s="6">
        <f>$O$73*$X$73</f>
        <v>0</v>
      </c>
      <c r="AE73" s="6">
        <f>$K$73*$Y$73</f>
        <v>0</v>
      </c>
      <c r="AF73" s="6">
        <f ca="1">$M$73*$Z$73</f>
        <v>6147.6322611534742</v>
      </c>
      <c r="AG73" s="6">
        <f>$O$73*$AA$73</f>
        <v>0</v>
      </c>
    </row>
    <row r="74" spans="1:33" ht="11.25" customHeight="1" x14ac:dyDescent="0.3">
      <c r="A74" s="4" t="s">
        <v>21</v>
      </c>
      <c r="B74" s="4" t="s">
        <v>39</v>
      </c>
      <c r="C74" s="4" t="s">
        <v>40</v>
      </c>
      <c r="D74" s="4" t="s">
        <v>38</v>
      </c>
      <c r="E74" s="4" t="s">
        <v>25</v>
      </c>
      <c r="F74" s="4" t="s">
        <v>51</v>
      </c>
      <c r="G74" s="4" t="s">
        <v>25</v>
      </c>
      <c r="H74" s="4" t="s">
        <v>35</v>
      </c>
      <c r="I74" s="5">
        <v>44713</v>
      </c>
      <c r="J74" s="6">
        <v>0</v>
      </c>
      <c r="K74" s="6">
        <v>0</v>
      </c>
      <c r="L74" s="6">
        <v>134.74299999999999</v>
      </c>
      <c r="M74" s="6">
        <v>67.371499999999997</v>
      </c>
      <c r="N74" s="6">
        <v>0</v>
      </c>
      <c r="O74" s="6">
        <v>0</v>
      </c>
      <c r="P74" s="6">
        <v>0</v>
      </c>
      <c r="Q74" s="4" t="s">
        <v>52</v>
      </c>
      <c r="R74" s="4">
        <v>0</v>
      </c>
      <c r="S74" s="6">
        <v>0</v>
      </c>
      <c r="T74" s="6">
        <v>6</v>
      </c>
      <c r="U74" s="6">
        <v>0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67.489999999999995</v>
      </c>
      <c r="X74" s="6">
        <f>IF(ISERROR(VLOOKUP($U$74,'TAR FIN'!$A$1:$O$85,15,0)),0,VLOOKUP($U$74,'TAR FIN'!$A$1:$O$85,15,0))</f>
        <v>0</v>
      </c>
      <c r="Y74" s="6"/>
      <c r="Z74" s="6">
        <f ca="1">('TUSD BE'!$AM$12+'TUSD BF'!$AM$12+'TUSD CVA'!$AM$12)*1</f>
        <v>91.421403244159023</v>
      </c>
      <c r="AA74" s="6"/>
      <c r="AB74" s="6">
        <f>$K$74*$V$74</f>
        <v>0</v>
      </c>
      <c r="AC74" s="6">
        <f>$M$74*$W$74</f>
        <v>4546.9025349999993</v>
      </c>
      <c r="AD74" s="6">
        <f>$O$74*$X$74</f>
        <v>0</v>
      </c>
      <c r="AE74" s="6">
        <f>$K$74*$Y$74</f>
        <v>0</v>
      </c>
      <c r="AF74" s="6">
        <f ca="1">$M$74*$Z$74</f>
        <v>6159.1970686638597</v>
      </c>
      <c r="AG74" s="6">
        <f>$O$74*$AA$74</f>
        <v>0</v>
      </c>
    </row>
    <row r="75" spans="1:33" ht="11.25" customHeight="1" x14ac:dyDescent="0.3">
      <c r="A75" s="4" t="s">
        <v>27</v>
      </c>
      <c r="B75" s="4" t="s">
        <v>39</v>
      </c>
      <c r="C75" s="4" t="s">
        <v>40</v>
      </c>
      <c r="D75" s="4" t="s">
        <v>38</v>
      </c>
      <c r="E75" s="4" t="s">
        <v>25</v>
      </c>
      <c r="F75" s="4" t="s">
        <v>51</v>
      </c>
      <c r="G75" s="4" t="s">
        <v>25</v>
      </c>
      <c r="H75" s="4" t="s">
        <v>35</v>
      </c>
      <c r="I75" s="5">
        <v>44713</v>
      </c>
      <c r="J75" s="6">
        <v>0</v>
      </c>
      <c r="K75" s="6">
        <v>0</v>
      </c>
      <c r="L75" s="6">
        <v>134.74299999999999</v>
      </c>
      <c r="M75" s="6">
        <v>67.371499999999997</v>
      </c>
      <c r="N75" s="6">
        <v>0</v>
      </c>
      <c r="O75" s="6">
        <v>0</v>
      </c>
      <c r="P75" s="6">
        <v>0</v>
      </c>
      <c r="Q75" s="4" t="s">
        <v>52</v>
      </c>
      <c r="R75" s="4">
        <v>0</v>
      </c>
      <c r="S75" s="6">
        <v>0</v>
      </c>
      <c r="T75" s="6">
        <v>6</v>
      </c>
      <c r="U75" s="6">
        <v>0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67.489999999999995</v>
      </c>
      <c r="X75" s="6">
        <f>IF(ISERROR(VLOOKUP($U$75,'TAR FIN'!$A$1:$O$85,15,0)),0,VLOOKUP($U$75,'TAR FIN'!$A$1:$O$85,15,0))</f>
        <v>0</v>
      </c>
      <c r="Y75" s="6"/>
      <c r="Z75" s="6">
        <f ca="1">('TUSD BE'!$AM$12+'TUSD BF'!$AM$12+'TUSD CVA'!$AM$12)*1</f>
        <v>91.421403244159023</v>
      </c>
      <c r="AA75" s="6"/>
      <c r="AB75" s="6">
        <f>$K$75*$V$75</f>
        <v>0</v>
      </c>
      <c r="AC75" s="6">
        <f>$M$75*$W$75</f>
        <v>4546.9025349999993</v>
      </c>
      <c r="AD75" s="6">
        <f>$O$75*$X$75</f>
        <v>0</v>
      </c>
      <c r="AE75" s="6">
        <f>$K$75*$Y$75</f>
        <v>0</v>
      </c>
      <c r="AF75" s="6">
        <f ca="1">$M$75*$Z$75</f>
        <v>6159.1970686638597</v>
      </c>
      <c r="AG75" s="6">
        <f>$O$75*$AA$75</f>
        <v>0</v>
      </c>
    </row>
    <row r="76" spans="1:33" ht="11.25" customHeight="1" x14ac:dyDescent="0.3">
      <c r="A76" s="4" t="s">
        <v>21</v>
      </c>
      <c r="B76" s="4" t="s">
        <v>39</v>
      </c>
      <c r="C76" s="4" t="s">
        <v>40</v>
      </c>
      <c r="D76" s="4" t="s">
        <v>38</v>
      </c>
      <c r="E76" s="4" t="s">
        <v>25</v>
      </c>
      <c r="F76" s="4" t="s">
        <v>51</v>
      </c>
      <c r="G76" s="4" t="s">
        <v>25</v>
      </c>
      <c r="H76" s="4" t="s">
        <v>35</v>
      </c>
      <c r="I76" s="5">
        <v>44743</v>
      </c>
      <c r="J76" s="6">
        <v>0</v>
      </c>
      <c r="K76" s="6">
        <v>0</v>
      </c>
      <c r="L76" s="6">
        <v>163.56399999999999</v>
      </c>
      <c r="M76" s="6">
        <v>81.781999999999996</v>
      </c>
      <c r="N76" s="6">
        <v>0</v>
      </c>
      <c r="O76" s="6">
        <v>0</v>
      </c>
      <c r="P76" s="6">
        <v>0</v>
      </c>
      <c r="Q76" s="4" t="s">
        <v>52</v>
      </c>
      <c r="R76" s="4">
        <v>0</v>
      </c>
      <c r="S76" s="6">
        <v>0</v>
      </c>
      <c r="T76" s="6">
        <v>6</v>
      </c>
      <c r="U76" s="6">
        <v>0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67.489999999999995</v>
      </c>
      <c r="X76" s="6">
        <f>IF(ISERROR(VLOOKUP($U$76,'TAR FIN'!$A$1:$O$85,15,0)),0,VLOOKUP($U$76,'TAR FIN'!$A$1:$O$85,15,0))</f>
        <v>0</v>
      </c>
      <c r="Y76" s="6"/>
      <c r="Z76" s="6">
        <f ca="1">('TUSD BE'!$AM$12+'TUSD BF'!$AM$12+'TUSD CVA'!$AM$12)*1</f>
        <v>91.421403244159023</v>
      </c>
      <c r="AA76" s="6"/>
      <c r="AB76" s="6">
        <f>$K$76*$V$76</f>
        <v>0</v>
      </c>
      <c r="AC76" s="6">
        <f>$M$76*$W$76</f>
        <v>5519.4671799999996</v>
      </c>
      <c r="AD76" s="6">
        <f>$O$76*$X$76</f>
        <v>0</v>
      </c>
      <c r="AE76" s="6">
        <f>$K$76*$Y$76</f>
        <v>0</v>
      </c>
      <c r="AF76" s="6">
        <f ca="1">$M$76*$Z$76</f>
        <v>7476.6252001138128</v>
      </c>
      <c r="AG76" s="6">
        <f>$O$76*$AA$76</f>
        <v>0</v>
      </c>
    </row>
    <row r="77" spans="1:33" ht="11.25" customHeight="1" x14ac:dyDescent="0.3">
      <c r="A77" s="4" t="s">
        <v>27</v>
      </c>
      <c r="B77" s="4" t="s">
        <v>39</v>
      </c>
      <c r="C77" s="4" t="s">
        <v>40</v>
      </c>
      <c r="D77" s="4" t="s">
        <v>38</v>
      </c>
      <c r="E77" s="4" t="s">
        <v>25</v>
      </c>
      <c r="F77" s="4" t="s">
        <v>51</v>
      </c>
      <c r="G77" s="4" t="s">
        <v>25</v>
      </c>
      <c r="H77" s="4" t="s">
        <v>35</v>
      </c>
      <c r="I77" s="5">
        <v>44743</v>
      </c>
      <c r="J77" s="6">
        <v>0</v>
      </c>
      <c r="K77" s="6">
        <v>0</v>
      </c>
      <c r="L77" s="6">
        <v>163.56399999999999</v>
      </c>
      <c r="M77" s="6">
        <v>81.781999999999996</v>
      </c>
      <c r="N77" s="6">
        <v>0</v>
      </c>
      <c r="O77" s="6">
        <v>0</v>
      </c>
      <c r="P77" s="6">
        <v>0</v>
      </c>
      <c r="Q77" s="4" t="s">
        <v>52</v>
      </c>
      <c r="R77" s="4">
        <v>0</v>
      </c>
      <c r="S77" s="6">
        <v>0</v>
      </c>
      <c r="T77" s="6">
        <v>6</v>
      </c>
      <c r="U77" s="6">
        <v>0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67.489999999999995</v>
      </c>
      <c r="X77" s="6">
        <f>IF(ISERROR(VLOOKUP($U$77,'TAR FIN'!$A$1:$O$85,15,0)),0,VLOOKUP($U$77,'TAR FIN'!$A$1:$O$85,15,0))</f>
        <v>0</v>
      </c>
      <c r="Y77" s="6"/>
      <c r="Z77" s="6">
        <f ca="1">('TUSD BE'!$AM$12+'TUSD BF'!$AM$12+'TUSD CVA'!$AM$12)*1</f>
        <v>91.421403244159023</v>
      </c>
      <c r="AA77" s="6"/>
      <c r="AB77" s="6">
        <f>$K$77*$V$77</f>
        <v>0</v>
      </c>
      <c r="AC77" s="6">
        <f>$M$77*$W$77</f>
        <v>5519.4671799999996</v>
      </c>
      <c r="AD77" s="6">
        <f>$O$77*$X$77</f>
        <v>0</v>
      </c>
      <c r="AE77" s="6">
        <f>$K$77*$Y$77</f>
        <v>0</v>
      </c>
      <c r="AF77" s="6">
        <f ca="1">$M$77*$Z$77</f>
        <v>7476.6252001138128</v>
      </c>
      <c r="AG77" s="6">
        <f>$O$77*$AA$77</f>
        <v>0</v>
      </c>
    </row>
    <row r="78" spans="1:33" ht="11.25" customHeight="1" x14ac:dyDescent="0.3">
      <c r="A78" s="4" t="s">
        <v>21</v>
      </c>
      <c r="B78" s="4" t="s">
        <v>39</v>
      </c>
      <c r="C78" s="4" t="s">
        <v>40</v>
      </c>
      <c r="D78" s="4" t="s">
        <v>38</v>
      </c>
      <c r="E78" s="4" t="s">
        <v>25</v>
      </c>
      <c r="F78" s="4" t="s">
        <v>51</v>
      </c>
      <c r="G78" s="4" t="s">
        <v>25</v>
      </c>
      <c r="H78" s="4" t="s">
        <v>35</v>
      </c>
      <c r="I78" s="5">
        <v>44774</v>
      </c>
      <c r="J78" s="6">
        <v>0</v>
      </c>
      <c r="K78" s="6">
        <v>0</v>
      </c>
      <c r="L78" s="6">
        <v>155.51400000000001</v>
      </c>
      <c r="M78" s="6">
        <v>80.074158600000004</v>
      </c>
      <c r="N78" s="6">
        <v>0</v>
      </c>
      <c r="O78" s="6">
        <v>0</v>
      </c>
      <c r="P78" s="6">
        <v>0</v>
      </c>
      <c r="Q78" s="4" t="s">
        <v>52</v>
      </c>
      <c r="R78" s="4">
        <v>0</v>
      </c>
      <c r="S78" s="6">
        <v>0</v>
      </c>
      <c r="T78" s="6">
        <v>6</v>
      </c>
      <c r="U78" s="6">
        <v>0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67.489999999999995</v>
      </c>
      <c r="X78" s="6">
        <f>IF(ISERROR(VLOOKUP($U$78,'TAR FIN'!$A$1:$O$85,15,0)),0,VLOOKUP($U$78,'TAR FIN'!$A$1:$O$85,15,0))</f>
        <v>0</v>
      </c>
      <c r="Y78" s="6"/>
      <c r="Z78" s="6">
        <f ca="1">('TUSD BE'!$AM$12+'TUSD BF'!$AM$12+'TUSD CVA'!$AM$12)*1</f>
        <v>91.421403244159023</v>
      </c>
      <c r="AA78" s="6"/>
      <c r="AB78" s="6">
        <f>$K$78*$V$78</f>
        <v>0</v>
      </c>
      <c r="AC78" s="6">
        <f>$M$78*$W$78</f>
        <v>5404.2049639139996</v>
      </c>
      <c r="AD78" s="6">
        <f>$O$78*$X$78</f>
        <v>0</v>
      </c>
      <c r="AE78" s="6">
        <f>$K$78*$Y$78</f>
        <v>0</v>
      </c>
      <c r="AF78" s="6">
        <f ca="1">$M$78*$Z$78</f>
        <v>7320.4919428073445</v>
      </c>
      <c r="AG78" s="6">
        <f>$O$78*$AA$78</f>
        <v>0</v>
      </c>
    </row>
    <row r="79" spans="1:33" ht="11.25" customHeight="1" x14ac:dyDescent="0.3">
      <c r="A79" s="4" t="s">
        <v>27</v>
      </c>
      <c r="B79" s="4" t="s">
        <v>39</v>
      </c>
      <c r="C79" s="4" t="s">
        <v>40</v>
      </c>
      <c r="D79" s="4" t="s">
        <v>38</v>
      </c>
      <c r="E79" s="4" t="s">
        <v>25</v>
      </c>
      <c r="F79" s="4" t="s">
        <v>51</v>
      </c>
      <c r="G79" s="4" t="s">
        <v>25</v>
      </c>
      <c r="H79" s="4" t="s">
        <v>35</v>
      </c>
      <c r="I79" s="5">
        <v>44774</v>
      </c>
      <c r="J79" s="6">
        <v>0</v>
      </c>
      <c r="K79" s="6">
        <v>0</v>
      </c>
      <c r="L79" s="6">
        <v>155.51400000000001</v>
      </c>
      <c r="M79" s="6">
        <v>80.074158600000004</v>
      </c>
      <c r="N79" s="6">
        <v>0</v>
      </c>
      <c r="O79" s="6">
        <v>0</v>
      </c>
      <c r="P79" s="6">
        <v>0</v>
      </c>
      <c r="Q79" s="4" t="s">
        <v>52</v>
      </c>
      <c r="R79" s="4">
        <v>0</v>
      </c>
      <c r="S79" s="6">
        <v>0</v>
      </c>
      <c r="T79" s="6">
        <v>6</v>
      </c>
      <c r="U79" s="6">
        <v>0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67.489999999999995</v>
      </c>
      <c r="X79" s="6">
        <f>IF(ISERROR(VLOOKUP($U$79,'TAR FIN'!$A$1:$O$85,15,0)),0,VLOOKUP($U$79,'TAR FIN'!$A$1:$O$85,15,0))</f>
        <v>0</v>
      </c>
      <c r="Y79" s="6"/>
      <c r="Z79" s="6">
        <f ca="1">('TUSD BE'!$AM$12+'TUSD BF'!$AM$12+'TUSD CVA'!$AM$12)*1</f>
        <v>91.421403244159023</v>
      </c>
      <c r="AA79" s="6"/>
      <c r="AB79" s="6">
        <f>$K$79*$V$79</f>
        <v>0</v>
      </c>
      <c r="AC79" s="6">
        <f>$M$79*$W$79</f>
        <v>5404.2049639139996</v>
      </c>
      <c r="AD79" s="6">
        <f>$O$79*$X$79</f>
        <v>0</v>
      </c>
      <c r="AE79" s="6">
        <f>$K$79*$Y$79</f>
        <v>0</v>
      </c>
      <c r="AF79" s="6">
        <f ca="1">$M$79*$Z$79</f>
        <v>7320.4919428073445</v>
      </c>
      <c r="AG79" s="6">
        <f>$O$79*$AA$79</f>
        <v>0</v>
      </c>
    </row>
    <row r="80" spans="1:33" ht="11.25" customHeight="1" x14ac:dyDescent="0.3">
      <c r="A80" s="4" t="s">
        <v>21</v>
      </c>
      <c r="B80" s="4" t="s">
        <v>39</v>
      </c>
      <c r="C80" s="4" t="s">
        <v>40</v>
      </c>
      <c r="D80" s="4" t="s">
        <v>38</v>
      </c>
      <c r="E80" s="4" t="s">
        <v>25</v>
      </c>
      <c r="F80" s="4" t="s">
        <v>51</v>
      </c>
      <c r="G80" s="4" t="s">
        <v>25</v>
      </c>
      <c r="H80" s="4" t="s">
        <v>25</v>
      </c>
      <c r="I80" s="5">
        <v>44440</v>
      </c>
      <c r="J80" s="6">
        <v>1050</v>
      </c>
      <c r="K80" s="6">
        <v>525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4" t="s">
        <v>52</v>
      </c>
      <c r="R80" s="4">
        <v>0</v>
      </c>
      <c r="S80" s="6">
        <v>10</v>
      </c>
      <c r="T80" s="6">
        <v>0</v>
      </c>
      <c r="U80" s="6">
        <v>0</v>
      </c>
      <c r="V80" s="6">
        <f>IF(ISERROR(VLOOKUP($S$80,'TAR FIN'!$A$1:$O$85,15,0)),0,VLOOKUP($S$80,'TAR FIN'!$A$1:$O$85,15,0))</f>
        <v>34.08</v>
      </c>
      <c r="W80" s="6">
        <f>IF(ISERROR(VLOOKUP($T$80,'TAR FIN'!$A$1:$O$85,15,0)),0,VLOOKUP($T$80,'TAR FIN'!$A$1:$O$85,15,0))</f>
        <v>0</v>
      </c>
      <c r="X80" s="6">
        <f>IF(ISERROR(VLOOKUP($U$80,'TAR FIN'!$A$1:$O$85,15,0)),0,VLOOKUP($U$80,'TAR FIN'!$A$1:$O$85,15,0))</f>
        <v>0</v>
      </c>
      <c r="Y80" s="6">
        <f ca="1">('TUSD BE'!$AM$10+'TUSD BF'!$AM$10+'TUSD CVA'!$AM$10)*1</f>
        <v>46.049752913094459</v>
      </c>
      <c r="Z80" s="6"/>
      <c r="AA80" s="6"/>
      <c r="AB80" s="6">
        <f>$K$80*$V$80</f>
        <v>17892</v>
      </c>
      <c r="AC80" s="6">
        <f>$M$80*$W$80</f>
        <v>0</v>
      </c>
      <c r="AD80" s="6">
        <f>$O$80*$X$80</f>
        <v>0</v>
      </c>
      <c r="AE80" s="6">
        <f ca="1">$K$80*$Y$80</f>
        <v>24176.120279374591</v>
      </c>
      <c r="AF80" s="6">
        <f>$M$80*$Z$80</f>
        <v>0</v>
      </c>
      <c r="AG80" s="6">
        <f>$O$80*$AA$80</f>
        <v>0</v>
      </c>
    </row>
    <row r="81" spans="1:33" ht="11.25" customHeight="1" x14ac:dyDescent="0.3">
      <c r="A81" s="4" t="s">
        <v>27</v>
      </c>
      <c r="B81" s="4" t="s">
        <v>39</v>
      </c>
      <c r="C81" s="4" t="s">
        <v>40</v>
      </c>
      <c r="D81" s="4" t="s">
        <v>38</v>
      </c>
      <c r="E81" s="4" t="s">
        <v>25</v>
      </c>
      <c r="F81" s="4" t="s">
        <v>51</v>
      </c>
      <c r="G81" s="4" t="s">
        <v>25</v>
      </c>
      <c r="H81" s="4" t="s">
        <v>25</v>
      </c>
      <c r="I81" s="5">
        <v>44440</v>
      </c>
      <c r="J81" s="6">
        <v>1050</v>
      </c>
      <c r="K81" s="6">
        <v>525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4" t="s">
        <v>52</v>
      </c>
      <c r="R81" s="4">
        <v>0</v>
      </c>
      <c r="S81" s="6">
        <v>10</v>
      </c>
      <c r="T81" s="6">
        <v>0</v>
      </c>
      <c r="U81" s="6">
        <v>0</v>
      </c>
      <c r="V81" s="6">
        <f>IF(ISERROR(VLOOKUP($S$81,'TAR FIN'!$A$1:$O$85,15,0)),0,VLOOKUP($S$81,'TAR FIN'!$A$1:$O$85,15,0))</f>
        <v>34.08</v>
      </c>
      <c r="W81" s="6">
        <f>IF(ISERROR(VLOOKUP($T$81,'TAR FIN'!$A$1:$O$85,15,0)),0,VLOOKUP($T$81,'TAR FIN'!$A$1:$O$85,15,0))</f>
        <v>0</v>
      </c>
      <c r="X81" s="6">
        <f>IF(ISERROR(VLOOKUP($U$81,'TAR FIN'!$A$1:$O$85,15,0)),0,VLOOKUP($U$81,'TAR FIN'!$A$1:$O$85,15,0))</f>
        <v>0</v>
      </c>
      <c r="Y81" s="6">
        <f ca="1">('TUSD BE'!$AM$10+'TUSD BF'!$AM$10+'TUSD CVA'!$AM$10)*1</f>
        <v>46.049752913094459</v>
      </c>
      <c r="Z81" s="6"/>
      <c r="AA81" s="6"/>
      <c r="AB81" s="6">
        <f>$K$81*$V$81</f>
        <v>17892</v>
      </c>
      <c r="AC81" s="6">
        <f>$M$81*$W$81</f>
        <v>0</v>
      </c>
      <c r="AD81" s="6">
        <f>$O$81*$X$81</f>
        <v>0</v>
      </c>
      <c r="AE81" s="6">
        <f ca="1">$K$81*$Y$81</f>
        <v>24176.120279374591</v>
      </c>
      <c r="AF81" s="6">
        <f>$M$81*$Z$81</f>
        <v>0</v>
      </c>
      <c r="AG81" s="6">
        <f>$O$81*$AA$81</f>
        <v>0</v>
      </c>
    </row>
    <row r="82" spans="1:33" ht="11.25" customHeight="1" x14ac:dyDescent="0.3">
      <c r="A82" s="4" t="s">
        <v>21</v>
      </c>
      <c r="B82" s="4" t="s">
        <v>39</v>
      </c>
      <c r="C82" s="4" t="s">
        <v>40</v>
      </c>
      <c r="D82" s="4" t="s">
        <v>38</v>
      </c>
      <c r="E82" s="4" t="s">
        <v>25</v>
      </c>
      <c r="F82" s="4" t="s">
        <v>51</v>
      </c>
      <c r="G82" s="4" t="s">
        <v>25</v>
      </c>
      <c r="H82" s="4" t="s">
        <v>25</v>
      </c>
      <c r="I82" s="5">
        <v>44470</v>
      </c>
      <c r="J82" s="6">
        <v>1050</v>
      </c>
      <c r="K82" s="6">
        <v>525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4" t="s">
        <v>52</v>
      </c>
      <c r="R82" s="4">
        <v>0</v>
      </c>
      <c r="S82" s="6">
        <v>10</v>
      </c>
      <c r="T82" s="6">
        <v>0</v>
      </c>
      <c r="U82" s="6">
        <v>0</v>
      </c>
      <c r="V82" s="6">
        <f>IF(ISERROR(VLOOKUP($S$82,'TAR FIN'!$A$1:$O$85,15,0)),0,VLOOKUP($S$82,'TAR FIN'!$A$1:$O$85,15,0))</f>
        <v>34.08</v>
      </c>
      <c r="W82" s="6">
        <f>IF(ISERROR(VLOOKUP($T$82,'TAR FIN'!$A$1:$O$85,15,0)),0,VLOOKUP($T$82,'TAR FIN'!$A$1:$O$85,15,0))</f>
        <v>0</v>
      </c>
      <c r="X82" s="6">
        <f>IF(ISERROR(VLOOKUP($U$82,'TAR FIN'!$A$1:$O$85,15,0)),0,VLOOKUP($U$82,'TAR FIN'!$A$1:$O$85,15,0))</f>
        <v>0</v>
      </c>
      <c r="Y82" s="6">
        <f ca="1">('TUSD BE'!$AM$10+'TUSD BF'!$AM$10+'TUSD CVA'!$AM$10)*1</f>
        <v>46.049752913094459</v>
      </c>
      <c r="Z82" s="6"/>
      <c r="AA82" s="6"/>
      <c r="AB82" s="6">
        <f>$K$82*$V$82</f>
        <v>17892</v>
      </c>
      <c r="AC82" s="6">
        <f>$M$82*$W$82</f>
        <v>0</v>
      </c>
      <c r="AD82" s="6">
        <f>$O$82*$X$82</f>
        <v>0</v>
      </c>
      <c r="AE82" s="6">
        <f ca="1">$K$82*$Y$82</f>
        <v>24176.120279374591</v>
      </c>
      <c r="AF82" s="6">
        <f>$M$82*$Z$82</f>
        <v>0</v>
      </c>
      <c r="AG82" s="6">
        <f>$O$82*$AA$82</f>
        <v>0</v>
      </c>
    </row>
    <row r="83" spans="1:33" ht="11.25" customHeight="1" x14ac:dyDescent="0.3">
      <c r="A83" s="4" t="s">
        <v>27</v>
      </c>
      <c r="B83" s="4" t="s">
        <v>39</v>
      </c>
      <c r="C83" s="4" t="s">
        <v>40</v>
      </c>
      <c r="D83" s="4" t="s">
        <v>38</v>
      </c>
      <c r="E83" s="4" t="s">
        <v>25</v>
      </c>
      <c r="F83" s="4" t="s">
        <v>51</v>
      </c>
      <c r="G83" s="4" t="s">
        <v>25</v>
      </c>
      <c r="H83" s="4" t="s">
        <v>25</v>
      </c>
      <c r="I83" s="5">
        <v>44470</v>
      </c>
      <c r="J83" s="6">
        <v>1050</v>
      </c>
      <c r="K83" s="6">
        <v>525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4" t="s">
        <v>52</v>
      </c>
      <c r="R83" s="4">
        <v>0</v>
      </c>
      <c r="S83" s="6">
        <v>10</v>
      </c>
      <c r="T83" s="6">
        <v>0</v>
      </c>
      <c r="U83" s="6">
        <v>0</v>
      </c>
      <c r="V83" s="6">
        <f>IF(ISERROR(VLOOKUP($S$83,'TAR FIN'!$A$1:$O$85,15,0)),0,VLOOKUP($S$83,'TAR FIN'!$A$1:$O$85,15,0))</f>
        <v>34.08</v>
      </c>
      <c r="W83" s="6">
        <f>IF(ISERROR(VLOOKUP($T$83,'TAR FIN'!$A$1:$O$85,15,0)),0,VLOOKUP($T$83,'TAR FIN'!$A$1:$O$85,15,0))</f>
        <v>0</v>
      </c>
      <c r="X83" s="6">
        <f>IF(ISERROR(VLOOKUP($U$83,'TAR FIN'!$A$1:$O$85,15,0)),0,VLOOKUP($U$83,'TAR FIN'!$A$1:$O$85,15,0))</f>
        <v>0</v>
      </c>
      <c r="Y83" s="6">
        <f ca="1">('TUSD BE'!$AM$10+'TUSD BF'!$AM$10+'TUSD CVA'!$AM$10)*1</f>
        <v>46.049752913094459</v>
      </c>
      <c r="Z83" s="6"/>
      <c r="AA83" s="6"/>
      <c r="AB83" s="6">
        <f>$K$83*$V$83</f>
        <v>17892</v>
      </c>
      <c r="AC83" s="6">
        <f>$M$83*$W$83</f>
        <v>0</v>
      </c>
      <c r="AD83" s="6">
        <f>$O$83*$X$83</f>
        <v>0</v>
      </c>
      <c r="AE83" s="6">
        <f ca="1">$K$83*$Y$83</f>
        <v>24176.120279374591</v>
      </c>
      <c r="AF83" s="6">
        <f>$M$83*$Z$83</f>
        <v>0</v>
      </c>
      <c r="AG83" s="6">
        <f>$O$83*$AA$83</f>
        <v>0</v>
      </c>
    </row>
    <row r="84" spans="1:33" ht="11.25" customHeight="1" x14ac:dyDescent="0.3">
      <c r="A84" s="4" t="s">
        <v>21</v>
      </c>
      <c r="B84" s="4" t="s">
        <v>39</v>
      </c>
      <c r="C84" s="4" t="s">
        <v>40</v>
      </c>
      <c r="D84" s="4" t="s">
        <v>38</v>
      </c>
      <c r="E84" s="4" t="s">
        <v>25</v>
      </c>
      <c r="F84" s="4" t="s">
        <v>51</v>
      </c>
      <c r="G84" s="4" t="s">
        <v>25</v>
      </c>
      <c r="H84" s="4" t="s">
        <v>25</v>
      </c>
      <c r="I84" s="5">
        <v>44501</v>
      </c>
      <c r="J84" s="6">
        <v>1050</v>
      </c>
      <c r="K84" s="6">
        <v>525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4" t="s">
        <v>52</v>
      </c>
      <c r="R84" s="4">
        <v>0</v>
      </c>
      <c r="S84" s="6">
        <v>10</v>
      </c>
      <c r="T84" s="6">
        <v>0</v>
      </c>
      <c r="U84" s="6">
        <v>0</v>
      </c>
      <c r="V84" s="6">
        <f>IF(ISERROR(VLOOKUP($S$84,'TAR FIN'!$A$1:$O$85,15,0)),0,VLOOKUP($S$84,'TAR FIN'!$A$1:$O$85,15,0))</f>
        <v>34.08</v>
      </c>
      <c r="W84" s="6">
        <f>IF(ISERROR(VLOOKUP($T$84,'TAR FIN'!$A$1:$O$85,15,0)),0,VLOOKUP($T$84,'TAR FIN'!$A$1:$O$85,15,0))</f>
        <v>0</v>
      </c>
      <c r="X84" s="6">
        <f>IF(ISERROR(VLOOKUP($U$84,'TAR FIN'!$A$1:$O$85,15,0)),0,VLOOKUP($U$84,'TAR FIN'!$A$1:$O$85,15,0))</f>
        <v>0</v>
      </c>
      <c r="Y84" s="6">
        <f ca="1">('TUSD BE'!$AM$10+'TUSD BF'!$AM$10+'TUSD CVA'!$AM$10)*1</f>
        <v>46.049752913094459</v>
      </c>
      <c r="Z84" s="6"/>
      <c r="AA84" s="6"/>
      <c r="AB84" s="6">
        <f>$K$84*$V$84</f>
        <v>17892</v>
      </c>
      <c r="AC84" s="6">
        <f>$M$84*$W$84</f>
        <v>0</v>
      </c>
      <c r="AD84" s="6">
        <f>$O$84*$X$84</f>
        <v>0</v>
      </c>
      <c r="AE84" s="6">
        <f ca="1">$K$84*$Y$84</f>
        <v>24176.120279374591</v>
      </c>
      <c r="AF84" s="6">
        <f>$M$84*$Z$84</f>
        <v>0</v>
      </c>
      <c r="AG84" s="6">
        <f>$O$84*$AA$84</f>
        <v>0</v>
      </c>
    </row>
    <row r="85" spans="1:33" ht="11.25" customHeight="1" x14ac:dyDescent="0.3">
      <c r="A85" s="4" t="s">
        <v>27</v>
      </c>
      <c r="B85" s="4" t="s">
        <v>39</v>
      </c>
      <c r="C85" s="4" t="s">
        <v>40</v>
      </c>
      <c r="D85" s="4" t="s">
        <v>38</v>
      </c>
      <c r="E85" s="4" t="s">
        <v>25</v>
      </c>
      <c r="F85" s="4" t="s">
        <v>51</v>
      </c>
      <c r="G85" s="4" t="s">
        <v>25</v>
      </c>
      <c r="H85" s="4" t="s">
        <v>25</v>
      </c>
      <c r="I85" s="5">
        <v>44501</v>
      </c>
      <c r="J85" s="6">
        <v>1050</v>
      </c>
      <c r="K85" s="6">
        <v>525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4" t="s">
        <v>52</v>
      </c>
      <c r="R85" s="4">
        <v>0</v>
      </c>
      <c r="S85" s="6">
        <v>10</v>
      </c>
      <c r="T85" s="6">
        <v>0</v>
      </c>
      <c r="U85" s="6">
        <v>0</v>
      </c>
      <c r="V85" s="6">
        <f>IF(ISERROR(VLOOKUP($S$85,'TAR FIN'!$A$1:$O$85,15,0)),0,VLOOKUP($S$85,'TAR FIN'!$A$1:$O$85,15,0))</f>
        <v>34.08</v>
      </c>
      <c r="W85" s="6">
        <f>IF(ISERROR(VLOOKUP($T$85,'TAR FIN'!$A$1:$O$85,15,0)),0,VLOOKUP($T$85,'TAR FIN'!$A$1:$O$85,15,0))</f>
        <v>0</v>
      </c>
      <c r="X85" s="6">
        <f>IF(ISERROR(VLOOKUP($U$85,'TAR FIN'!$A$1:$O$85,15,0)),0,VLOOKUP($U$85,'TAR FIN'!$A$1:$O$85,15,0))</f>
        <v>0</v>
      </c>
      <c r="Y85" s="6">
        <f ca="1">('TUSD BE'!$AM$10+'TUSD BF'!$AM$10+'TUSD CVA'!$AM$10)*1</f>
        <v>46.049752913094459</v>
      </c>
      <c r="Z85" s="6"/>
      <c r="AA85" s="6"/>
      <c r="AB85" s="6">
        <f>$K$85*$V$85</f>
        <v>17892</v>
      </c>
      <c r="AC85" s="6">
        <f>$M$85*$W$85</f>
        <v>0</v>
      </c>
      <c r="AD85" s="6">
        <f>$O$85*$X$85</f>
        <v>0</v>
      </c>
      <c r="AE85" s="6">
        <f ca="1">$K$85*$Y$85</f>
        <v>24176.120279374591</v>
      </c>
      <c r="AF85" s="6">
        <f>$M$85*$Z$85</f>
        <v>0</v>
      </c>
      <c r="AG85" s="6">
        <f>$O$85*$AA$85</f>
        <v>0</v>
      </c>
    </row>
    <row r="86" spans="1:33" ht="11.25" customHeight="1" x14ac:dyDescent="0.3">
      <c r="A86" s="4" t="s">
        <v>21</v>
      </c>
      <c r="B86" s="4" t="s">
        <v>39</v>
      </c>
      <c r="C86" s="4" t="s">
        <v>40</v>
      </c>
      <c r="D86" s="4" t="s">
        <v>38</v>
      </c>
      <c r="E86" s="4" t="s">
        <v>25</v>
      </c>
      <c r="F86" s="4" t="s">
        <v>51</v>
      </c>
      <c r="G86" s="4" t="s">
        <v>25</v>
      </c>
      <c r="H86" s="4" t="s">
        <v>25</v>
      </c>
      <c r="I86" s="5">
        <v>44531</v>
      </c>
      <c r="J86" s="6">
        <v>1050</v>
      </c>
      <c r="K86" s="6">
        <v>525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4" t="s">
        <v>52</v>
      </c>
      <c r="R86" s="4">
        <v>0</v>
      </c>
      <c r="S86" s="6">
        <v>10</v>
      </c>
      <c r="T86" s="6">
        <v>0</v>
      </c>
      <c r="U86" s="6">
        <v>0</v>
      </c>
      <c r="V86" s="6">
        <f>IF(ISERROR(VLOOKUP($S$86,'TAR FIN'!$A$1:$O$85,15,0)),0,VLOOKUP($S$86,'TAR FIN'!$A$1:$O$85,15,0))</f>
        <v>34.08</v>
      </c>
      <c r="W86" s="6">
        <f>IF(ISERROR(VLOOKUP($T$86,'TAR FIN'!$A$1:$O$85,15,0)),0,VLOOKUP($T$86,'TAR FIN'!$A$1:$O$85,15,0))</f>
        <v>0</v>
      </c>
      <c r="X86" s="6">
        <f>IF(ISERROR(VLOOKUP($U$86,'TAR FIN'!$A$1:$O$85,15,0)),0,VLOOKUP($U$86,'TAR FIN'!$A$1:$O$85,15,0))</f>
        <v>0</v>
      </c>
      <c r="Y86" s="6">
        <f ca="1">('TUSD BE'!$AM$10+'TUSD BF'!$AM$10+'TUSD CVA'!$AM$10)*1</f>
        <v>46.049752913094459</v>
      </c>
      <c r="Z86" s="6"/>
      <c r="AA86" s="6"/>
      <c r="AB86" s="6">
        <f>$K$86*$V$86</f>
        <v>17892</v>
      </c>
      <c r="AC86" s="6">
        <f>$M$86*$W$86</f>
        <v>0</v>
      </c>
      <c r="AD86" s="6">
        <f>$O$86*$X$86</f>
        <v>0</v>
      </c>
      <c r="AE86" s="6">
        <f ca="1">$K$86*$Y$86</f>
        <v>24176.120279374591</v>
      </c>
      <c r="AF86" s="6">
        <f>$M$86*$Z$86</f>
        <v>0</v>
      </c>
      <c r="AG86" s="6">
        <f>$O$86*$AA$86</f>
        <v>0</v>
      </c>
    </row>
    <row r="87" spans="1:33" ht="11.25" customHeight="1" x14ac:dyDescent="0.3">
      <c r="A87" s="4" t="s">
        <v>27</v>
      </c>
      <c r="B87" s="4" t="s">
        <v>39</v>
      </c>
      <c r="C87" s="4" t="s">
        <v>40</v>
      </c>
      <c r="D87" s="4" t="s">
        <v>38</v>
      </c>
      <c r="E87" s="4" t="s">
        <v>25</v>
      </c>
      <c r="F87" s="4" t="s">
        <v>51</v>
      </c>
      <c r="G87" s="4" t="s">
        <v>25</v>
      </c>
      <c r="H87" s="4" t="s">
        <v>25</v>
      </c>
      <c r="I87" s="5">
        <v>44531</v>
      </c>
      <c r="J87" s="6">
        <v>1050</v>
      </c>
      <c r="K87" s="6">
        <v>525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4" t="s">
        <v>52</v>
      </c>
      <c r="R87" s="4">
        <v>0</v>
      </c>
      <c r="S87" s="6">
        <v>10</v>
      </c>
      <c r="T87" s="6">
        <v>0</v>
      </c>
      <c r="U87" s="6">
        <v>0</v>
      </c>
      <c r="V87" s="6">
        <f>IF(ISERROR(VLOOKUP($S$87,'TAR FIN'!$A$1:$O$85,15,0)),0,VLOOKUP($S$87,'TAR FIN'!$A$1:$O$85,15,0))</f>
        <v>34.08</v>
      </c>
      <c r="W87" s="6">
        <f>IF(ISERROR(VLOOKUP($T$87,'TAR FIN'!$A$1:$O$85,15,0)),0,VLOOKUP($T$87,'TAR FIN'!$A$1:$O$85,15,0))</f>
        <v>0</v>
      </c>
      <c r="X87" s="6">
        <f>IF(ISERROR(VLOOKUP($U$87,'TAR FIN'!$A$1:$O$85,15,0)),0,VLOOKUP($U$87,'TAR FIN'!$A$1:$O$85,15,0))</f>
        <v>0</v>
      </c>
      <c r="Y87" s="6">
        <f ca="1">('TUSD BE'!$AM$10+'TUSD BF'!$AM$10+'TUSD CVA'!$AM$10)*1</f>
        <v>46.049752913094459</v>
      </c>
      <c r="Z87" s="6"/>
      <c r="AA87" s="6"/>
      <c r="AB87" s="6">
        <f>$K$87*$V$87</f>
        <v>17892</v>
      </c>
      <c r="AC87" s="6">
        <f>$M$87*$W$87</f>
        <v>0</v>
      </c>
      <c r="AD87" s="6">
        <f>$O$87*$X$87</f>
        <v>0</v>
      </c>
      <c r="AE87" s="6">
        <f ca="1">$K$87*$Y$87</f>
        <v>24176.120279374591</v>
      </c>
      <c r="AF87" s="6">
        <f>$M$87*$Z$87</f>
        <v>0</v>
      </c>
      <c r="AG87" s="6">
        <f>$O$87*$AA$87</f>
        <v>0</v>
      </c>
    </row>
    <row r="88" spans="1:33" ht="11.25" customHeight="1" x14ac:dyDescent="0.3">
      <c r="A88" s="4" t="s">
        <v>21</v>
      </c>
      <c r="B88" s="4" t="s">
        <v>39</v>
      </c>
      <c r="C88" s="4" t="s">
        <v>40</v>
      </c>
      <c r="D88" s="4" t="s">
        <v>38</v>
      </c>
      <c r="E88" s="4" t="s">
        <v>25</v>
      </c>
      <c r="F88" s="4" t="s">
        <v>51</v>
      </c>
      <c r="G88" s="4" t="s">
        <v>25</v>
      </c>
      <c r="H88" s="4" t="s">
        <v>25</v>
      </c>
      <c r="I88" s="5">
        <v>44562</v>
      </c>
      <c r="J88" s="6">
        <v>1050</v>
      </c>
      <c r="K88" s="6">
        <v>525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4" t="s">
        <v>52</v>
      </c>
      <c r="R88" s="4">
        <v>0</v>
      </c>
      <c r="S88" s="6">
        <v>10</v>
      </c>
      <c r="T88" s="6">
        <v>0</v>
      </c>
      <c r="U88" s="6">
        <v>0</v>
      </c>
      <c r="V88" s="6">
        <f>IF(ISERROR(VLOOKUP($S$88,'TAR FIN'!$A$1:$O$85,15,0)),0,VLOOKUP($S$88,'TAR FIN'!$A$1:$O$85,15,0))</f>
        <v>34.08</v>
      </c>
      <c r="W88" s="6">
        <f>IF(ISERROR(VLOOKUP($T$88,'TAR FIN'!$A$1:$O$85,15,0)),0,VLOOKUP($T$88,'TAR FIN'!$A$1:$O$85,15,0))</f>
        <v>0</v>
      </c>
      <c r="X88" s="6">
        <f>IF(ISERROR(VLOOKUP($U$88,'TAR FIN'!$A$1:$O$85,15,0)),0,VLOOKUP($U$88,'TAR FIN'!$A$1:$O$85,15,0))</f>
        <v>0</v>
      </c>
      <c r="Y88" s="6">
        <f ca="1">('TUSD BE'!$AM$10+'TUSD BF'!$AM$10+'TUSD CVA'!$AM$10)*1</f>
        <v>46.049752913094459</v>
      </c>
      <c r="Z88" s="6"/>
      <c r="AA88" s="6"/>
      <c r="AB88" s="6">
        <f>$K$88*$V$88</f>
        <v>17892</v>
      </c>
      <c r="AC88" s="6">
        <f>$M$88*$W$88</f>
        <v>0</v>
      </c>
      <c r="AD88" s="6">
        <f>$O$88*$X$88</f>
        <v>0</v>
      </c>
      <c r="AE88" s="6">
        <f ca="1">$K$88*$Y$88</f>
        <v>24176.120279374591</v>
      </c>
      <c r="AF88" s="6">
        <f>$M$88*$Z$88</f>
        <v>0</v>
      </c>
      <c r="AG88" s="6">
        <f>$O$88*$AA$88</f>
        <v>0</v>
      </c>
    </row>
    <row r="89" spans="1:33" ht="11.25" customHeight="1" x14ac:dyDescent="0.3">
      <c r="A89" s="4" t="s">
        <v>27</v>
      </c>
      <c r="B89" s="4" t="s">
        <v>39</v>
      </c>
      <c r="C89" s="4" t="s">
        <v>40</v>
      </c>
      <c r="D89" s="4" t="s">
        <v>38</v>
      </c>
      <c r="E89" s="4" t="s">
        <v>25</v>
      </c>
      <c r="F89" s="4" t="s">
        <v>51</v>
      </c>
      <c r="G89" s="4" t="s">
        <v>25</v>
      </c>
      <c r="H89" s="4" t="s">
        <v>25</v>
      </c>
      <c r="I89" s="5">
        <v>44562</v>
      </c>
      <c r="J89" s="6">
        <v>1050</v>
      </c>
      <c r="K89" s="6">
        <v>525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4" t="s">
        <v>52</v>
      </c>
      <c r="R89" s="4">
        <v>0</v>
      </c>
      <c r="S89" s="6">
        <v>10</v>
      </c>
      <c r="T89" s="6">
        <v>0</v>
      </c>
      <c r="U89" s="6">
        <v>0</v>
      </c>
      <c r="V89" s="6">
        <f>IF(ISERROR(VLOOKUP($S$89,'TAR FIN'!$A$1:$O$85,15,0)),0,VLOOKUP($S$89,'TAR FIN'!$A$1:$O$85,15,0))</f>
        <v>34.08</v>
      </c>
      <c r="W89" s="6">
        <f>IF(ISERROR(VLOOKUP($T$89,'TAR FIN'!$A$1:$O$85,15,0)),0,VLOOKUP($T$89,'TAR FIN'!$A$1:$O$85,15,0))</f>
        <v>0</v>
      </c>
      <c r="X89" s="6">
        <f>IF(ISERROR(VLOOKUP($U$89,'TAR FIN'!$A$1:$O$85,15,0)),0,VLOOKUP($U$89,'TAR FIN'!$A$1:$O$85,15,0))</f>
        <v>0</v>
      </c>
      <c r="Y89" s="6">
        <f ca="1">('TUSD BE'!$AM$10+'TUSD BF'!$AM$10+'TUSD CVA'!$AM$10)*1</f>
        <v>46.049752913094459</v>
      </c>
      <c r="Z89" s="6"/>
      <c r="AA89" s="6"/>
      <c r="AB89" s="6">
        <f>$K$89*$V$89</f>
        <v>17892</v>
      </c>
      <c r="AC89" s="6">
        <f>$M$89*$W$89</f>
        <v>0</v>
      </c>
      <c r="AD89" s="6">
        <f>$O$89*$X$89</f>
        <v>0</v>
      </c>
      <c r="AE89" s="6">
        <f ca="1">$K$89*$Y$89</f>
        <v>24176.120279374591</v>
      </c>
      <c r="AF89" s="6">
        <f>$M$89*$Z$89</f>
        <v>0</v>
      </c>
      <c r="AG89" s="6">
        <f>$O$89*$AA$89</f>
        <v>0</v>
      </c>
    </row>
    <row r="90" spans="1:33" ht="11.25" customHeight="1" x14ac:dyDescent="0.3">
      <c r="A90" s="4" t="s">
        <v>21</v>
      </c>
      <c r="B90" s="4" t="s">
        <v>39</v>
      </c>
      <c r="C90" s="4" t="s">
        <v>40</v>
      </c>
      <c r="D90" s="4" t="s">
        <v>38</v>
      </c>
      <c r="E90" s="4" t="s">
        <v>25</v>
      </c>
      <c r="F90" s="4" t="s">
        <v>51</v>
      </c>
      <c r="G90" s="4" t="s">
        <v>25</v>
      </c>
      <c r="H90" s="4" t="s">
        <v>25</v>
      </c>
      <c r="I90" s="5">
        <v>44593</v>
      </c>
      <c r="J90" s="6">
        <v>1050</v>
      </c>
      <c r="K90" s="6">
        <v>525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4" t="s">
        <v>52</v>
      </c>
      <c r="R90" s="4">
        <v>0</v>
      </c>
      <c r="S90" s="6">
        <v>10</v>
      </c>
      <c r="T90" s="6">
        <v>0</v>
      </c>
      <c r="U90" s="6">
        <v>0</v>
      </c>
      <c r="V90" s="6">
        <f>IF(ISERROR(VLOOKUP($S$90,'TAR FIN'!$A$1:$O$85,15,0)),0,VLOOKUP($S$90,'TAR FIN'!$A$1:$O$85,15,0))</f>
        <v>34.08</v>
      </c>
      <c r="W90" s="6">
        <f>IF(ISERROR(VLOOKUP($T$90,'TAR FIN'!$A$1:$O$85,15,0)),0,VLOOKUP($T$90,'TAR FIN'!$A$1:$O$85,15,0))</f>
        <v>0</v>
      </c>
      <c r="X90" s="6">
        <f>IF(ISERROR(VLOOKUP($U$90,'TAR FIN'!$A$1:$O$85,15,0)),0,VLOOKUP($U$90,'TAR FIN'!$A$1:$O$85,15,0))</f>
        <v>0</v>
      </c>
      <c r="Y90" s="6">
        <f ca="1">('TUSD BE'!$AM$10+'TUSD BF'!$AM$10+'TUSD CVA'!$AM$10)*1</f>
        <v>46.049752913094459</v>
      </c>
      <c r="Z90" s="6"/>
      <c r="AA90" s="6"/>
      <c r="AB90" s="6">
        <f>$K$90*$V$90</f>
        <v>17892</v>
      </c>
      <c r="AC90" s="6">
        <f>$M$90*$W$90</f>
        <v>0</v>
      </c>
      <c r="AD90" s="6">
        <f>$O$90*$X$90</f>
        <v>0</v>
      </c>
      <c r="AE90" s="6">
        <f ca="1">$K$90*$Y$90</f>
        <v>24176.120279374591</v>
      </c>
      <c r="AF90" s="6">
        <f>$M$90*$Z$90</f>
        <v>0</v>
      </c>
      <c r="AG90" s="6">
        <f>$O$90*$AA$90</f>
        <v>0</v>
      </c>
    </row>
    <row r="91" spans="1:33" ht="11.25" customHeight="1" x14ac:dyDescent="0.3">
      <c r="A91" s="4" t="s">
        <v>27</v>
      </c>
      <c r="B91" s="4" t="s">
        <v>39</v>
      </c>
      <c r="C91" s="4" t="s">
        <v>40</v>
      </c>
      <c r="D91" s="4" t="s">
        <v>38</v>
      </c>
      <c r="E91" s="4" t="s">
        <v>25</v>
      </c>
      <c r="F91" s="4" t="s">
        <v>51</v>
      </c>
      <c r="G91" s="4" t="s">
        <v>25</v>
      </c>
      <c r="H91" s="4" t="s">
        <v>25</v>
      </c>
      <c r="I91" s="5">
        <v>44593</v>
      </c>
      <c r="J91" s="6">
        <v>1050</v>
      </c>
      <c r="K91" s="6">
        <v>525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4" t="s">
        <v>52</v>
      </c>
      <c r="R91" s="4">
        <v>0</v>
      </c>
      <c r="S91" s="6">
        <v>10</v>
      </c>
      <c r="T91" s="6">
        <v>0</v>
      </c>
      <c r="U91" s="6">
        <v>0</v>
      </c>
      <c r="V91" s="6">
        <f>IF(ISERROR(VLOOKUP($S$91,'TAR FIN'!$A$1:$O$85,15,0)),0,VLOOKUP($S$91,'TAR FIN'!$A$1:$O$85,15,0))</f>
        <v>34.08</v>
      </c>
      <c r="W91" s="6">
        <f>IF(ISERROR(VLOOKUP($T$91,'TAR FIN'!$A$1:$O$85,15,0)),0,VLOOKUP($T$91,'TAR FIN'!$A$1:$O$85,15,0))</f>
        <v>0</v>
      </c>
      <c r="X91" s="6">
        <f>IF(ISERROR(VLOOKUP($U$91,'TAR FIN'!$A$1:$O$85,15,0)),0,VLOOKUP($U$91,'TAR FIN'!$A$1:$O$85,15,0))</f>
        <v>0</v>
      </c>
      <c r="Y91" s="6">
        <f ca="1">('TUSD BE'!$AM$10+'TUSD BF'!$AM$10+'TUSD CVA'!$AM$10)*1</f>
        <v>46.049752913094459</v>
      </c>
      <c r="Z91" s="6"/>
      <c r="AA91" s="6"/>
      <c r="AB91" s="6">
        <f>$K$91*$V$91</f>
        <v>17892</v>
      </c>
      <c r="AC91" s="6">
        <f>$M$91*$W$91</f>
        <v>0</v>
      </c>
      <c r="AD91" s="6">
        <f>$O$91*$X$91</f>
        <v>0</v>
      </c>
      <c r="AE91" s="6">
        <f ca="1">$K$91*$Y$91</f>
        <v>24176.120279374591</v>
      </c>
      <c r="AF91" s="6">
        <f>$M$91*$Z$91</f>
        <v>0</v>
      </c>
      <c r="AG91" s="6">
        <f>$O$91*$AA$91</f>
        <v>0</v>
      </c>
    </row>
    <row r="92" spans="1:33" ht="11.25" customHeight="1" x14ac:dyDescent="0.3">
      <c r="A92" s="4" t="s">
        <v>21</v>
      </c>
      <c r="B92" s="4" t="s">
        <v>39</v>
      </c>
      <c r="C92" s="4" t="s">
        <v>40</v>
      </c>
      <c r="D92" s="4" t="s">
        <v>38</v>
      </c>
      <c r="E92" s="4" t="s">
        <v>25</v>
      </c>
      <c r="F92" s="4" t="s">
        <v>51</v>
      </c>
      <c r="G92" s="4" t="s">
        <v>25</v>
      </c>
      <c r="H92" s="4" t="s">
        <v>25</v>
      </c>
      <c r="I92" s="5">
        <v>44621</v>
      </c>
      <c r="J92" s="6">
        <v>1050</v>
      </c>
      <c r="K92" s="6">
        <v>525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4" t="s">
        <v>52</v>
      </c>
      <c r="R92" s="4">
        <v>0</v>
      </c>
      <c r="S92" s="6">
        <v>10</v>
      </c>
      <c r="T92" s="6">
        <v>0</v>
      </c>
      <c r="U92" s="6">
        <v>0</v>
      </c>
      <c r="V92" s="6">
        <f>IF(ISERROR(VLOOKUP($S$92,'TAR FIN'!$A$1:$O$85,15,0)),0,VLOOKUP($S$92,'TAR FIN'!$A$1:$O$85,15,0))</f>
        <v>34.08</v>
      </c>
      <c r="W92" s="6">
        <f>IF(ISERROR(VLOOKUP($T$92,'TAR FIN'!$A$1:$O$85,15,0)),0,VLOOKUP($T$92,'TAR FIN'!$A$1:$O$85,15,0))</f>
        <v>0</v>
      </c>
      <c r="X92" s="6">
        <f>IF(ISERROR(VLOOKUP($U$92,'TAR FIN'!$A$1:$O$85,15,0)),0,VLOOKUP($U$92,'TAR FIN'!$A$1:$O$85,15,0))</f>
        <v>0</v>
      </c>
      <c r="Y92" s="6">
        <f ca="1">('TUSD BE'!$AM$10+'TUSD BF'!$AM$10+'TUSD CVA'!$AM$10)*1</f>
        <v>46.049752913094459</v>
      </c>
      <c r="Z92" s="6"/>
      <c r="AA92" s="6"/>
      <c r="AB92" s="6">
        <f>$K$92*$V$92</f>
        <v>17892</v>
      </c>
      <c r="AC92" s="6">
        <f>$M$92*$W$92</f>
        <v>0</v>
      </c>
      <c r="AD92" s="6">
        <f>$O$92*$X$92</f>
        <v>0</v>
      </c>
      <c r="AE92" s="6">
        <f ca="1">$K$92*$Y$92</f>
        <v>24176.120279374591</v>
      </c>
      <c r="AF92" s="6">
        <f>$M$92*$Z$92</f>
        <v>0</v>
      </c>
      <c r="AG92" s="6">
        <f>$O$92*$AA$92</f>
        <v>0</v>
      </c>
    </row>
    <row r="93" spans="1:33" ht="11.25" customHeight="1" x14ac:dyDescent="0.3">
      <c r="A93" s="4" t="s">
        <v>27</v>
      </c>
      <c r="B93" s="4" t="s">
        <v>39</v>
      </c>
      <c r="C93" s="4" t="s">
        <v>40</v>
      </c>
      <c r="D93" s="4" t="s">
        <v>38</v>
      </c>
      <c r="E93" s="4" t="s">
        <v>25</v>
      </c>
      <c r="F93" s="4" t="s">
        <v>51</v>
      </c>
      <c r="G93" s="4" t="s">
        <v>25</v>
      </c>
      <c r="H93" s="4" t="s">
        <v>25</v>
      </c>
      <c r="I93" s="5">
        <v>44621</v>
      </c>
      <c r="J93" s="6">
        <v>1050</v>
      </c>
      <c r="K93" s="6">
        <v>525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4" t="s">
        <v>52</v>
      </c>
      <c r="R93" s="4">
        <v>0</v>
      </c>
      <c r="S93" s="6">
        <v>10</v>
      </c>
      <c r="T93" s="6">
        <v>0</v>
      </c>
      <c r="U93" s="6">
        <v>0</v>
      </c>
      <c r="V93" s="6">
        <f>IF(ISERROR(VLOOKUP($S$93,'TAR FIN'!$A$1:$O$85,15,0)),0,VLOOKUP($S$93,'TAR FIN'!$A$1:$O$85,15,0))</f>
        <v>34.08</v>
      </c>
      <c r="W93" s="6">
        <f>IF(ISERROR(VLOOKUP($T$93,'TAR FIN'!$A$1:$O$85,15,0)),0,VLOOKUP($T$93,'TAR FIN'!$A$1:$O$85,15,0))</f>
        <v>0</v>
      </c>
      <c r="X93" s="6">
        <f>IF(ISERROR(VLOOKUP($U$93,'TAR FIN'!$A$1:$O$85,15,0)),0,VLOOKUP($U$93,'TAR FIN'!$A$1:$O$85,15,0))</f>
        <v>0</v>
      </c>
      <c r="Y93" s="6">
        <f ca="1">('TUSD BE'!$AM$10+'TUSD BF'!$AM$10+'TUSD CVA'!$AM$10)*1</f>
        <v>46.049752913094459</v>
      </c>
      <c r="Z93" s="6"/>
      <c r="AA93" s="6"/>
      <c r="AB93" s="6">
        <f>$K$93*$V$93</f>
        <v>17892</v>
      </c>
      <c r="AC93" s="6">
        <f>$M$93*$W$93</f>
        <v>0</v>
      </c>
      <c r="AD93" s="6">
        <f>$O$93*$X$93</f>
        <v>0</v>
      </c>
      <c r="AE93" s="6">
        <f ca="1">$K$93*$Y$93</f>
        <v>24176.120279374591</v>
      </c>
      <c r="AF93" s="6">
        <f>$M$93*$Z$93</f>
        <v>0</v>
      </c>
      <c r="AG93" s="6">
        <f>$O$93*$AA$93</f>
        <v>0</v>
      </c>
    </row>
    <row r="94" spans="1:33" ht="11.25" customHeight="1" x14ac:dyDescent="0.3">
      <c r="A94" s="4" t="s">
        <v>21</v>
      </c>
      <c r="B94" s="4" t="s">
        <v>39</v>
      </c>
      <c r="C94" s="4" t="s">
        <v>40</v>
      </c>
      <c r="D94" s="4" t="s">
        <v>38</v>
      </c>
      <c r="E94" s="4" t="s">
        <v>25</v>
      </c>
      <c r="F94" s="4" t="s">
        <v>51</v>
      </c>
      <c r="G94" s="4" t="s">
        <v>25</v>
      </c>
      <c r="H94" s="4" t="s">
        <v>25</v>
      </c>
      <c r="I94" s="5">
        <v>44652</v>
      </c>
      <c r="J94" s="6">
        <v>1050</v>
      </c>
      <c r="K94" s="6">
        <v>525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4" t="s">
        <v>52</v>
      </c>
      <c r="R94" s="4">
        <v>0</v>
      </c>
      <c r="S94" s="6">
        <v>10</v>
      </c>
      <c r="T94" s="6">
        <v>0</v>
      </c>
      <c r="U94" s="6">
        <v>0</v>
      </c>
      <c r="V94" s="6">
        <f>IF(ISERROR(VLOOKUP($S$94,'TAR FIN'!$A$1:$O$85,15,0)),0,VLOOKUP($S$94,'TAR FIN'!$A$1:$O$85,15,0))</f>
        <v>34.08</v>
      </c>
      <c r="W94" s="6">
        <f>IF(ISERROR(VLOOKUP($T$94,'TAR FIN'!$A$1:$O$85,15,0)),0,VLOOKUP($T$94,'TAR FIN'!$A$1:$O$85,15,0))</f>
        <v>0</v>
      </c>
      <c r="X94" s="6">
        <f>IF(ISERROR(VLOOKUP($U$94,'TAR FIN'!$A$1:$O$85,15,0)),0,VLOOKUP($U$94,'TAR FIN'!$A$1:$O$85,15,0))</f>
        <v>0</v>
      </c>
      <c r="Y94" s="6">
        <f ca="1">('TUSD BE'!$AM$10+'TUSD BF'!$AM$10+'TUSD CVA'!$AM$10)*1</f>
        <v>46.049752913094459</v>
      </c>
      <c r="Z94" s="6"/>
      <c r="AA94" s="6"/>
      <c r="AB94" s="6">
        <f>$K$94*$V$94</f>
        <v>17892</v>
      </c>
      <c r="AC94" s="6">
        <f>$M$94*$W$94</f>
        <v>0</v>
      </c>
      <c r="AD94" s="6">
        <f>$O$94*$X$94</f>
        <v>0</v>
      </c>
      <c r="AE94" s="6">
        <f ca="1">$K$94*$Y$94</f>
        <v>24176.120279374591</v>
      </c>
      <c r="AF94" s="6">
        <f>$M$94*$Z$94</f>
        <v>0</v>
      </c>
      <c r="AG94" s="6">
        <f>$O$94*$AA$94</f>
        <v>0</v>
      </c>
    </row>
    <row r="95" spans="1:33" ht="11.25" customHeight="1" x14ac:dyDescent="0.3">
      <c r="A95" s="4" t="s">
        <v>27</v>
      </c>
      <c r="B95" s="4" t="s">
        <v>39</v>
      </c>
      <c r="C95" s="4" t="s">
        <v>40</v>
      </c>
      <c r="D95" s="4" t="s">
        <v>38</v>
      </c>
      <c r="E95" s="4" t="s">
        <v>25</v>
      </c>
      <c r="F95" s="4" t="s">
        <v>51</v>
      </c>
      <c r="G95" s="4" t="s">
        <v>25</v>
      </c>
      <c r="H95" s="4" t="s">
        <v>25</v>
      </c>
      <c r="I95" s="5">
        <v>44652</v>
      </c>
      <c r="J95" s="6">
        <v>1050</v>
      </c>
      <c r="K95" s="6">
        <v>525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4" t="s">
        <v>52</v>
      </c>
      <c r="R95" s="4">
        <v>0</v>
      </c>
      <c r="S95" s="6">
        <v>10</v>
      </c>
      <c r="T95" s="6">
        <v>0</v>
      </c>
      <c r="U95" s="6">
        <v>0</v>
      </c>
      <c r="V95" s="6">
        <f>IF(ISERROR(VLOOKUP($S$95,'TAR FIN'!$A$1:$O$85,15,0)),0,VLOOKUP($S$95,'TAR FIN'!$A$1:$O$85,15,0))</f>
        <v>34.08</v>
      </c>
      <c r="W95" s="6">
        <f>IF(ISERROR(VLOOKUP($T$95,'TAR FIN'!$A$1:$O$85,15,0)),0,VLOOKUP($T$95,'TAR FIN'!$A$1:$O$85,15,0))</f>
        <v>0</v>
      </c>
      <c r="X95" s="6">
        <f>IF(ISERROR(VLOOKUP($U$95,'TAR FIN'!$A$1:$O$85,15,0)),0,VLOOKUP($U$95,'TAR FIN'!$A$1:$O$85,15,0))</f>
        <v>0</v>
      </c>
      <c r="Y95" s="6">
        <f ca="1">('TUSD BE'!$AM$10+'TUSD BF'!$AM$10+'TUSD CVA'!$AM$10)*1</f>
        <v>46.049752913094459</v>
      </c>
      <c r="Z95" s="6"/>
      <c r="AA95" s="6"/>
      <c r="AB95" s="6">
        <f>$K$95*$V$95</f>
        <v>17892</v>
      </c>
      <c r="AC95" s="6">
        <f>$M$95*$W$95</f>
        <v>0</v>
      </c>
      <c r="AD95" s="6">
        <f>$O$95*$X$95</f>
        <v>0</v>
      </c>
      <c r="AE95" s="6">
        <f ca="1">$K$95*$Y$95</f>
        <v>24176.120279374591</v>
      </c>
      <c r="AF95" s="6">
        <f>$M$95*$Z$95</f>
        <v>0</v>
      </c>
      <c r="AG95" s="6">
        <f>$O$95*$AA$95</f>
        <v>0</v>
      </c>
    </row>
    <row r="96" spans="1:33" ht="11.25" customHeight="1" x14ac:dyDescent="0.3">
      <c r="A96" s="4" t="s">
        <v>21</v>
      </c>
      <c r="B96" s="4" t="s">
        <v>39</v>
      </c>
      <c r="C96" s="4" t="s">
        <v>40</v>
      </c>
      <c r="D96" s="4" t="s">
        <v>38</v>
      </c>
      <c r="E96" s="4" t="s">
        <v>25</v>
      </c>
      <c r="F96" s="4" t="s">
        <v>51</v>
      </c>
      <c r="G96" s="4" t="s">
        <v>25</v>
      </c>
      <c r="H96" s="4" t="s">
        <v>25</v>
      </c>
      <c r="I96" s="5">
        <v>44682</v>
      </c>
      <c r="J96" s="6">
        <v>1050</v>
      </c>
      <c r="K96" s="6">
        <v>525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4" t="s">
        <v>52</v>
      </c>
      <c r="R96" s="4">
        <v>0</v>
      </c>
      <c r="S96" s="6">
        <v>10</v>
      </c>
      <c r="T96" s="6">
        <v>0</v>
      </c>
      <c r="U96" s="6">
        <v>0</v>
      </c>
      <c r="V96" s="6">
        <f>IF(ISERROR(VLOOKUP($S$96,'TAR FIN'!$A$1:$O$85,15,0)),0,VLOOKUP($S$96,'TAR FIN'!$A$1:$O$85,15,0))</f>
        <v>34.08</v>
      </c>
      <c r="W96" s="6">
        <f>IF(ISERROR(VLOOKUP($T$96,'TAR FIN'!$A$1:$O$85,15,0)),0,VLOOKUP($T$96,'TAR FIN'!$A$1:$O$85,15,0))</f>
        <v>0</v>
      </c>
      <c r="X96" s="6">
        <f>IF(ISERROR(VLOOKUP($U$96,'TAR FIN'!$A$1:$O$85,15,0)),0,VLOOKUP($U$96,'TAR FIN'!$A$1:$O$85,15,0))</f>
        <v>0</v>
      </c>
      <c r="Y96" s="6">
        <f ca="1">('TUSD BE'!$AM$10+'TUSD BF'!$AM$10+'TUSD CVA'!$AM$10)*1</f>
        <v>46.049752913094459</v>
      </c>
      <c r="Z96" s="6"/>
      <c r="AA96" s="6"/>
      <c r="AB96" s="6">
        <f>$K$96*$V$96</f>
        <v>17892</v>
      </c>
      <c r="AC96" s="6">
        <f>$M$96*$W$96</f>
        <v>0</v>
      </c>
      <c r="AD96" s="6">
        <f>$O$96*$X$96</f>
        <v>0</v>
      </c>
      <c r="AE96" s="6">
        <f ca="1">$K$96*$Y$96</f>
        <v>24176.120279374591</v>
      </c>
      <c r="AF96" s="6">
        <f>$M$96*$Z$96</f>
        <v>0</v>
      </c>
      <c r="AG96" s="6">
        <f>$O$96*$AA$96</f>
        <v>0</v>
      </c>
    </row>
    <row r="97" spans="1:33" ht="11.25" customHeight="1" x14ac:dyDescent="0.3">
      <c r="A97" s="4" t="s">
        <v>27</v>
      </c>
      <c r="B97" s="4" t="s">
        <v>39</v>
      </c>
      <c r="C97" s="4" t="s">
        <v>40</v>
      </c>
      <c r="D97" s="4" t="s">
        <v>38</v>
      </c>
      <c r="E97" s="4" t="s">
        <v>25</v>
      </c>
      <c r="F97" s="4" t="s">
        <v>51</v>
      </c>
      <c r="G97" s="4" t="s">
        <v>25</v>
      </c>
      <c r="H97" s="4" t="s">
        <v>25</v>
      </c>
      <c r="I97" s="5">
        <v>44682</v>
      </c>
      <c r="J97" s="6">
        <v>1050</v>
      </c>
      <c r="K97" s="6">
        <v>525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52</v>
      </c>
      <c r="R97" s="4">
        <v>0</v>
      </c>
      <c r="S97" s="6">
        <v>10</v>
      </c>
      <c r="T97" s="6">
        <v>0</v>
      </c>
      <c r="U97" s="6">
        <v>0</v>
      </c>
      <c r="V97" s="6">
        <f>IF(ISERROR(VLOOKUP($S$97,'TAR FIN'!$A$1:$O$85,15,0)),0,VLOOKUP($S$97,'TAR FIN'!$A$1:$O$85,15,0))</f>
        <v>34.08</v>
      </c>
      <c r="W97" s="6">
        <f>IF(ISERROR(VLOOKUP($T$97,'TAR FIN'!$A$1:$O$85,15,0)),0,VLOOKUP($T$97,'TAR FIN'!$A$1:$O$85,15,0))</f>
        <v>0</v>
      </c>
      <c r="X97" s="6">
        <f>IF(ISERROR(VLOOKUP($U$97,'TAR FIN'!$A$1:$O$85,15,0)),0,VLOOKUP($U$97,'TAR FIN'!$A$1:$O$85,15,0))</f>
        <v>0</v>
      </c>
      <c r="Y97" s="6">
        <f ca="1">('TUSD BE'!$AM$10+'TUSD BF'!$AM$10+'TUSD CVA'!$AM$10)*1</f>
        <v>46.049752913094459</v>
      </c>
      <c r="Z97" s="6"/>
      <c r="AA97" s="6"/>
      <c r="AB97" s="6">
        <f>$K$97*$V$97</f>
        <v>17892</v>
      </c>
      <c r="AC97" s="6">
        <f>$M$97*$W$97</f>
        <v>0</v>
      </c>
      <c r="AD97" s="6">
        <f>$O$97*$X$97</f>
        <v>0</v>
      </c>
      <c r="AE97" s="6">
        <f ca="1">$K$97*$Y$97</f>
        <v>24176.120279374591</v>
      </c>
      <c r="AF97" s="6">
        <f>$M$97*$Z$97</f>
        <v>0</v>
      </c>
      <c r="AG97" s="6">
        <f>$O$97*$AA$97</f>
        <v>0</v>
      </c>
    </row>
    <row r="98" spans="1:33" ht="11.25" customHeight="1" x14ac:dyDescent="0.3">
      <c r="A98" s="4" t="s">
        <v>21</v>
      </c>
      <c r="B98" s="4" t="s">
        <v>39</v>
      </c>
      <c r="C98" s="4" t="s">
        <v>40</v>
      </c>
      <c r="D98" s="4" t="s">
        <v>38</v>
      </c>
      <c r="E98" s="4" t="s">
        <v>25</v>
      </c>
      <c r="F98" s="4" t="s">
        <v>51</v>
      </c>
      <c r="G98" s="4" t="s">
        <v>25</v>
      </c>
      <c r="H98" s="4" t="s">
        <v>25</v>
      </c>
      <c r="I98" s="5">
        <v>44713</v>
      </c>
      <c r="J98" s="6">
        <v>1050</v>
      </c>
      <c r="K98" s="6">
        <v>525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4" t="s">
        <v>52</v>
      </c>
      <c r="R98" s="4">
        <v>0</v>
      </c>
      <c r="S98" s="6">
        <v>10</v>
      </c>
      <c r="T98" s="6">
        <v>0</v>
      </c>
      <c r="U98" s="6">
        <v>0</v>
      </c>
      <c r="V98" s="6">
        <f>IF(ISERROR(VLOOKUP($S$98,'TAR FIN'!$A$1:$O$85,15,0)),0,VLOOKUP($S$98,'TAR FIN'!$A$1:$O$85,15,0))</f>
        <v>34.08</v>
      </c>
      <c r="W98" s="6">
        <f>IF(ISERROR(VLOOKUP($T$98,'TAR FIN'!$A$1:$O$85,15,0)),0,VLOOKUP($T$98,'TAR FIN'!$A$1:$O$85,15,0))</f>
        <v>0</v>
      </c>
      <c r="X98" s="6">
        <f>IF(ISERROR(VLOOKUP($U$98,'TAR FIN'!$A$1:$O$85,15,0)),0,VLOOKUP($U$98,'TAR FIN'!$A$1:$O$85,15,0))</f>
        <v>0</v>
      </c>
      <c r="Y98" s="6">
        <f ca="1">('TUSD BE'!$AM$10+'TUSD BF'!$AM$10+'TUSD CVA'!$AM$10)*1</f>
        <v>46.049752913094459</v>
      </c>
      <c r="Z98" s="6"/>
      <c r="AA98" s="6"/>
      <c r="AB98" s="6">
        <f>$K$98*$V$98</f>
        <v>17892</v>
      </c>
      <c r="AC98" s="6">
        <f>$M$98*$W$98</f>
        <v>0</v>
      </c>
      <c r="AD98" s="6">
        <f>$O$98*$X$98</f>
        <v>0</v>
      </c>
      <c r="AE98" s="6">
        <f ca="1">$K$98*$Y$98</f>
        <v>24176.120279374591</v>
      </c>
      <c r="AF98" s="6">
        <f>$M$98*$Z$98</f>
        <v>0</v>
      </c>
      <c r="AG98" s="6">
        <f>$O$98*$AA$98</f>
        <v>0</v>
      </c>
    </row>
    <row r="99" spans="1:33" ht="11.25" customHeight="1" x14ac:dyDescent="0.3">
      <c r="A99" s="4" t="s">
        <v>27</v>
      </c>
      <c r="B99" s="4" t="s">
        <v>39</v>
      </c>
      <c r="C99" s="4" t="s">
        <v>40</v>
      </c>
      <c r="D99" s="4" t="s">
        <v>38</v>
      </c>
      <c r="E99" s="4" t="s">
        <v>25</v>
      </c>
      <c r="F99" s="4" t="s">
        <v>51</v>
      </c>
      <c r="G99" s="4" t="s">
        <v>25</v>
      </c>
      <c r="H99" s="4" t="s">
        <v>25</v>
      </c>
      <c r="I99" s="5">
        <v>44713</v>
      </c>
      <c r="J99" s="6">
        <v>1050</v>
      </c>
      <c r="K99" s="6">
        <v>525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4" t="s">
        <v>52</v>
      </c>
      <c r="R99" s="4">
        <v>0</v>
      </c>
      <c r="S99" s="6">
        <v>10</v>
      </c>
      <c r="T99" s="6">
        <v>0</v>
      </c>
      <c r="U99" s="6">
        <v>0</v>
      </c>
      <c r="V99" s="6">
        <f>IF(ISERROR(VLOOKUP($S$99,'TAR FIN'!$A$1:$O$85,15,0)),0,VLOOKUP($S$99,'TAR FIN'!$A$1:$O$85,15,0))</f>
        <v>34.08</v>
      </c>
      <c r="W99" s="6">
        <f>IF(ISERROR(VLOOKUP($T$99,'TAR FIN'!$A$1:$O$85,15,0)),0,VLOOKUP($T$99,'TAR FIN'!$A$1:$O$85,15,0))</f>
        <v>0</v>
      </c>
      <c r="X99" s="6">
        <f>IF(ISERROR(VLOOKUP($U$99,'TAR FIN'!$A$1:$O$85,15,0)),0,VLOOKUP($U$99,'TAR FIN'!$A$1:$O$85,15,0))</f>
        <v>0</v>
      </c>
      <c r="Y99" s="6">
        <f ca="1">('TUSD BE'!$AM$10+'TUSD BF'!$AM$10+'TUSD CVA'!$AM$10)*1</f>
        <v>46.049752913094459</v>
      </c>
      <c r="Z99" s="6"/>
      <c r="AA99" s="6"/>
      <c r="AB99" s="6">
        <f>$K$99*$V$99</f>
        <v>17892</v>
      </c>
      <c r="AC99" s="6">
        <f>$M$99*$W$99</f>
        <v>0</v>
      </c>
      <c r="AD99" s="6">
        <f>$O$99*$X$99</f>
        <v>0</v>
      </c>
      <c r="AE99" s="6">
        <f ca="1">$K$99*$Y$99</f>
        <v>24176.120279374591</v>
      </c>
      <c r="AF99" s="6">
        <f>$M$99*$Z$99</f>
        <v>0</v>
      </c>
      <c r="AG99" s="6">
        <f>$O$99*$AA$99</f>
        <v>0</v>
      </c>
    </row>
    <row r="100" spans="1:33" ht="11.25" customHeight="1" x14ac:dyDescent="0.3">
      <c r="A100" s="4" t="s">
        <v>21</v>
      </c>
      <c r="B100" s="4" t="s">
        <v>39</v>
      </c>
      <c r="C100" s="4" t="s">
        <v>40</v>
      </c>
      <c r="D100" s="4" t="s">
        <v>38</v>
      </c>
      <c r="E100" s="4" t="s">
        <v>25</v>
      </c>
      <c r="F100" s="4" t="s">
        <v>51</v>
      </c>
      <c r="G100" s="4" t="s">
        <v>25</v>
      </c>
      <c r="H100" s="4" t="s">
        <v>25</v>
      </c>
      <c r="I100" s="5">
        <v>44743</v>
      </c>
      <c r="J100" s="6">
        <v>1050</v>
      </c>
      <c r="K100" s="6">
        <v>525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4" t="s">
        <v>52</v>
      </c>
      <c r="R100" s="4">
        <v>0</v>
      </c>
      <c r="S100" s="6">
        <v>10</v>
      </c>
      <c r="T100" s="6">
        <v>0</v>
      </c>
      <c r="U100" s="6">
        <v>0</v>
      </c>
      <c r="V100" s="6">
        <f>IF(ISERROR(VLOOKUP($S$100,'TAR FIN'!$A$1:$O$85,15,0)),0,VLOOKUP($S$100,'TAR FIN'!$A$1:$O$85,15,0))</f>
        <v>34.08</v>
      </c>
      <c r="W100" s="6">
        <f>IF(ISERROR(VLOOKUP($T$100,'TAR FIN'!$A$1:$O$85,15,0)),0,VLOOKUP($T$100,'TAR FIN'!$A$1:$O$85,15,0))</f>
        <v>0</v>
      </c>
      <c r="X100" s="6">
        <f>IF(ISERROR(VLOOKUP($U$100,'TAR FIN'!$A$1:$O$85,15,0)),0,VLOOKUP($U$100,'TAR FIN'!$A$1:$O$85,15,0))</f>
        <v>0</v>
      </c>
      <c r="Y100" s="6">
        <f ca="1">('TUSD BE'!$AM$10+'TUSD BF'!$AM$10+'TUSD CVA'!$AM$10)*1</f>
        <v>46.049752913094459</v>
      </c>
      <c r="Z100" s="6"/>
      <c r="AA100" s="6"/>
      <c r="AB100" s="6">
        <f>$K$100*$V$100</f>
        <v>17892</v>
      </c>
      <c r="AC100" s="6">
        <f>$M$100*$W$100</f>
        <v>0</v>
      </c>
      <c r="AD100" s="6">
        <f>$O$100*$X$100</f>
        <v>0</v>
      </c>
      <c r="AE100" s="6">
        <f ca="1">$K$100*$Y$100</f>
        <v>24176.120279374591</v>
      </c>
      <c r="AF100" s="6">
        <f>$M$100*$Z$100</f>
        <v>0</v>
      </c>
      <c r="AG100" s="6">
        <f>$O$100*$AA$100</f>
        <v>0</v>
      </c>
    </row>
    <row r="101" spans="1:33" ht="11.25" customHeight="1" x14ac:dyDescent="0.3">
      <c r="A101" s="4" t="s">
        <v>27</v>
      </c>
      <c r="B101" s="4" t="s">
        <v>39</v>
      </c>
      <c r="C101" s="4" t="s">
        <v>40</v>
      </c>
      <c r="D101" s="4" t="s">
        <v>38</v>
      </c>
      <c r="E101" s="4" t="s">
        <v>25</v>
      </c>
      <c r="F101" s="4" t="s">
        <v>51</v>
      </c>
      <c r="G101" s="4" t="s">
        <v>25</v>
      </c>
      <c r="H101" s="4" t="s">
        <v>25</v>
      </c>
      <c r="I101" s="5">
        <v>44743</v>
      </c>
      <c r="J101" s="6">
        <v>1050</v>
      </c>
      <c r="K101" s="6">
        <v>525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4" t="s">
        <v>52</v>
      </c>
      <c r="R101" s="4">
        <v>0</v>
      </c>
      <c r="S101" s="6">
        <v>10</v>
      </c>
      <c r="T101" s="6">
        <v>0</v>
      </c>
      <c r="U101" s="6">
        <v>0</v>
      </c>
      <c r="V101" s="6">
        <f>IF(ISERROR(VLOOKUP($S$101,'TAR FIN'!$A$1:$O$85,15,0)),0,VLOOKUP($S$101,'TAR FIN'!$A$1:$O$85,15,0))</f>
        <v>34.08</v>
      </c>
      <c r="W101" s="6">
        <f>IF(ISERROR(VLOOKUP($T$101,'TAR FIN'!$A$1:$O$85,15,0)),0,VLOOKUP($T$101,'TAR FIN'!$A$1:$O$85,15,0))</f>
        <v>0</v>
      </c>
      <c r="X101" s="6">
        <f>IF(ISERROR(VLOOKUP($U$101,'TAR FIN'!$A$1:$O$85,15,0)),0,VLOOKUP($U$101,'TAR FIN'!$A$1:$O$85,15,0))</f>
        <v>0</v>
      </c>
      <c r="Y101" s="6">
        <f ca="1">('TUSD BE'!$AM$10+'TUSD BF'!$AM$10+'TUSD CVA'!$AM$10)*1</f>
        <v>46.049752913094459</v>
      </c>
      <c r="Z101" s="6"/>
      <c r="AA101" s="6"/>
      <c r="AB101" s="6">
        <f>$K$101*$V$101</f>
        <v>17892</v>
      </c>
      <c r="AC101" s="6">
        <f>$M$101*$W$101</f>
        <v>0</v>
      </c>
      <c r="AD101" s="6">
        <f>$O$101*$X$101</f>
        <v>0</v>
      </c>
      <c r="AE101" s="6">
        <f ca="1">$K$101*$Y$101</f>
        <v>24176.120279374591</v>
      </c>
      <c r="AF101" s="6">
        <f>$M$101*$Z$101</f>
        <v>0</v>
      </c>
      <c r="AG101" s="6">
        <f>$O$101*$AA$101</f>
        <v>0</v>
      </c>
    </row>
    <row r="102" spans="1:33" ht="11.25" customHeight="1" x14ac:dyDescent="0.3">
      <c r="A102" s="4" t="s">
        <v>21</v>
      </c>
      <c r="B102" s="4" t="s">
        <v>39</v>
      </c>
      <c r="C102" s="4" t="s">
        <v>40</v>
      </c>
      <c r="D102" s="4" t="s">
        <v>38</v>
      </c>
      <c r="E102" s="4" t="s">
        <v>25</v>
      </c>
      <c r="F102" s="4" t="s">
        <v>51</v>
      </c>
      <c r="G102" s="4" t="s">
        <v>25</v>
      </c>
      <c r="H102" s="4" t="s">
        <v>25</v>
      </c>
      <c r="I102" s="5">
        <v>44774</v>
      </c>
      <c r="J102" s="6">
        <v>1050</v>
      </c>
      <c r="K102" s="6">
        <v>540.64499999999998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4" t="s">
        <v>52</v>
      </c>
      <c r="R102" s="4">
        <v>0</v>
      </c>
      <c r="S102" s="6">
        <v>10</v>
      </c>
      <c r="T102" s="6">
        <v>0</v>
      </c>
      <c r="U102" s="6">
        <v>0</v>
      </c>
      <c r="V102" s="6">
        <f>IF(ISERROR(VLOOKUP($S$102,'TAR FIN'!$A$1:$O$85,15,0)),0,VLOOKUP($S$102,'TAR FIN'!$A$1:$O$85,15,0))</f>
        <v>34.08</v>
      </c>
      <c r="W102" s="6">
        <f>IF(ISERROR(VLOOKUP($T$102,'TAR FIN'!$A$1:$O$85,15,0)),0,VLOOKUP($T$102,'TAR FIN'!$A$1:$O$85,15,0))</f>
        <v>0</v>
      </c>
      <c r="X102" s="6">
        <f>IF(ISERROR(VLOOKUP($U$102,'TAR FIN'!$A$1:$O$85,15,0)),0,VLOOKUP($U$102,'TAR FIN'!$A$1:$O$85,15,0))</f>
        <v>0</v>
      </c>
      <c r="Y102" s="6">
        <f ca="1">('TUSD BE'!$AM$10+'TUSD BF'!$AM$10+'TUSD CVA'!$AM$10)*1</f>
        <v>46.049752913094459</v>
      </c>
      <c r="Z102" s="6"/>
      <c r="AA102" s="6"/>
      <c r="AB102" s="6">
        <f>$K$102*$V$102</f>
        <v>18425.1816</v>
      </c>
      <c r="AC102" s="6">
        <f>$M$102*$W$102</f>
        <v>0</v>
      </c>
      <c r="AD102" s="6">
        <f>$O$102*$X$102</f>
        <v>0</v>
      </c>
      <c r="AE102" s="6">
        <f ca="1">$K$102*$Y$102</f>
        <v>24896.568663699953</v>
      </c>
      <c r="AF102" s="6">
        <f>$M$102*$Z$102</f>
        <v>0</v>
      </c>
      <c r="AG102" s="6">
        <f>$O$102*$AA$102</f>
        <v>0</v>
      </c>
    </row>
    <row r="103" spans="1:33" ht="11.25" customHeight="1" x14ac:dyDescent="0.3">
      <c r="A103" s="4" t="s">
        <v>27</v>
      </c>
      <c r="B103" s="4" t="s">
        <v>39</v>
      </c>
      <c r="C103" s="4" t="s">
        <v>40</v>
      </c>
      <c r="D103" s="4" t="s">
        <v>38</v>
      </c>
      <c r="E103" s="4" t="s">
        <v>25</v>
      </c>
      <c r="F103" s="4" t="s">
        <v>51</v>
      </c>
      <c r="G103" s="4" t="s">
        <v>25</v>
      </c>
      <c r="H103" s="4" t="s">
        <v>25</v>
      </c>
      <c r="I103" s="5">
        <v>44774</v>
      </c>
      <c r="J103" s="6">
        <v>1050</v>
      </c>
      <c r="K103" s="6">
        <v>540.64499999999998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4" t="s">
        <v>52</v>
      </c>
      <c r="R103" s="4">
        <v>0</v>
      </c>
      <c r="S103" s="6">
        <v>10</v>
      </c>
      <c r="T103" s="6">
        <v>0</v>
      </c>
      <c r="U103" s="6">
        <v>0</v>
      </c>
      <c r="V103" s="6">
        <f>IF(ISERROR(VLOOKUP($S$103,'TAR FIN'!$A$1:$O$85,15,0)),0,VLOOKUP($S$103,'TAR FIN'!$A$1:$O$85,15,0))</f>
        <v>34.08</v>
      </c>
      <c r="W103" s="6">
        <f>IF(ISERROR(VLOOKUP($T$103,'TAR FIN'!$A$1:$O$85,15,0)),0,VLOOKUP($T$103,'TAR FIN'!$A$1:$O$85,15,0))</f>
        <v>0</v>
      </c>
      <c r="X103" s="6">
        <f>IF(ISERROR(VLOOKUP($U$103,'TAR FIN'!$A$1:$O$85,15,0)),0,VLOOKUP($U$103,'TAR FIN'!$A$1:$O$85,15,0))</f>
        <v>0</v>
      </c>
      <c r="Y103" s="6">
        <f ca="1">('TUSD BE'!$AM$10+'TUSD BF'!$AM$10+'TUSD CVA'!$AM$10)*1</f>
        <v>46.049752913094459</v>
      </c>
      <c r="Z103" s="6"/>
      <c r="AA103" s="6"/>
      <c r="AB103" s="6">
        <f>$K$103*$V$103</f>
        <v>18425.1816</v>
      </c>
      <c r="AC103" s="6">
        <f>$M$103*$W$103</f>
        <v>0</v>
      </c>
      <c r="AD103" s="6">
        <f>$O$103*$X$103</f>
        <v>0</v>
      </c>
      <c r="AE103" s="6">
        <f ca="1">$K$103*$Y$103</f>
        <v>24896.568663699953</v>
      </c>
      <c r="AF103" s="6">
        <f>$M$103*$Z$103</f>
        <v>0</v>
      </c>
      <c r="AG103" s="6">
        <f>$O$103*$AA$103</f>
        <v>0</v>
      </c>
    </row>
    <row r="104" spans="1:33" ht="11.25" customHeight="1" x14ac:dyDescent="0.3">
      <c r="A104" s="4" t="s">
        <v>21</v>
      </c>
      <c r="B104" s="4" t="s">
        <v>39</v>
      </c>
      <c r="C104" s="4" t="s">
        <v>40</v>
      </c>
      <c r="D104" s="4" t="s">
        <v>38</v>
      </c>
      <c r="E104" s="4" t="s">
        <v>25</v>
      </c>
      <c r="F104" s="4" t="s">
        <v>51</v>
      </c>
      <c r="G104" s="4" t="s">
        <v>25</v>
      </c>
      <c r="H104" s="4" t="s">
        <v>34</v>
      </c>
      <c r="I104" s="5">
        <v>44440</v>
      </c>
      <c r="J104" s="6">
        <v>0</v>
      </c>
      <c r="K104" s="6">
        <v>0</v>
      </c>
      <c r="L104" s="6">
        <v>0.85099999999999998</v>
      </c>
      <c r="M104" s="6">
        <v>0.42549999999999999</v>
      </c>
      <c r="N104" s="6">
        <v>0</v>
      </c>
      <c r="O104" s="6">
        <v>0</v>
      </c>
      <c r="P104" s="6">
        <v>0</v>
      </c>
      <c r="Q104" s="4" t="s">
        <v>52</v>
      </c>
      <c r="R104" s="4">
        <v>0</v>
      </c>
      <c r="S104" s="6">
        <v>0</v>
      </c>
      <c r="T104" s="6">
        <v>23</v>
      </c>
      <c r="U104" s="6">
        <v>0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2545.94</v>
      </c>
      <c r="X104" s="6">
        <f>IF(ISERROR(VLOOKUP($U$104,'TAR FIN'!$A$1:$O$85,15,0)),0,VLOOKUP($U$104,'TAR FIN'!$A$1:$O$85,15,0))</f>
        <v>0</v>
      </c>
      <c r="Y104" s="6"/>
      <c r="Z104" s="6">
        <f ca="1">('TUSD BE'!$AM$11+'TUSD BF'!$AM$11+'TUSD CVA'!$AM$11)*1</f>
        <v>3597.960494353159</v>
      </c>
      <c r="AA104" s="6"/>
      <c r="AB104" s="6">
        <f>$K$104*$V$104</f>
        <v>0</v>
      </c>
      <c r="AC104" s="6">
        <f>$M$104*$W$104</f>
        <v>1083.29747</v>
      </c>
      <c r="AD104" s="6">
        <f>$O$104*$X$104</f>
        <v>0</v>
      </c>
      <c r="AE104" s="6">
        <f>$K$104*$Y$104</f>
        <v>0</v>
      </c>
      <c r="AF104" s="6">
        <f ca="1">$M$104*$Z$104</f>
        <v>1530.9321903472692</v>
      </c>
      <c r="AG104" s="6">
        <f>$O$104*$AA$104</f>
        <v>0</v>
      </c>
    </row>
    <row r="105" spans="1:33" ht="11.25" customHeight="1" x14ac:dyDescent="0.3">
      <c r="A105" s="4" t="s">
        <v>27</v>
      </c>
      <c r="B105" s="4" t="s">
        <v>39</v>
      </c>
      <c r="C105" s="4" t="s">
        <v>40</v>
      </c>
      <c r="D105" s="4" t="s">
        <v>38</v>
      </c>
      <c r="E105" s="4" t="s">
        <v>25</v>
      </c>
      <c r="F105" s="4" t="s">
        <v>51</v>
      </c>
      <c r="G105" s="4" t="s">
        <v>25</v>
      </c>
      <c r="H105" s="4" t="s">
        <v>34</v>
      </c>
      <c r="I105" s="5">
        <v>44440</v>
      </c>
      <c r="J105" s="6">
        <v>0</v>
      </c>
      <c r="K105" s="6">
        <v>0</v>
      </c>
      <c r="L105" s="6">
        <v>0.85099999999999998</v>
      </c>
      <c r="M105" s="6">
        <v>0.42549999999999999</v>
      </c>
      <c r="N105" s="6">
        <v>0</v>
      </c>
      <c r="O105" s="6">
        <v>0</v>
      </c>
      <c r="P105" s="6">
        <v>0</v>
      </c>
      <c r="Q105" s="4" t="s">
        <v>52</v>
      </c>
      <c r="R105" s="4">
        <v>0</v>
      </c>
      <c r="S105" s="6">
        <v>0</v>
      </c>
      <c r="T105" s="6">
        <v>23</v>
      </c>
      <c r="U105" s="6">
        <v>0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2545.94</v>
      </c>
      <c r="X105" s="6">
        <f>IF(ISERROR(VLOOKUP($U$105,'TAR FIN'!$A$1:$O$85,15,0)),0,VLOOKUP($U$105,'TAR FIN'!$A$1:$O$85,15,0))</f>
        <v>0</v>
      </c>
      <c r="Y105" s="6"/>
      <c r="Z105" s="6">
        <f ca="1">('TUSD BE'!$AM$11+'TUSD BF'!$AM$11+'TUSD CVA'!$AM$11)*1</f>
        <v>3597.960494353159</v>
      </c>
      <c r="AA105" s="6"/>
      <c r="AB105" s="6">
        <f>$K$105*$V$105</f>
        <v>0</v>
      </c>
      <c r="AC105" s="6">
        <f>$M$105*$W$105</f>
        <v>1083.29747</v>
      </c>
      <c r="AD105" s="6">
        <f>$O$105*$X$105</f>
        <v>0</v>
      </c>
      <c r="AE105" s="6">
        <f>$K$105*$Y$105</f>
        <v>0</v>
      </c>
      <c r="AF105" s="6">
        <f ca="1">$M$105*$Z$105</f>
        <v>1530.9321903472692</v>
      </c>
      <c r="AG105" s="6">
        <f>$O$105*$AA$105</f>
        <v>0</v>
      </c>
    </row>
    <row r="106" spans="1:33" ht="11.25" customHeight="1" x14ac:dyDescent="0.3">
      <c r="A106" s="4" t="s">
        <v>21</v>
      </c>
      <c r="B106" s="4" t="s">
        <v>39</v>
      </c>
      <c r="C106" s="4" t="s">
        <v>40</v>
      </c>
      <c r="D106" s="4" t="s">
        <v>38</v>
      </c>
      <c r="E106" s="4" t="s">
        <v>25</v>
      </c>
      <c r="F106" s="4" t="s">
        <v>51</v>
      </c>
      <c r="G106" s="4" t="s">
        <v>25</v>
      </c>
      <c r="H106" s="4" t="s">
        <v>34</v>
      </c>
      <c r="I106" s="5">
        <v>44470</v>
      </c>
      <c r="J106" s="6">
        <v>0</v>
      </c>
      <c r="K106" s="6">
        <v>0</v>
      </c>
      <c r="L106" s="6">
        <v>0.93700000000000006</v>
      </c>
      <c r="M106" s="6">
        <v>0.46850000000000003</v>
      </c>
      <c r="N106" s="6">
        <v>0</v>
      </c>
      <c r="O106" s="6">
        <v>0</v>
      </c>
      <c r="P106" s="6">
        <v>0</v>
      </c>
      <c r="Q106" s="4" t="s">
        <v>52</v>
      </c>
      <c r="R106" s="4">
        <v>0</v>
      </c>
      <c r="S106" s="6">
        <v>0</v>
      </c>
      <c r="T106" s="6">
        <v>23</v>
      </c>
      <c r="U106" s="6">
        <v>0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2545.94</v>
      </c>
      <c r="X106" s="6">
        <f>IF(ISERROR(VLOOKUP($U$106,'TAR FIN'!$A$1:$O$85,15,0)),0,VLOOKUP($U$106,'TAR FIN'!$A$1:$O$85,15,0))</f>
        <v>0</v>
      </c>
      <c r="Y106" s="6"/>
      <c r="Z106" s="6">
        <f ca="1">('TUSD BE'!$AM$11+'TUSD BF'!$AM$11+'TUSD CVA'!$AM$11)*1</f>
        <v>3597.960494353159</v>
      </c>
      <c r="AA106" s="6"/>
      <c r="AB106" s="6">
        <f>$K$106*$V$106</f>
        <v>0</v>
      </c>
      <c r="AC106" s="6">
        <f>$M$106*$W$106</f>
        <v>1192.7728900000002</v>
      </c>
      <c r="AD106" s="6">
        <f>$O$106*$X$106</f>
        <v>0</v>
      </c>
      <c r="AE106" s="6">
        <f>$K$106*$Y$106</f>
        <v>0</v>
      </c>
      <c r="AF106" s="6">
        <f ca="1">$M$106*$Z$106</f>
        <v>1685.6444916044552</v>
      </c>
      <c r="AG106" s="6">
        <f>$O$106*$AA$106</f>
        <v>0</v>
      </c>
    </row>
    <row r="107" spans="1:33" ht="11.25" customHeight="1" x14ac:dyDescent="0.3">
      <c r="A107" s="4" t="s">
        <v>27</v>
      </c>
      <c r="B107" s="4" t="s">
        <v>39</v>
      </c>
      <c r="C107" s="4" t="s">
        <v>40</v>
      </c>
      <c r="D107" s="4" t="s">
        <v>38</v>
      </c>
      <c r="E107" s="4" t="s">
        <v>25</v>
      </c>
      <c r="F107" s="4" t="s">
        <v>51</v>
      </c>
      <c r="G107" s="4" t="s">
        <v>25</v>
      </c>
      <c r="H107" s="4" t="s">
        <v>34</v>
      </c>
      <c r="I107" s="5">
        <v>44470</v>
      </c>
      <c r="J107" s="6">
        <v>0</v>
      </c>
      <c r="K107" s="6">
        <v>0</v>
      </c>
      <c r="L107" s="6">
        <v>0.93700000000000006</v>
      </c>
      <c r="M107" s="6">
        <v>0.46850000000000003</v>
      </c>
      <c r="N107" s="6">
        <v>0</v>
      </c>
      <c r="O107" s="6">
        <v>0</v>
      </c>
      <c r="P107" s="6">
        <v>0</v>
      </c>
      <c r="Q107" s="4" t="s">
        <v>52</v>
      </c>
      <c r="R107" s="4">
        <v>0</v>
      </c>
      <c r="S107" s="6">
        <v>0</v>
      </c>
      <c r="T107" s="6">
        <v>23</v>
      </c>
      <c r="U107" s="6">
        <v>0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2545.94</v>
      </c>
      <c r="X107" s="6">
        <f>IF(ISERROR(VLOOKUP($U$107,'TAR FIN'!$A$1:$O$85,15,0)),0,VLOOKUP($U$107,'TAR FIN'!$A$1:$O$85,15,0))</f>
        <v>0</v>
      </c>
      <c r="Y107" s="6"/>
      <c r="Z107" s="6">
        <f ca="1">('TUSD BE'!$AM$11+'TUSD BF'!$AM$11+'TUSD CVA'!$AM$11)*1</f>
        <v>3597.960494353159</v>
      </c>
      <c r="AA107" s="6"/>
      <c r="AB107" s="6">
        <f>$K$107*$V$107</f>
        <v>0</v>
      </c>
      <c r="AC107" s="6">
        <f>$M$107*$W$107</f>
        <v>1192.7728900000002</v>
      </c>
      <c r="AD107" s="6">
        <f>$O$107*$X$107</f>
        <v>0</v>
      </c>
      <c r="AE107" s="6">
        <f>$K$107*$Y$107</f>
        <v>0</v>
      </c>
      <c r="AF107" s="6">
        <f ca="1">$M$107*$Z$107</f>
        <v>1685.6444916044552</v>
      </c>
      <c r="AG107" s="6">
        <f>$O$107*$AA$107</f>
        <v>0</v>
      </c>
    </row>
    <row r="108" spans="1:33" ht="11.25" customHeight="1" x14ac:dyDescent="0.3">
      <c r="A108" s="4" t="s">
        <v>21</v>
      </c>
      <c r="B108" s="4" t="s">
        <v>39</v>
      </c>
      <c r="C108" s="4" t="s">
        <v>40</v>
      </c>
      <c r="D108" s="4" t="s">
        <v>38</v>
      </c>
      <c r="E108" s="4" t="s">
        <v>25</v>
      </c>
      <c r="F108" s="4" t="s">
        <v>51</v>
      </c>
      <c r="G108" s="4" t="s">
        <v>25</v>
      </c>
      <c r="H108" s="4" t="s">
        <v>34</v>
      </c>
      <c r="I108" s="5">
        <v>44501</v>
      </c>
      <c r="J108" s="6">
        <v>0</v>
      </c>
      <c r="K108" s="6">
        <v>0</v>
      </c>
      <c r="L108" s="6">
        <v>1.032</v>
      </c>
      <c r="M108" s="6">
        <v>0.51600000000000001</v>
      </c>
      <c r="N108" s="6">
        <v>0</v>
      </c>
      <c r="O108" s="6">
        <v>0</v>
      </c>
      <c r="P108" s="6">
        <v>0</v>
      </c>
      <c r="Q108" s="4" t="s">
        <v>52</v>
      </c>
      <c r="R108" s="4">
        <v>0</v>
      </c>
      <c r="S108" s="6">
        <v>0</v>
      </c>
      <c r="T108" s="6">
        <v>23</v>
      </c>
      <c r="U108" s="6">
        <v>0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2545.94</v>
      </c>
      <c r="X108" s="6">
        <f>IF(ISERROR(VLOOKUP($U$108,'TAR FIN'!$A$1:$O$85,15,0)),0,VLOOKUP($U$108,'TAR FIN'!$A$1:$O$85,15,0))</f>
        <v>0</v>
      </c>
      <c r="Y108" s="6"/>
      <c r="Z108" s="6">
        <f ca="1">('TUSD BE'!$AM$11+'TUSD BF'!$AM$11+'TUSD CVA'!$AM$11)*1</f>
        <v>3597.960494353159</v>
      </c>
      <c r="AA108" s="6"/>
      <c r="AB108" s="6">
        <f>$K$108*$V$108</f>
        <v>0</v>
      </c>
      <c r="AC108" s="6">
        <f>$M$108*$W$108</f>
        <v>1313.7050400000001</v>
      </c>
      <c r="AD108" s="6">
        <f>$O$108*$X$108</f>
        <v>0</v>
      </c>
      <c r="AE108" s="6">
        <f>$K$108*$Y$108</f>
        <v>0</v>
      </c>
      <c r="AF108" s="6">
        <f ca="1">$M$108*$Z$108</f>
        <v>1856.5476150862301</v>
      </c>
      <c r="AG108" s="6">
        <f>$O$108*$AA$108</f>
        <v>0</v>
      </c>
    </row>
    <row r="109" spans="1:33" ht="11.25" customHeight="1" x14ac:dyDescent="0.3">
      <c r="A109" s="4" t="s">
        <v>27</v>
      </c>
      <c r="B109" s="4" t="s">
        <v>39</v>
      </c>
      <c r="C109" s="4" t="s">
        <v>40</v>
      </c>
      <c r="D109" s="4" t="s">
        <v>38</v>
      </c>
      <c r="E109" s="4" t="s">
        <v>25</v>
      </c>
      <c r="F109" s="4" t="s">
        <v>51</v>
      </c>
      <c r="G109" s="4" t="s">
        <v>25</v>
      </c>
      <c r="H109" s="4" t="s">
        <v>34</v>
      </c>
      <c r="I109" s="5">
        <v>44501</v>
      </c>
      <c r="J109" s="6">
        <v>0</v>
      </c>
      <c r="K109" s="6">
        <v>0</v>
      </c>
      <c r="L109" s="6">
        <v>1.032</v>
      </c>
      <c r="M109" s="6">
        <v>0.51600000000000001</v>
      </c>
      <c r="N109" s="6">
        <v>0</v>
      </c>
      <c r="O109" s="6">
        <v>0</v>
      </c>
      <c r="P109" s="6">
        <v>0</v>
      </c>
      <c r="Q109" s="4" t="s">
        <v>52</v>
      </c>
      <c r="R109" s="4">
        <v>0</v>
      </c>
      <c r="S109" s="6">
        <v>0</v>
      </c>
      <c r="T109" s="6">
        <v>23</v>
      </c>
      <c r="U109" s="6">
        <v>0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2545.94</v>
      </c>
      <c r="X109" s="6">
        <f>IF(ISERROR(VLOOKUP($U$109,'TAR FIN'!$A$1:$O$85,15,0)),0,VLOOKUP($U$109,'TAR FIN'!$A$1:$O$85,15,0))</f>
        <v>0</v>
      </c>
      <c r="Y109" s="6"/>
      <c r="Z109" s="6">
        <f ca="1">('TUSD BE'!$AM$11+'TUSD BF'!$AM$11+'TUSD CVA'!$AM$11)*1</f>
        <v>3597.960494353159</v>
      </c>
      <c r="AA109" s="6"/>
      <c r="AB109" s="6">
        <f>$K$109*$V$109</f>
        <v>0</v>
      </c>
      <c r="AC109" s="6">
        <f>$M$109*$W$109</f>
        <v>1313.7050400000001</v>
      </c>
      <c r="AD109" s="6">
        <f>$O$109*$X$109</f>
        <v>0</v>
      </c>
      <c r="AE109" s="6">
        <f>$K$109*$Y$109</f>
        <v>0</v>
      </c>
      <c r="AF109" s="6">
        <f ca="1">$M$109*$Z$109</f>
        <v>1856.5476150862301</v>
      </c>
      <c r="AG109" s="6">
        <f>$O$109*$AA$109</f>
        <v>0</v>
      </c>
    </row>
    <row r="110" spans="1:33" ht="11.25" customHeight="1" x14ac:dyDescent="0.3">
      <c r="A110" s="4" t="s">
        <v>21</v>
      </c>
      <c r="B110" s="4" t="s">
        <v>39</v>
      </c>
      <c r="C110" s="4" t="s">
        <v>40</v>
      </c>
      <c r="D110" s="4" t="s">
        <v>38</v>
      </c>
      <c r="E110" s="4" t="s">
        <v>25</v>
      </c>
      <c r="F110" s="4" t="s">
        <v>51</v>
      </c>
      <c r="G110" s="4" t="s">
        <v>25</v>
      </c>
      <c r="H110" s="4" t="s">
        <v>34</v>
      </c>
      <c r="I110" s="5">
        <v>44531</v>
      </c>
      <c r="J110" s="6">
        <v>0</v>
      </c>
      <c r="K110" s="6">
        <v>0</v>
      </c>
      <c r="L110" s="6">
        <v>0.99099999999999999</v>
      </c>
      <c r="M110" s="6">
        <v>0.4955</v>
      </c>
      <c r="N110" s="6">
        <v>0</v>
      </c>
      <c r="O110" s="6">
        <v>0</v>
      </c>
      <c r="P110" s="6">
        <v>0</v>
      </c>
      <c r="Q110" s="4" t="s">
        <v>52</v>
      </c>
      <c r="R110" s="4">
        <v>0</v>
      </c>
      <c r="S110" s="6">
        <v>0</v>
      </c>
      <c r="T110" s="6">
        <v>23</v>
      </c>
      <c r="U110" s="6">
        <v>0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2545.94</v>
      </c>
      <c r="X110" s="6">
        <f>IF(ISERROR(VLOOKUP($U$110,'TAR FIN'!$A$1:$O$85,15,0)),0,VLOOKUP($U$110,'TAR FIN'!$A$1:$O$85,15,0))</f>
        <v>0</v>
      </c>
      <c r="Y110" s="6"/>
      <c r="Z110" s="6">
        <f ca="1">('TUSD BE'!$AM$11+'TUSD BF'!$AM$11+'TUSD CVA'!$AM$11)*1</f>
        <v>3597.960494353159</v>
      </c>
      <c r="AA110" s="6"/>
      <c r="AB110" s="6">
        <f>$K$110*$V$110</f>
        <v>0</v>
      </c>
      <c r="AC110" s="6">
        <f>$M$110*$W$110</f>
        <v>1261.5132699999999</v>
      </c>
      <c r="AD110" s="6">
        <f>$O$110*$X$110</f>
        <v>0</v>
      </c>
      <c r="AE110" s="6">
        <f>$K$110*$Y$110</f>
        <v>0</v>
      </c>
      <c r="AF110" s="6">
        <f ca="1">$M$110*$Z$110</f>
        <v>1782.7894249519902</v>
      </c>
      <c r="AG110" s="6">
        <f>$O$110*$AA$110</f>
        <v>0</v>
      </c>
    </row>
    <row r="111" spans="1:33" ht="11.25" customHeight="1" x14ac:dyDescent="0.3">
      <c r="A111" s="4" t="s">
        <v>27</v>
      </c>
      <c r="B111" s="4" t="s">
        <v>39</v>
      </c>
      <c r="C111" s="4" t="s">
        <v>40</v>
      </c>
      <c r="D111" s="4" t="s">
        <v>38</v>
      </c>
      <c r="E111" s="4" t="s">
        <v>25</v>
      </c>
      <c r="F111" s="4" t="s">
        <v>51</v>
      </c>
      <c r="G111" s="4" t="s">
        <v>25</v>
      </c>
      <c r="H111" s="4" t="s">
        <v>34</v>
      </c>
      <c r="I111" s="5">
        <v>44531</v>
      </c>
      <c r="J111" s="6">
        <v>0</v>
      </c>
      <c r="K111" s="6">
        <v>0</v>
      </c>
      <c r="L111" s="6">
        <v>0.99099999999999999</v>
      </c>
      <c r="M111" s="6">
        <v>0.4955</v>
      </c>
      <c r="N111" s="6">
        <v>0</v>
      </c>
      <c r="O111" s="6">
        <v>0</v>
      </c>
      <c r="P111" s="6">
        <v>0</v>
      </c>
      <c r="Q111" s="4" t="s">
        <v>52</v>
      </c>
      <c r="R111" s="4">
        <v>0</v>
      </c>
      <c r="S111" s="6">
        <v>0</v>
      </c>
      <c r="T111" s="6">
        <v>23</v>
      </c>
      <c r="U111" s="6">
        <v>0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2545.94</v>
      </c>
      <c r="X111" s="6">
        <f>IF(ISERROR(VLOOKUP($U$111,'TAR FIN'!$A$1:$O$85,15,0)),0,VLOOKUP($U$111,'TAR FIN'!$A$1:$O$85,15,0))</f>
        <v>0</v>
      </c>
      <c r="Y111" s="6"/>
      <c r="Z111" s="6">
        <f ca="1">('TUSD BE'!$AM$11+'TUSD BF'!$AM$11+'TUSD CVA'!$AM$11)*1</f>
        <v>3597.960494353159</v>
      </c>
      <c r="AA111" s="6"/>
      <c r="AB111" s="6">
        <f>$K$111*$V$111</f>
        <v>0</v>
      </c>
      <c r="AC111" s="6">
        <f>$M$111*$W$111</f>
        <v>1261.5132699999999</v>
      </c>
      <c r="AD111" s="6">
        <f>$O$111*$X$111</f>
        <v>0</v>
      </c>
      <c r="AE111" s="6">
        <f>$K$111*$Y$111</f>
        <v>0</v>
      </c>
      <c r="AF111" s="6">
        <f ca="1">$M$111*$Z$111</f>
        <v>1782.7894249519902</v>
      </c>
      <c r="AG111" s="6">
        <f>$O$111*$AA$111</f>
        <v>0</v>
      </c>
    </row>
    <row r="112" spans="1:33" ht="11.25" customHeight="1" x14ac:dyDescent="0.3">
      <c r="A112" s="4" t="s">
        <v>21</v>
      </c>
      <c r="B112" s="4" t="s">
        <v>39</v>
      </c>
      <c r="C112" s="4" t="s">
        <v>40</v>
      </c>
      <c r="D112" s="4" t="s">
        <v>38</v>
      </c>
      <c r="E112" s="4" t="s">
        <v>25</v>
      </c>
      <c r="F112" s="4" t="s">
        <v>51</v>
      </c>
      <c r="G112" s="4" t="s">
        <v>25</v>
      </c>
      <c r="H112" s="4" t="s">
        <v>34</v>
      </c>
      <c r="I112" s="5">
        <v>44562</v>
      </c>
      <c r="J112" s="6">
        <v>0</v>
      </c>
      <c r="K112" s="6">
        <v>0</v>
      </c>
      <c r="L112" s="6">
        <v>1.056</v>
      </c>
      <c r="M112" s="6">
        <v>0.52800000000000002</v>
      </c>
      <c r="N112" s="6">
        <v>0</v>
      </c>
      <c r="O112" s="6">
        <v>0</v>
      </c>
      <c r="P112" s="6">
        <v>0</v>
      </c>
      <c r="Q112" s="4" t="s">
        <v>52</v>
      </c>
      <c r="R112" s="4">
        <v>0</v>
      </c>
      <c r="S112" s="6">
        <v>0</v>
      </c>
      <c r="T112" s="6">
        <v>23</v>
      </c>
      <c r="U112" s="6">
        <v>0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2545.94</v>
      </c>
      <c r="X112" s="6">
        <f>IF(ISERROR(VLOOKUP($U$112,'TAR FIN'!$A$1:$O$85,15,0)),0,VLOOKUP($U$112,'TAR FIN'!$A$1:$O$85,15,0))</f>
        <v>0</v>
      </c>
      <c r="Y112" s="6"/>
      <c r="Z112" s="6">
        <f ca="1">('TUSD BE'!$AM$11+'TUSD BF'!$AM$11+'TUSD CVA'!$AM$11)*1</f>
        <v>3597.960494353159</v>
      </c>
      <c r="AA112" s="6"/>
      <c r="AB112" s="6">
        <f>$K$112*$V$112</f>
        <v>0</v>
      </c>
      <c r="AC112" s="6">
        <f>$M$112*$W$112</f>
        <v>1344.2563200000002</v>
      </c>
      <c r="AD112" s="6">
        <f>$O$112*$X$112</f>
        <v>0</v>
      </c>
      <c r="AE112" s="6">
        <f>$K$112*$Y$112</f>
        <v>0</v>
      </c>
      <c r="AF112" s="6">
        <f ca="1">$M$112*$Z$112</f>
        <v>1899.7231410184681</v>
      </c>
      <c r="AG112" s="6">
        <f>$O$112*$AA$112</f>
        <v>0</v>
      </c>
    </row>
    <row r="113" spans="1:33" ht="11.25" customHeight="1" x14ac:dyDescent="0.3">
      <c r="A113" s="4" t="s">
        <v>27</v>
      </c>
      <c r="B113" s="4" t="s">
        <v>39</v>
      </c>
      <c r="C113" s="4" t="s">
        <v>40</v>
      </c>
      <c r="D113" s="4" t="s">
        <v>38</v>
      </c>
      <c r="E113" s="4" t="s">
        <v>25</v>
      </c>
      <c r="F113" s="4" t="s">
        <v>51</v>
      </c>
      <c r="G113" s="4" t="s">
        <v>25</v>
      </c>
      <c r="H113" s="4" t="s">
        <v>34</v>
      </c>
      <c r="I113" s="5">
        <v>44562</v>
      </c>
      <c r="J113" s="6">
        <v>0</v>
      </c>
      <c r="K113" s="6">
        <v>0</v>
      </c>
      <c r="L113" s="6">
        <v>1.056</v>
      </c>
      <c r="M113" s="6">
        <v>0.52800000000000002</v>
      </c>
      <c r="N113" s="6">
        <v>0</v>
      </c>
      <c r="O113" s="6">
        <v>0</v>
      </c>
      <c r="P113" s="6">
        <v>0</v>
      </c>
      <c r="Q113" s="4" t="s">
        <v>52</v>
      </c>
      <c r="R113" s="4">
        <v>0</v>
      </c>
      <c r="S113" s="6">
        <v>0</v>
      </c>
      <c r="T113" s="6">
        <v>23</v>
      </c>
      <c r="U113" s="6">
        <v>0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2545.94</v>
      </c>
      <c r="X113" s="6">
        <f>IF(ISERROR(VLOOKUP($U$113,'TAR FIN'!$A$1:$O$85,15,0)),0,VLOOKUP($U$113,'TAR FIN'!$A$1:$O$85,15,0))</f>
        <v>0</v>
      </c>
      <c r="Y113" s="6"/>
      <c r="Z113" s="6">
        <f ca="1">('TUSD BE'!$AM$11+'TUSD BF'!$AM$11+'TUSD CVA'!$AM$11)*1</f>
        <v>3597.960494353159</v>
      </c>
      <c r="AA113" s="6"/>
      <c r="AB113" s="6">
        <f>$K$113*$V$113</f>
        <v>0</v>
      </c>
      <c r="AC113" s="6">
        <f>$M$113*$W$113</f>
        <v>1344.2563200000002</v>
      </c>
      <c r="AD113" s="6">
        <f>$O$113*$X$113</f>
        <v>0</v>
      </c>
      <c r="AE113" s="6">
        <f>$K$113*$Y$113</f>
        <v>0</v>
      </c>
      <c r="AF113" s="6">
        <f ca="1">$M$113*$Z$113</f>
        <v>1899.7231410184681</v>
      </c>
      <c r="AG113" s="6">
        <f>$O$113*$AA$113</f>
        <v>0</v>
      </c>
    </row>
    <row r="114" spans="1:33" ht="11.25" customHeight="1" x14ac:dyDescent="0.3">
      <c r="A114" s="4" t="s">
        <v>21</v>
      </c>
      <c r="B114" s="4" t="s">
        <v>39</v>
      </c>
      <c r="C114" s="4" t="s">
        <v>40</v>
      </c>
      <c r="D114" s="4" t="s">
        <v>38</v>
      </c>
      <c r="E114" s="4" t="s">
        <v>25</v>
      </c>
      <c r="F114" s="4" t="s">
        <v>51</v>
      </c>
      <c r="G114" s="4" t="s">
        <v>25</v>
      </c>
      <c r="H114" s="4" t="s">
        <v>34</v>
      </c>
      <c r="I114" s="5">
        <v>44593</v>
      </c>
      <c r="J114" s="6">
        <v>0</v>
      </c>
      <c r="K114" s="6">
        <v>0</v>
      </c>
      <c r="L114" s="6">
        <v>0.85099999999999998</v>
      </c>
      <c r="M114" s="6">
        <v>0.42549999999999999</v>
      </c>
      <c r="N114" s="6">
        <v>0</v>
      </c>
      <c r="O114" s="6">
        <v>0</v>
      </c>
      <c r="P114" s="6">
        <v>0</v>
      </c>
      <c r="Q114" s="4" t="s">
        <v>52</v>
      </c>
      <c r="R114" s="4">
        <v>0</v>
      </c>
      <c r="S114" s="6">
        <v>0</v>
      </c>
      <c r="T114" s="6">
        <v>23</v>
      </c>
      <c r="U114" s="6">
        <v>0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2545.94</v>
      </c>
      <c r="X114" s="6">
        <f>IF(ISERROR(VLOOKUP($U$114,'TAR FIN'!$A$1:$O$85,15,0)),0,VLOOKUP($U$114,'TAR FIN'!$A$1:$O$85,15,0))</f>
        <v>0</v>
      </c>
      <c r="Y114" s="6"/>
      <c r="Z114" s="6">
        <f ca="1">('TUSD BE'!$AM$11+'TUSD BF'!$AM$11+'TUSD CVA'!$AM$11)*1</f>
        <v>3597.960494353159</v>
      </c>
      <c r="AA114" s="6"/>
      <c r="AB114" s="6">
        <f>$K$114*$V$114</f>
        <v>0</v>
      </c>
      <c r="AC114" s="6">
        <f>$M$114*$W$114</f>
        <v>1083.29747</v>
      </c>
      <c r="AD114" s="6">
        <f>$O$114*$X$114</f>
        <v>0</v>
      </c>
      <c r="AE114" s="6">
        <f>$K$114*$Y$114</f>
        <v>0</v>
      </c>
      <c r="AF114" s="6">
        <f ca="1">$M$114*$Z$114</f>
        <v>1530.9321903472692</v>
      </c>
      <c r="AG114" s="6">
        <f>$O$114*$AA$114</f>
        <v>0</v>
      </c>
    </row>
    <row r="115" spans="1:33" ht="11.25" customHeight="1" x14ac:dyDescent="0.3">
      <c r="A115" s="4" t="s">
        <v>27</v>
      </c>
      <c r="B115" s="4" t="s">
        <v>39</v>
      </c>
      <c r="C115" s="4" t="s">
        <v>40</v>
      </c>
      <c r="D115" s="4" t="s">
        <v>38</v>
      </c>
      <c r="E115" s="4" t="s">
        <v>25</v>
      </c>
      <c r="F115" s="4" t="s">
        <v>51</v>
      </c>
      <c r="G115" s="4" t="s">
        <v>25</v>
      </c>
      <c r="H115" s="4" t="s">
        <v>34</v>
      </c>
      <c r="I115" s="5">
        <v>44593</v>
      </c>
      <c r="J115" s="6">
        <v>0</v>
      </c>
      <c r="K115" s="6">
        <v>0</v>
      </c>
      <c r="L115" s="6">
        <v>0.85099999999999998</v>
      </c>
      <c r="M115" s="6">
        <v>0.42549999999999999</v>
      </c>
      <c r="N115" s="6">
        <v>0</v>
      </c>
      <c r="O115" s="6">
        <v>0</v>
      </c>
      <c r="P115" s="6">
        <v>0</v>
      </c>
      <c r="Q115" s="4" t="s">
        <v>52</v>
      </c>
      <c r="R115" s="4">
        <v>0</v>
      </c>
      <c r="S115" s="6">
        <v>0</v>
      </c>
      <c r="T115" s="6">
        <v>23</v>
      </c>
      <c r="U115" s="6">
        <v>0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2545.94</v>
      </c>
      <c r="X115" s="6">
        <f>IF(ISERROR(VLOOKUP($U$115,'TAR FIN'!$A$1:$O$85,15,0)),0,VLOOKUP($U$115,'TAR FIN'!$A$1:$O$85,15,0))</f>
        <v>0</v>
      </c>
      <c r="Y115" s="6"/>
      <c r="Z115" s="6">
        <f ca="1">('TUSD BE'!$AM$11+'TUSD BF'!$AM$11+'TUSD CVA'!$AM$11)*1</f>
        <v>3597.960494353159</v>
      </c>
      <c r="AA115" s="6"/>
      <c r="AB115" s="6">
        <f>$K$115*$V$115</f>
        <v>0</v>
      </c>
      <c r="AC115" s="6">
        <f>$M$115*$W$115</f>
        <v>1083.29747</v>
      </c>
      <c r="AD115" s="6">
        <f>$O$115*$X$115</f>
        <v>0</v>
      </c>
      <c r="AE115" s="6">
        <f>$K$115*$Y$115</f>
        <v>0</v>
      </c>
      <c r="AF115" s="6">
        <f ca="1">$M$115*$Z$115</f>
        <v>1530.9321903472692</v>
      </c>
      <c r="AG115" s="6">
        <f>$O$115*$AA$115</f>
        <v>0</v>
      </c>
    </row>
    <row r="116" spans="1:33" ht="11.25" customHeight="1" x14ac:dyDescent="0.3">
      <c r="A116" s="4" t="s">
        <v>21</v>
      </c>
      <c r="B116" s="4" t="s">
        <v>39</v>
      </c>
      <c r="C116" s="4" t="s">
        <v>40</v>
      </c>
      <c r="D116" s="4" t="s">
        <v>38</v>
      </c>
      <c r="E116" s="4" t="s">
        <v>25</v>
      </c>
      <c r="F116" s="4" t="s">
        <v>51</v>
      </c>
      <c r="G116" s="4" t="s">
        <v>25</v>
      </c>
      <c r="H116" s="4" t="s">
        <v>34</v>
      </c>
      <c r="I116" s="5">
        <v>44621</v>
      </c>
      <c r="J116" s="6">
        <v>0</v>
      </c>
      <c r="K116" s="6">
        <v>0</v>
      </c>
      <c r="L116" s="6">
        <v>1.2250000000000001</v>
      </c>
      <c r="M116" s="6">
        <v>0.61250000000000004</v>
      </c>
      <c r="N116" s="6">
        <v>0</v>
      </c>
      <c r="O116" s="6">
        <v>0</v>
      </c>
      <c r="P116" s="6">
        <v>0</v>
      </c>
      <c r="Q116" s="4" t="s">
        <v>52</v>
      </c>
      <c r="R116" s="4">
        <v>0</v>
      </c>
      <c r="S116" s="6">
        <v>0</v>
      </c>
      <c r="T116" s="6">
        <v>23</v>
      </c>
      <c r="U116" s="6">
        <v>0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2545.94</v>
      </c>
      <c r="X116" s="6">
        <f>IF(ISERROR(VLOOKUP($U$116,'TAR FIN'!$A$1:$O$85,15,0)),0,VLOOKUP($U$116,'TAR FIN'!$A$1:$O$85,15,0))</f>
        <v>0</v>
      </c>
      <c r="Y116" s="6"/>
      <c r="Z116" s="6">
        <f ca="1">('TUSD BE'!$AM$11+'TUSD BF'!$AM$11+'TUSD CVA'!$AM$11)*1</f>
        <v>3597.960494353159</v>
      </c>
      <c r="AA116" s="6"/>
      <c r="AB116" s="6">
        <f>$K$116*$V$116</f>
        <v>0</v>
      </c>
      <c r="AC116" s="6">
        <f>$M$116*$W$116</f>
        <v>1559.3882500000002</v>
      </c>
      <c r="AD116" s="6">
        <f>$O$116*$X$116</f>
        <v>0</v>
      </c>
      <c r="AE116" s="6">
        <f>$K$116*$Y$116</f>
        <v>0</v>
      </c>
      <c r="AF116" s="6">
        <f ca="1">$M$116*$Z$116</f>
        <v>2203.75080279131</v>
      </c>
      <c r="AG116" s="6">
        <f>$O$116*$AA$116</f>
        <v>0</v>
      </c>
    </row>
    <row r="117" spans="1:33" ht="11.25" customHeight="1" x14ac:dyDescent="0.3">
      <c r="A117" s="4" t="s">
        <v>27</v>
      </c>
      <c r="B117" s="4" t="s">
        <v>39</v>
      </c>
      <c r="C117" s="4" t="s">
        <v>40</v>
      </c>
      <c r="D117" s="4" t="s">
        <v>38</v>
      </c>
      <c r="E117" s="4" t="s">
        <v>25</v>
      </c>
      <c r="F117" s="4" t="s">
        <v>51</v>
      </c>
      <c r="G117" s="4" t="s">
        <v>25</v>
      </c>
      <c r="H117" s="4" t="s">
        <v>34</v>
      </c>
      <c r="I117" s="5">
        <v>44621</v>
      </c>
      <c r="J117" s="6">
        <v>0</v>
      </c>
      <c r="K117" s="6">
        <v>0</v>
      </c>
      <c r="L117" s="6">
        <v>1.2250000000000001</v>
      </c>
      <c r="M117" s="6">
        <v>0.61250000000000004</v>
      </c>
      <c r="N117" s="6">
        <v>0</v>
      </c>
      <c r="O117" s="6">
        <v>0</v>
      </c>
      <c r="P117" s="6">
        <v>0</v>
      </c>
      <c r="Q117" s="4" t="s">
        <v>52</v>
      </c>
      <c r="R117" s="4">
        <v>0</v>
      </c>
      <c r="S117" s="6">
        <v>0</v>
      </c>
      <c r="T117" s="6">
        <v>23</v>
      </c>
      <c r="U117" s="6">
        <v>0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2545.94</v>
      </c>
      <c r="X117" s="6">
        <f>IF(ISERROR(VLOOKUP($U$117,'TAR FIN'!$A$1:$O$85,15,0)),0,VLOOKUP($U$117,'TAR FIN'!$A$1:$O$85,15,0))</f>
        <v>0</v>
      </c>
      <c r="Y117" s="6"/>
      <c r="Z117" s="6">
        <f ca="1">('TUSD BE'!$AM$11+'TUSD BF'!$AM$11+'TUSD CVA'!$AM$11)*1</f>
        <v>3597.960494353159</v>
      </c>
      <c r="AA117" s="6"/>
      <c r="AB117" s="6">
        <f>$K$117*$V$117</f>
        <v>0</v>
      </c>
      <c r="AC117" s="6">
        <f>$M$117*$W$117</f>
        <v>1559.3882500000002</v>
      </c>
      <c r="AD117" s="6">
        <f>$O$117*$X$117</f>
        <v>0</v>
      </c>
      <c r="AE117" s="6">
        <f>$K$117*$Y$117</f>
        <v>0</v>
      </c>
      <c r="AF117" s="6">
        <f ca="1">$M$117*$Z$117</f>
        <v>2203.75080279131</v>
      </c>
      <c r="AG117" s="6">
        <f>$O$117*$AA$117</f>
        <v>0</v>
      </c>
    </row>
    <row r="118" spans="1:33" ht="11.25" customHeight="1" x14ac:dyDescent="0.3">
      <c r="A118" s="4" t="s">
        <v>21</v>
      </c>
      <c r="B118" s="4" t="s">
        <v>39</v>
      </c>
      <c r="C118" s="4" t="s">
        <v>40</v>
      </c>
      <c r="D118" s="4" t="s">
        <v>38</v>
      </c>
      <c r="E118" s="4" t="s">
        <v>25</v>
      </c>
      <c r="F118" s="4" t="s">
        <v>51</v>
      </c>
      <c r="G118" s="4" t="s">
        <v>25</v>
      </c>
      <c r="H118" s="4" t="s">
        <v>34</v>
      </c>
      <c r="I118" s="5">
        <v>44652</v>
      </c>
      <c r="J118" s="6">
        <v>0</v>
      </c>
      <c r="K118" s="6">
        <v>0</v>
      </c>
      <c r="L118" s="6">
        <v>1.232</v>
      </c>
      <c r="M118" s="6">
        <v>0.61599999999999999</v>
      </c>
      <c r="N118" s="6">
        <v>0</v>
      </c>
      <c r="O118" s="6">
        <v>0</v>
      </c>
      <c r="P118" s="6">
        <v>0</v>
      </c>
      <c r="Q118" s="4" t="s">
        <v>52</v>
      </c>
      <c r="R118" s="4">
        <v>0</v>
      </c>
      <c r="S118" s="6">
        <v>0</v>
      </c>
      <c r="T118" s="6">
        <v>23</v>
      </c>
      <c r="U118" s="6">
        <v>0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2545.94</v>
      </c>
      <c r="X118" s="6">
        <f>IF(ISERROR(VLOOKUP($U$118,'TAR FIN'!$A$1:$O$85,15,0)),0,VLOOKUP($U$118,'TAR FIN'!$A$1:$O$85,15,0))</f>
        <v>0</v>
      </c>
      <c r="Y118" s="6"/>
      <c r="Z118" s="6">
        <f ca="1">('TUSD BE'!$AM$11+'TUSD BF'!$AM$11+'TUSD CVA'!$AM$11)*1</f>
        <v>3597.960494353159</v>
      </c>
      <c r="AA118" s="6"/>
      <c r="AB118" s="6">
        <f>$K$118*$V$118</f>
        <v>0</v>
      </c>
      <c r="AC118" s="6">
        <f>$M$118*$W$118</f>
        <v>1568.2990400000001</v>
      </c>
      <c r="AD118" s="6">
        <f>$O$118*$X$118</f>
        <v>0</v>
      </c>
      <c r="AE118" s="6">
        <f>$K$118*$Y$118</f>
        <v>0</v>
      </c>
      <c r="AF118" s="6">
        <f ca="1">$M$118*$Z$118</f>
        <v>2216.3436645215461</v>
      </c>
      <c r="AG118" s="6">
        <f>$O$118*$AA$118</f>
        <v>0</v>
      </c>
    </row>
    <row r="119" spans="1:33" ht="11.25" customHeight="1" x14ac:dyDescent="0.3">
      <c r="A119" s="4" t="s">
        <v>27</v>
      </c>
      <c r="B119" s="4" t="s">
        <v>39</v>
      </c>
      <c r="C119" s="4" t="s">
        <v>40</v>
      </c>
      <c r="D119" s="4" t="s">
        <v>38</v>
      </c>
      <c r="E119" s="4" t="s">
        <v>25</v>
      </c>
      <c r="F119" s="4" t="s">
        <v>51</v>
      </c>
      <c r="G119" s="4" t="s">
        <v>25</v>
      </c>
      <c r="H119" s="4" t="s">
        <v>34</v>
      </c>
      <c r="I119" s="5">
        <v>44652</v>
      </c>
      <c r="J119" s="6">
        <v>0</v>
      </c>
      <c r="K119" s="6">
        <v>0</v>
      </c>
      <c r="L119" s="6">
        <v>1.232</v>
      </c>
      <c r="M119" s="6">
        <v>0.61599999999999999</v>
      </c>
      <c r="N119" s="6">
        <v>0</v>
      </c>
      <c r="O119" s="6">
        <v>0</v>
      </c>
      <c r="P119" s="6">
        <v>0</v>
      </c>
      <c r="Q119" s="4" t="s">
        <v>52</v>
      </c>
      <c r="R119" s="4">
        <v>0</v>
      </c>
      <c r="S119" s="6">
        <v>0</v>
      </c>
      <c r="T119" s="6">
        <v>23</v>
      </c>
      <c r="U119" s="6">
        <v>0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2545.94</v>
      </c>
      <c r="X119" s="6">
        <f>IF(ISERROR(VLOOKUP($U$119,'TAR FIN'!$A$1:$O$85,15,0)),0,VLOOKUP($U$119,'TAR FIN'!$A$1:$O$85,15,0))</f>
        <v>0</v>
      </c>
      <c r="Y119" s="6"/>
      <c r="Z119" s="6">
        <f ca="1">('TUSD BE'!$AM$11+'TUSD BF'!$AM$11+'TUSD CVA'!$AM$11)*1</f>
        <v>3597.960494353159</v>
      </c>
      <c r="AA119" s="6"/>
      <c r="AB119" s="6">
        <f>$K$119*$V$119</f>
        <v>0</v>
      </c>
      <c r="AC119" s="6">
        <f>$M$119*$W$119</f>
        <v>1568.2990400000001</v>
      </c>
      <c r="AD119" s="6">
        <f>$O$119*$X$119</f>
        <v>0</v>
      </c>
      <c r="AE119" s="6">
        <f>$K$119*$Y$119</f>
        <v>0</v>
      </c>
      <c r="AF119" s="6">
        <f ca="1">$M$119*$Z$119</f>
        <v>2216.3436645215461</v>
      </c>
      <c r="AG119" s="6">
        <f>$O$119*$AA$119</f>
        <v>0</v>
      </c>
    </row>
    <row r="120" spans="1:33" ht="11.25" customHeight="1" x14ac:dyDescent="0.3">
      <c r="A120" s="4" t="s">
        <v>21</v>
      </c>
      <c r="B120" s="4" t="s">
        <v>39</v>
      </c>
      <c r="C120" s="4" t="s">
        <v>40</v>
      </c>
      <c r="D120" s="4" t="s">
        <v>38</v>
      </c>
      <c r="E120" s="4" t="s">
        <v>25</v>
      </c>
      <c r="F120" s="4" t="s">
        <v>51</v>
      </c>
      <c r="G120" s="4" t="s">
        <v>25</v>
      </c>
      <c r="H120" s="4" t="s">
        <v>34</v>
      </c>
      <c r="I120" s="5">
        <v>44682</v>
      </c>
      <c r="J120" s="6">
        <v>0</v>
      </c>
      <c r="K120" s="6">
        <v>0</v>
      </c>
      <c r="L120" s="6">
        <v>1.4910000000000001</v>
      </c>
      <c r="M120" s="6">
        <v>0.74550000000000005</v>
      </c>
      <c r="N120" s="6">
        <v>0</v>
      </c>
      <c r="O120" s="6">
        <v>0</v>
      </c>
      <c r="P120" s="6">
        <v>0</v>
      </c>
      <c r="Q120" s="4" t="s">
        <v>52</v>
      </c>
      <c r="R120" s="4">
        <v>0</v>
      </c>
      <c r="S120" s="6">
        <v>0</v>
      </c>
      <c r="T120" s="6">
        <v>23</v>
      </c>
      <c r="U120" s="6">
        <v>0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2545.94</v>
      </c>
      <c r="X120" s="6">
        <f>IF(ISERROR(VLOOKUP($U$120,'TAR FIN'!$A$1:$O$85,15,0)),0,VLOOKUP($U$120,'TAR FIN'!$A$1:$O$85,15,0))</f>
        <v>0</v>
      </c>
      <c r="Y120" s="6"/>
      <c r="Z120" s="6">
        <f ca="1">('TUSD BE'!$AM$11+'TUSD BF'!$AM$11+'TUSD CVA'!$AM$11)*1</f>
        <v>3597.960494353159</v>
      </c>
      <c r="AA120" s="6"/>
      <c r="AB120" s="6">
        <f>$K$120*$V$120</f>
        <v>0</v>
      </c>
      <c r="AC120" s="6">
        <f>$M$120*$W$120</f>
        <v>1897.9982700000003</v>
      </c>
      <c r="AD120" s="6">
        <f>$O$120*$X$120</f>
        <v>0</v>
      </c>
      <c r="AE120" s="6">
        <f>$K$120*$Y$120</f>
        <v>0</v>
      </c>
      <c r="AF120" s="6">
        <f ca="1">$M$120*$Z$120</f>
        <v>2682.2795485402803</v>
      </c>
      <c r="AG120" s="6">
        <f>$O$120*$AA$120</f>
        <v>0</v>
      </c>
    </row>
    <row r="121" spans="1:33" ht="11.25" customHeight="1" x14ac:dyDescent="0.3">
      <c r="A121" s="4" t="s">
        <v>27</v>
      </c>
      <c r="B121" s="4" t="s">
        <v>39</v>
      </c>
      <c r="C121" s="4" t="s">
        <v>40</v>
      </c>
      <c r="D121" s="4" t="s">
        <v>38</v>
      </c>
      <c r="E121" s="4" t="s">
        <v>25</v>
      </c>
      <c r="F121" s="4" t="s">
        <v>51</v>
      </c>
      <c r="G121" s="4" t="s">
        <v>25</v>
      </c>
      <c r="H121" s="4" t="s">
        <v>34</v>
      </c>
      <c r="I121" s="5">
        <v>44682</v>
      </c>
      <c r="J121" s="6">
        <v>0</v>
      </c>
      <c r="K121" s="6">
        <v>0</v>
      </c>
      <c r="L121" s="6">
        <v>1.4910000000000001</v>
      </c>
      <c r="M121" s="6">
        <v>0.74550000000000005</v>
      </c>
      <c r="N121" s="6">
        <v>0</v>
      </c>
      <c r="O121" s="6">
        <v>0</v>
      </c>
      <c r="P121" s="6">
        <v>0</v>
      </c>
      <c r="Q121" s="4" t="s">
        <v>52</v>
      </c>
      <c r="R121" s="4">
        <v>0</v>
      </c>
      <c r="S121" s="6">
        <v>0</v>
      </c>
      <c r="T121" s="6">
        <v>23</v>
      </c>
      <c r="U121" s="6">
        <v>0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2545.94</v>
      </c>
      <c r="X121" s="6">
        <f>IF(ISERROR(VLOOKUP($U$121,'TAR FIN'!$A$1:$O$85,15,0)),0,VLOOKUP($U$121,'TAR FIN'!$A$1:$O$85,15,0))</f>
        <v>0</v>
      </c>
      <c r="Y121" s="6"/>
      <c r="Z121" s="6">
        <f ca="1">('TUSD BE'!$AM$11+'TUSD BF'!$AM$11+'TUSD CVA'!$AM$11)*1</f>
        <v>3597.960494353159</v>
      </c>
      <c r="AA121" s="6"/>
      <c r="AB121" s="6">
        <f>$K$121*$V$121</f>
        <v>0</v>
      </c>
      <c r="AC121" s="6">
        <f>$M$121*$W$121</f>
        <v>1897.9982700000003</v>
      </c>
      <c r="AD121" s="6">
        <f>$O$121*$X$121</f>
        <v>0</v>
      </c>
      <c r="AE121" s="6">
        <f>$K$121*$Y$121</f>
        <v>0</v>
      </c>
      <c r="AF121" s="6">
        <f ca="1">$M$121*$Z$121</f>
        <v>2682.2795485402803</v>
      </c>
      <c r="AG121" s="6">
        <f>$O$121*$AA$121</f>
        <v>0</v>
      </c>
    </row>
    <row r="122" spans="1:33" ht="11.25" customHeight="1" x14ac:dyDescent="0.3">
      <c r="A122" s="4" t="s">
        <v>21</v>
      </c>
      <c r="B122" s="4" t="s">
        <v>39</v>
      </c>
      <c r="C122" s="4" t="s">
        <v>40</v>
      </c>
      <c r="D122" s="4" t="s">
        <v>38</v>
      </c>
      <c r="E122" s="4" t="s">
        <v>25</v>
      </c>
      <c r="F122" s="4" t="s">
        <v>51</v>
      </c>
      <c r="G122" s="4" t="s">
        <v>25</v>
      </c>
      <c r="H122" s="4" t="s">
        <v>34</v>
      </c>
      <c r="I122" s="5">
        <v>44713</v>
      </c>
      <c r="J122" s="6">
        <v>0</v>
      </c>
      <c r="K122" s="6">
        <v>0</v>
      </c>
      <c r="L122" s="6">
        <v>1.47</v>
      </c>
      <c r="M122" s="6">
        <v>0.73499999999999999</v>
      </c>
      <c r="N122" s="6">
        <v>0</v>
      </c>
      <c r="O122" s="6">
        <v>0</v>
      </c>
      <c r="P122" s="6">
        <v>0</v>
      </c>
      <c r="Q122" s="4" t="s">
        <v>52</v>
      </c>
      <c r="R122" s="4">
        <v>0</v>
      </c>
      <c r="S122" s="6">
        <v>0</v>
      </c>
      <c r="T122" s="6">
        <v>23</v>
      </c>
      <c r="U122" s="6">
        <v>0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2545.94</v>
      </c>
      <c r="X122" s="6">
        <f>IF(ISERROR(VLOOKUP($U$122,'TAR FIN'!$A$1:$O$85,15,0)),0,VLOOKUP($U$122,'TAR FIN'!$A$1:$O$85,15,0))</f>
        <v>0</v>
      </c>
      <c r="Y122" s="6"/>
      <c r="Z122" s="6">
        <f ca="1">('TUSD BE'!$AM$11+'TUSD BF'!$AM$11+'TUSD CVA'!$AM$11)*1</f>
        <v>3597.960494353159</v>
      </c>
      <c r="AA122" s="6"/>
      <c r="AB122" s="6">
        <f>$K$122*$V$122</f>
        <v>0</v>
      </c>
      <c r="AC122" s="6">
        <f>$M$122*$W$122</f>
        <v>1871.2659000000001</v>
      </c>
      <c r="AD122" s="6">
        <f>$O$122*$X$122</f>
        <v>0</v>
      </c>
      <c r="AE122" s="6">
        <f>$K$122*$Y$122</f>
        <v>0</v>
      </c>
      <c r="AF122" s="6">
        <f ca="1">$M$122*$Z$122</f>
        <v>2644.500963349572</v>
      </c>
      <c r="AG122" s="6">
        <f>$O$122*$AA$122</f>
        <v>0</v>
      </c>
    </row>
    <row r="123" spans="1:33" ht="11.25" customHeight="1" x14ac:dyDescent="0.3">
      <c r="A123" s="4" t="s">
        <v>27</v>
      </c>
      <c r="B123" s="4" t="s">
        <v>39</v>
      </c>
      <c r="C123" s="4" t="s">
        <v>40</v>
      </c>
      <c r="D123" s="4" t="s">
        <v>38</v>
      </c>
      <c r="E123" s="4" t="s">
        <v>25</v>
      </c>
      <c r="F123" s="4" t="s">
        <v>51</v>
      </c>
      <c r="G123" s="4" t="s">
        <v>25</v>
      </c>
      <c r="H123" s="4" t="s">
        <v>34</v>
      </c>
      <c r="I123" s="5">
        <v>44713</v>
      </c>
      <c r="J123" s="6">
        <v>0</v>
      </c>
      <c r="K123" s="6">
        <v>0</v>
      </c>
      <c r="L123" s="6">
        <v>1.47</v>
      </c>
      <c r="M123" s="6">
        <v>0.73499999999999999</v>
      </c>
      <c r="N123" s="6">
        <v>0</v>
      </c>
      <c r="O123" s="6">
        <v>0</v>
      </c>
      <c r="P123" s="6">
        <v>0</v>
      </c>
      <c r="Q123" s="4" t="s">
        <v>52</v>
      </c>
      <c r="R123" s="4">
        <v>0</v>
      </c>
      <c r="S123" s="6">
        <v>0</v>
      </c>
      <c r="T123" s="6">
        <v>23</v>
      </c>
      <c r="U123" s="6">
        <v>0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2545.94</v>
      </c>
      <c r="X123" s="6">
        <f>IF(ISERROR(VLOOKUP($U$123,'TAR FIN'!$A$1:$O$85,15,0)),0,VLOOKUP($U$123,'TAR FIN'!$A$1:$O$85,15,0))</f>
        <v>0</v>
      </c>
      <c r="Y123" s="6"/>
      <c r="Z123" s="6">
        <f ca="1">('TUSD BE'!$AM$11+'TUSD BF'!$AM$11+'TUSD CVA'!$AM$11)*1</f>
        <v>3597.960494353159</v>
      </c>
      <c r="AA123" s="6"/>
      <c r="AB123" s="6">
        <f>$K$123*$V$123</f>
        <v>0</v>
      </c>
      <c r="AC123" s="6">
        <f>$M$123*$W$123</f>
        <v>1871.2659000000001</v>
      </c>
      <c r="AD123" s="6">
        <f>$O$123*$X$123</f>
        <v>0</v>
      </c>
      <c r="AE123" s="6">
        <f>$K$123*$Y$123</f>
        <v>0</v>
      </c>
      <c r="AF123" s="6">
        <f ca="1">$M$123*$Z$123</f>
        <v>2644.500963349572</v>
      </c>
      <c r="AG123" s="6">
        <f>$O$123*$AA$123</f>
        <v>0</v>
      </c>
    </row>
    <row r="124" spans="1:33" ht="11.25" customHeight="1" x14ac:dyDescent="0.3">
      <c r="A124" s="4" t="s">
        <v>21</v>
      </c>
      <c r="B124" s="4" t="s">
        <v>39</v>
      </c>
      <c r="C124" s="4" t="s">
        <v>40</v>
      </c>
      <c r="D124" s="4" t="s">
        <v>38</v>
      </c>
      <c r="E124" s="4" t="s">
        <v>25</v>
      </c>
      <c r="F124" s="4" t="s">
        <v>51</v>
      </c>
      <c r="G124" s="4" t="s">
        <v>25</v>
      </c>
      <c r="H124" s="4" t="s">
        <v>34</v>
      </c>
      <c r="I124" s="5">
        <v>44743</v>
      </c>
      <c r="J124" s="6">
        <v>0</v>
      </c>
      <c r="K124" s="6">
        <v>0</v>
      </c>
      <c r="L124" s="6">
        <v>1.5820000000000001</v>
      </c>
      <c r="M124" s="6">
        <v>0.79100000000000004</v>
      </c>
      <c r="N124" s="6">
        <v>0</v>
      </c>
      <c r="O124" s="6">
        <v>0</v>
      </c>
      <c r="P124" s="6">
        <v>0</v>
      </c>
      <c r="Q124" s="4" t="s">
        <v>52</v>
      </c>
      <c r="R124" s="4">
        <v>0</v>
      </c>
      <c r="S124" s="6">
        <v>0</v>
      </c>
      <c r="T124" s="6">
        <v>23</v>
      </c>
      <c r="U124" s="6">
        <v>0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2545.94</v>
      </c>
      <c r="X124" s="6">
        <f>IF(ISERROR(VLOOKUP($U$124,'TAR FIN'!$A$1:$O$85,15,0)),0,VLOOKUP($U$124,'TAR FIN'!$A$1:$O$85,15,0))</f>
        <v>0</v>
      </c>
      <c r="Y124" s="6"/>
      <c r="Z124" s="6">
        <f ca="1">('TUSD BE'!$AM$11+'TUSD BF'!$AM$11+'TUSD CVA'!$AM$11)*1</f>
        <v>3597.960494353159</v>
      </c>
      <c r="AA124" s="6"/>
      <c r="AB124" s="6">
        <f>$K$124*$V$124</f>
        <v>0</v>
      </c>
      <c r="AC124" s="6">
        <f>$M$124*$W$124</f>
        <v>2013.8385400000002</v>
      </c>
      <c r="AD124" s="6">
        <f>$O$124*$X$124</f>
        <v>0</v>
      </c>
      <c r="AE124" s="6">
        <f>$K$124*$Y$124</f>
        <v>0</v>
      </c>
      <c r="AF124" s="6">
        <f ca="1">$M$124*$Z$124</f>
        <v>2845.9867510333488</v>
      </c>
      <c r="AG124" s="6">
        <f>$O$124*$AA$124</f>
        <v>0</v>
      </c>
    </row>
    <row r="125" spans="1:33" ht="11.25" customHeight="1" x14ac:dyDescent="0.3">
      <c r="A125" s="4" t="s">
        <v>27</v>
      </c>
      <c r="B125" s="4" t="s">
        <v>39</v>
      </c>
      <c r="C125" s="4" t="s">
        <v>40</v>
      </c>
      <c r="D125" s="4" t="s">
        <v>38</v>
      </c>
      <c r="E125" s="4" t="s">
        <v>25</v>
      </c>
      <c r="F125" s="4" t="s">
        <v>51</v>
      </c>
      <c r="G125" s="4" t="s">
        <v>25</v>
      </c>
      <c r="H125" s="4" t="s">
        <v>34</v>
      </c>
      <c r="I125" s="5">
        <v>44743</v>
      </c>
      <c r="J125" s="6">
        <v>0</v>
      </c>
      <c r="K125" s="6">
        <v>0</v>
      </c>
      <c r="L125" s="6">
        <v>1.5820000000000001</v>
      </c>
      <c r="M125" s="6">
        <v>0.79100000000000004</v>
      </c>
      <c r="N125" s="6">
        <v>0</v>
      </c>
      <c r="O125" s="6">
        <v>0</v>
      </c>
      <c r="P125" s="6">
        <v>0</v>
      </c>
      <c r="Q125" s="4" t="s">
        <v>52</v>
      </c>
      <c r="R125" s="4">
        <v>0</v>
      </c>
      <c r="S125" s="6">
        <v>0</v>
      </c>
      <c r="T125" s="6">
        <v>23</v>
      </c>
      <c r="U125" s="6">
        <v>0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2545.94</v>
      </c>
      <c r="X125" s="6">
        <f>IF(ISERROR(VLOOKUP($U$125,'TAR FIN'!$A$1:$O$85,15,0)),0,VLOOKUP($U$125,'TAR FIN'!$A$1:$O$85,15,0))</f>
        <v>0</v>
      </c>
      <c r="Y125" s="6"/>
      <c r="Z125" s="6">
        <f ca="1">('TUSD BE'!$AM$11+'TUSD BF'!$AM$11+'TUSD CVA'!$AM$11)*1</f>
        <v>3597.960494353159</v>
      </c>
      <c r="AA125" s="6"/>
      <c r="AB125" s="6">
        <f>$K$125*$V$125</f>
        <v>0</v>
      </c>
      <c r="AC125" s="6">
        <f>$M$125*$W$125</f>
        <v>2013.8385400000002</v>
      </c>
      <c r="AD125" s="6">
        <f>$O$125*$X$125</f>
        <v>0</v>
      </c>
      <c r="AE125" s="6">
        <f>$K$125*$Y$125</f>
        <v>0</v>
      </c>
      <c r="AF125" s="6">
        <f ca="1">$M$125*$Z$125</f>
        <v>2845.9867510333488</v>
      </c>
      <c r="AG125" s="6">
        <f>$O$125*$AA$125</f>
        <v>0</v>
      </c>
    </row>
    <row r="126" spans="1:33" ht="11.25" customHeight="1" x14ac:dyDescent="0.3">
      <c r="A126" s="4" t="s">
        <v>21</v>
      </c>
      <c r="B126" s="4" t="s">
        <v>39</v>
      </c>
      <c r="C126" s="4" t="s">
        <v>40</v>
      </c>
      <c r="D126" s="4" t="s">
        <v>38</v>
      </c>
      <c r="E126" s="4" t="s">
        <v>25</v>
      </c>
      <c r="F126" s="4" t="s">
        <v>51</v>
      </c>
      <c r="G126" s="4" t="s">
        <v>25</v>
      </c>
      <c r="H126" s="4" t="s">
        <v>34</v>
      </c>
      <c r="I126" s="5">
        <v>44774</v>
      </c>
      <c r="J126" s="6">
        <v>0</v>
      </c>
      <c r="K126" s="6">
        <v>0</v>
      </c>
      <c r="L126" s="6">
        <v>1.419</v>
      </c>
      <c r="M126" s="6">
        <v>0.73064309999999999</v>
      </c>
      <c r="N126" s="6">
        <v>0</v>
      </c>
      <c r="O126" s="6">
        <v>0</v>
      </c>
      <c r="P126" s="6">
        <v>0</v>
      </c>
      <c r="Q126" s="4" t="s">
        <v>52</v>
      </c>
      <c r="R126" s="4">
        <v>0</v>
      </c>
      <c r="S126" s="6">
        <v>0</v>
      </c>
      <c r="T126" s="6">
        <v>23</v>
      </c>
      <c r="U126" s="6">
        <v>0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2545.94</v>
      </c>
      <c r="X126" s="6">
        <f>IF(ISERROR(VLOOKUP($U$126,'TAR FIN'!$A$1:$O$85,15,0)),0,VLOOKUP($U$126,'TAR FIN'!$A$1:$O$85,15,0))</f>
        <v>0</v>
      </c>
      <c r="Y126" s="6"/>
      <c r="Z126" s="6">
        <f ca="1">('TUSD BE'!$AM$11+'TUSD BF'!$AM$11+'TUSD CVA'!$AM$11)*1</f>
        <v>3597.960494353159</v>
      </c>
      <c r="AA126" s="6"/>
      <c r="AB126" s="6">
        <f>$K$126*$V$126</f>
        <v>0</v>
      </c>
      <c r="AC126" s="6">
        <f>$M$126*$W$126</f>
        <v>1860.173494014</v>
      </c>
      <c r="AD126" s="6">
        <f>$O$126*$X$126</f>
        <v>0</v>
      </c>
      <c r="AE126" s="6">
        <f>$K$126*$Y$126</f>
        <v>0</v>
      </c>
      <c r="AF126" s="6">
        <f ca="1">$M$126*$Z$126</f>
        <v>2628.8250092717244</v>
      </c>
      <c r="AG126" s="6">
        <f>$O$126*$AA$126</f>
        <v>0</v>
      </c>
    </row>
    <row r="127" spans="1:33" ht="11.25" customHeight="1" x14ac:dyDescent="0.3">
      <c r="A127" s="4" t="s">
        <v>27</v>
      </c>
      <c r="B127" s="4" t="s">
        <v>39</v>
      </c>
      <c r="C127" s="4" t="s">
        <v>40</v>
      </c>
      <c r="D127" s="4" t="s">
        <v>38</v>
      </c>
      <c r="E127" s="4" t="s">
        <v>25</v>
      </c>
      <c r="F127" s="4" t="s">
        <v>51</v>
      </c>
      <c r="G127" s="4" t="s">
        <v>25</v>
      </c>
      <c r="H127" s="4" t="s">
        <v>34</v>
      </c>
      <c r="I127" s="5">
        <v>44774</v>
      </c>
      <c r="J127" s="6">
        <v>0</v>
      </c>
      <c r="K127" s="6">
        <v>0</v>
      </c>
      <c r="L127" s="6">
        <v>1.419</v>
      </c>
      <c r="M127" s="6">
        <v>0.73064309999999999</v>
      </c>
      <c r="N127" s="6">
        <v>0</v>
      </c>
      <c r="O127" s="6">
        <v>0</v>
      </c>
      <c r="P127" s="6">
        <v>0</v>
      </c>
      <c r="Q127" s="4" t="s">
        <v>52</v>
      </c>
      <c r="R127" s="4">
        <v>0</v>
      </c>
      <c r="S127" s="6">
        <v>0</v>
      </c>
      <c r="T127" s="6">
        <v>23</v>
      </c>
      <c r="U127" s="6">
        <v>0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2545.94</v>
      </c>
      <c r="X127" s="6">
        <f>IF(ISERROR(VLOOKUP($U$127,'TAR FIN'!$A$1:$O$85,15,0)),0,VLOOKUP($U$127,'TAR FIN'!$A$1:$O$85,15,0))</f>
        <v>0</v>
      </c>
      <c r="Y127" s="6"/>
      <c r="Z127" s="6">
        <f ca="1">('TUSD BE'!$AM$11+'TUSD BF'!$AM$11+'TUSD CVA'!$AM$11)*1</f>
        <v>3597.960494353159</v>
      </c>
      <c r="AA127" s="6"/>
      <c r="AB127" s="6">
        <f>$K$127*$V$127</f>
        <v>0</v>
      </c>
      <c r="AC127" s="6">
        <f>$M$127*$W$127</f>
        <v>1860.173494014</v>
      </c>
      <c r="AD127" s="6">
        <f>$O$127*$X$127</f>
        <v>0</v>
      </c>
      <c r="AE127" s="6">
        <f>$K$127*$Y$127</f>
        <v>0</v>
      </c>
      <c r="AF127" s="6">
        <f ca="1">$M$127*$Z$127</f>
        <v>2628.8250092717244</v>
      </c>
      <c r="AG127" s="6">
        <f>$O$127*$AA$127</f>
        <v>0</v>
      </c>
    </row>
    <row r="128" spans="1:33" ht="11.25" customHeight="1" x14ac:dyDescent="0.3">
      <c r="A128" s="4" t="s">
        <v>21</v>
      </c>
      <c r="B128" s="4" t="s">
        <v>39</v>
      </c>
      <c r="C128" s="4" t="s">
        <v>40</v>
      </c>
      <c r="D128" s="4" t="s">
        <v>38</v>
      </c>
      <c r="E128" s="4" t="s">
        <v>25</v>
      </c>
      <c r="F128" s="4" t="s">
        <v>25</v>
      </c>
      <c r="G128" s="4" t="s">
        <v>25</v>
      </c>
      <c r="H128" s="4" t="s">
        <v>35</v>
      </c>
      <c r="I128" s="5">
        <v>44440</v>
      </c>
      <c r="J128" s="6">
        <v>0</v>
      </c>
      <c r="K128" s="6">
        <v>0</v>
      </c>
      <c r="L128" s="6">
        <v>177.37100000000001</v>
      </c>
      <c r="M128" s="6">
        <v>177.37100000000001</v>
      </c>
      <c r="N128" s="6">
        <v>177.37100000000001</v>
      </c>
      <c r="O128" s="6">
        <v>177.37100000000001</v>
      </c>
      <c r="P128" s="6">
        <v>0</v>
      </c>
      <c r="Q128" s="4" t="s">
        <v>26</v>
      </c>
      <c r="R128" s="4">
        <v>0</v>
      </c>
      <c r="S128" s="6">
        <v>0</v>
      </c>
      <c r="T128" s="6">
        <v>6</v>
      </c>
      <c r="U128" s="6">
        <v>50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67.489999999999995</v>
      </c>
      <c r="X128" s="6">
        <f>IF(ISERROR(VLOOKUP($U$128,'TAR FIN'!$A$1:$O$85,15,0)),0,VLOOKUP($U$128,'TAR FIN'!$A$1:$O$85,15,0))</f>
        <v>223.07</v>
      </c>
      <c r="Y128" s="6"/>
      <c r="Z128" s="6">
        <f ca="1">('TUSD BE'!$AM$12+'TUSD BF'!$AM$12+'TUSD CVA'!$AM$12)*1</f>
        <v>91.421403244159023</v>
      </c>
      <c r="AA128" s="6">
        <f>('TE BE'!$AB$6+'TE BF'!$AB$6+'TE CVA'!$AB$6)*1</f>
        <v>77.958364182443049</v>
      </c>
      <c r="AB128" s="6">
        <f>$K$128*$V$128</f>
        <v>0</v>
      </c>
      <c r="AC128" s="6">
        <f>$M$128*$W$128</f>
        <v>11970.76879</v>
      </c>
      <c r="AD128" s="6">
        <f>$O$128*$X$128</f>
        <v>39566.148970000002</v>
      </c>
      <c r="AE128" s="6">
        <f>$K$128*$Y$128</f>
        <v>0</v>
      </c>
      <c r="AF128" s="6">
        <f ca="1">$M$128*$Z$128</f>
        <v>16215.50571481973</v>
      </c>
      <c r="AG128" s="6">
        <f>$O$128*$AA$128</f>
        <v>13827.553013404107</v>
      </c>
    </row>
    <row r="129" spans="1:33" ht="11.25" customHeight="1" x14ac:dyDescent="0.3">
      <c r="A129" s="4" t="s">
        <v>28</v>
      </c>
      <c r="B129" s="4" t="s">
        <v>39</v>
      </c>
      <c r="C129" s="4" t="s">
        <v>40</v>
      </c>
      <c r="D129" s="4" t="s">
        <v>38</v>
      </c>
      <c r="E129" s="4" t="s">
        <v>25</v>
      </c>
      <c r="F129" s="4" t="s">
        <v>25</v>
      </c>
      <c r="G129" s="4" t="s">
        <v>25</v>
      </c>
      <c r="H129" s="4" t="s">
        <v>35</v>
      </c>
      <c r="I129" s="5">
        <v>44440</v>
      </c>
      <c r="J129" s="6">
        <v>0</v>
      </c>
      <c r="K129" s="6">
        <v>0</v>
      </c>
      <c r="L129" s="6">
        <v>1.42</v>
      </c>
      <c r="M129" s="6">
        <v>1.42</v>
      </c>
      <c r="N129" s="6">
        <v>1.42</v>
      </c>
      <c r="O129" s="6">
        <v>1.42</v>
      </c>
      <c r="P129" s="6">
        <v>0</v>
      </c>
      <c r="Q129" s="4" t="s">
        <v>26</v>
      </c>
      <c r="R129" s="4">
        <v>0</v>
      </c>
      <c r="S129" s="6">
        <v>0</v>
      </c>
      <c r="T129" s="6">
        <v>6</v>
      </c>
      <c r="U129" s="6">
        <v>50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67.489999999999995</v>
      </c>
      <c r="X129" s="6">
        <f>IF(ISERROR(VLOOKUP($U$129,'TAR FIN'!$A$1:$O$85,15,0)),0,VLOOKUP($U$129,'TAR FIN'!$A$1:$O$85,15,0))</f>
        <v>223.07</v>
      </c>
      <c r="Y129" s="6"/>
      <c r="Z129" s="6">
        <f ca="1">('TUSD BE'!$AM$12+'TUSD BF'!$AM$12+'TUSD CVA'!$AM$12)*1</f>
        <v>91.421403244159023</v>
      </c>
      <c r="AA129" s="6">
        <f>('TE BE'!$AB$6+'TE BF'!$AB$6+'TE CVA'!$AB$6)*1</f>
        <v>77.958364182443049</v>
      </c>
      <c r="AB129" s="6">
        <f>$K$129*$V$129</f>
        <v>0</v>
      </c>
      <c r="AC129" s="6">
        <f>$M$129*$W$129</f>
        <v>95.835799999999992</v>
      </c>
      <c r="AD129" s="6">
        <f>$O$129*$X$129</f>
        <v>316.75939999999997</v>
      </c>
      <c r="AE129" s="6">
        <f>$K$129*$Y$129</f>
        <v>0</v>
      </c>
      <c r="AF129" s="6">
        <f ca="1">$M$129*$Z$129</f>
        <v>129.8183926067058</v>
      </c>
      <c r="AG129" s="6">
        <f>$O$129*$AA$129</f>
        <v>110.70087713906912</v>
      </c>
    </row>
    <row r="130" spans="1:33" ht="11.25" customHeight="1" x14ac:dyDescent="0.3">
      <c r="A130" s="4" t="s">
        <v>21</v>
      </c>
      <c r="B130" s="4" t="s">
        <v>39</v>
      </c>
      <c r="C130" s="4" t="s">
        <v>40</v>
      </c>
      <c r="D130" s="4" t="s">
        <v>38</v>
      </c>
      <c r="E130" s="4" t="s">
        <v>25</v>
      </c>
      <c r="F130" s="4" t="s">
        <v>25</v>
      </c>
      <c r="G130" s="4" t="s">
        <v>25</v>
      </c>
      <c r="H130" s="4" t="s">
        <v>35</v>
      </c>
      <c r="I130" s="5">
        <v>44470</v>
      </c>
      <c r="J130" s="6">
        <v>0</v>
      </c>
      <c r="K130" s="6">
        <v>0</v>
      </c>
      <c r="L130" s="6">
        <v>97.475999999999999</v>
      </c>
      <c r="M130" s="6">
        <v>97.475999999999999</v>
      </c>
      <c r="N130" s="6">
        <v>97.475999999999999</v>
      </c>
      <c r="O130" s="6">
        <v>97.475999999999999</v>
      </c>
      <c r="P130" s="6">
        <v>0</v>
      </c>
      <c r="Q130" s="4" t="s">
        <v>26</v>
      </c>
      <c r="R130" s="4">
        <v>0</v>
      </c>
      <c r="S130" s="6">
        <v>0</v>
      </c>
      <c r="T130" s="6">
        <v>6</v>
      </c>
      <c r="U130" s="6">
        <v>50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67.489999999999995</v>
      </c>
      <c r="X130" s="6">
        <f>IF(ISERROR(VLOOKUP($U$130,'TAR FIN'!$A$1:$O$85,15,0)),0,VLOOKUP($U$130,'TAR FIN'!$A$1:$O$85,15,0))</f>
        <v>223.07</v>
      </c>
      <c r="Y130" s="6"/>
      <c r="Z130" s="6">
        <f ca="1">('TUSD BE'!$AM$12+'TUSD BF'!$AM$12+'TUSD CVA'!$AM$12)*1</f>
        <v>91.421403244159023</v>
      </c>
      <c r="AA130" s="6">
        <f>('TE BE'!$AB$6+'TE BF'!$AB$6+'TE CVA'!$AB$6)*1</f>
        <v>77.958364182443049</v>
      </c>
      <c r="AB130" s="6">
        <f>$K$130*$V$130</f>
        <v>0</v>
      </c>
      <c r="AC130" s="6">
        <f>$M$130*$W$130</f>
        <v>6578.6552399999991</v>
      </c>
      <c r="AD130" s="6">
        <f>$O$130*$X$130</f>
        <v>21743.971320000001</v>
      </c>
      <c r="AE130" s="6">
        <f>$K$130*$Y$130</f>
        <v>0</v>
      </c>
      <c r="AF130" s="6">
        <f ca="1">$M$130*$Z$130</f>
        <v>8911.3927026276451</v>
      </c>
      <c r="AG130" s="6">
        <f>$O$130*$AA$130</f>
        <v>7599.0695070478187</v>
      </c>
    </row>
    <row r="131" spans="1:33" ht="11.25" customHeight="1" x14ac:dyDescent="0.3">
      <c r="A131" s="4" t="s">
        <v>21</v>
      </c>
      <c r="B131" s="4" t="s">
        <v>39</v>
      </c>
      <c r="C131" s="4" t="s">
        <v>40</v>
      </c>
      <c r="D131" s="4" t="s">
        <v>38</v>
      </c>
      <c r="E131" s="4" t="s">
        <v>25</v>
      </c>
      <c r="F131" s="4" t="s">
        <v>25</v>
      </c>
      <c r="G131" s="4" t="s">
        <v>25</v>
      </c>
      <c r="H131" s="4" t="s">
        <v>35</v>
      </c>
      <c r="I131" s="5">
        <v>44501</v>
      </c>
      <c r="J131" s="6">
        <v>0</v>
      </c>
      <c r="K131" s="6">
        <v>0</v>
      </c>
      <c r="L131" s="6">
        <v>112.797</v>
      </c>
      <c r="M131" s="6">
        <v>112.797</v>
      </c>
      <c r="N131" s="6">
        <v>112.797</v>
      </c>
      <c r="O131" s="6">
        <v>112.797</v>
      </c>
      <c r="P131" s="6">
        <v>0</v>
      </c>
      <c r="Q131" s="4" t="s">
        <v>26</v>
      </c>
      <c r="R131" s="4">
        <v>0</v>
      </c>
      <c r="S131" s="6">
        <v>0</v>
      </c>
      <c r="T131" s="6">
        <v>6</v>
      </c>
      <c r="U131" s="6">
        <v>50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67.489999999999995</v>
      </c>
      <c r="X131" s="6">
        <f>IF(ISERROR(VLOOKUP($U$131,'TAR FIN'!$A$1:$O$85,15,0)),0,VLOOKUP($U$131,'TAR FIN'!$A$1:$O$85,15,0))</f>
        <v>223.07</v>
      </c>
      <c r="Y131" s="6"/>
      <c r="Z131" s="6">
        <f ca="1">('TUSD BE'!$AM$12+'TUSD BF'!$AM$12+'TUSD CVA'!$AM$12)*1</f>
        <v>91.421403244159023</v>
      </c>
      <c r="AA131" s="6">
        <f>('TE BE'!$AB$6+'TE BF'!$AB$6+'TE CVA'!$AB$6)*1</f>
        <v>77.958364182443049</v>
      </c>
      <c r="AB131" s="6">
        <f>$K$131*$V$131</f>
        <v>0</v>
      </c>
      <c r="AC131" s="6">
        <f>$M$131*$W$131</f>
        <v>7612.6695299999992</v>
      </c>
      <c r="AD131" s="6">
        <f>$O$131*$X$131</f>
        <v>25161.626789999998</v>
      </c>
      <c r="AE131" s="6">
        <f>$K$131*$Y$131</f>
        <v>0</v>
      </c>
      <c r="AF131" s="6">
        <f ca="1">$M$131*$Z$131</f>
        <v>10312.060021731406</v>
      </c>
      <c r="AG131" s="6">
        <f>$O$131*$AA$131</f>
        <v>8793.4696046870285</v>
      </c>
    </row>
    <row r="132" spans="1:33" ht="11.25" customHeight="1" x14ac:dyDescent="0.3">
      <c r="A132" s="4" t="s">
        <v>21</v>
      </c>
      <c r="B132" s="4" t="s">
        <v>39</v>
      </c>
      <c r="C132" s="4" t="s">
        <v>40</v>
      </c>
      <c r="D132" s="4" t="s">
        <v>38</v>
      </c>
      <c r="E132" s="4" t="s">
        <v>25</v>
      </c>
      <c r="F132" s="4" t="s">
        <v>25</v>
      </c>
      <c r="G132" s="4" t="s">
        <v>25</v>
      </c>
      <c r="H132" s="4" t="s">
        <v>35</v>
      </c>
      <c r="I132" s="5">
        <v>44531</v>
      </c>
      <c r="J132" s="6">
        <v>0</v>
      </c>
      <c r="K132" s="6">
        <v>0</v>
      </c>
      <c r="L132" s="6">
        <v>122.096</v>
      </c>
      <c r="M132" s="6">
        <v>122.096</v>
      </c>
      <c r="N132" s="6">
        <v>122.096</v>
      </c>
      <c r="O132" s="6">
        <v>122.096</v>
      </c>
      <c r="P132" s="6">
        <v>0</v>
      </c>
      <c r="Q132" s="4" t="s">
        <v>26</v>
      </c>
      <c r="R132" s="4">
        <v>0</v>
      </c>
      <c r="S132" s="6">
        <v>0</v>
      </c>
      <c r="T132" s="6">
        <v>6</v>
      </c>
      <c r="U132" s="6">
        <v>50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67.489999999999995</v>
      </c>
      <c r="X132" s="6">
        <f>IF(ISERROR(VLOOKUP($U$132,'TAR FIN'!$A$1:$O$85,15,0)),0,VLOOKUP($U$132,'TAR FIN'!$A$1:$O$85,15,0))</f>
        <v>223.07</v>
      </c>
      <c r="Y132" s="6"/>
      <c r="Z132" s="6">
        <f ca="1">('TUSD BE'!$AM$12+'TUSD BF'!$AM$12+'TUSD CVA'!$AM$12)*1</f>
        <v>91.421403244159023</v>
      </c>
      <c r="AA132" s="6">
        <f>('TE BE'!$AB$6+'TE BF'!$AB$6+'TE CVA'!$AB$6)*1</f>
        <v>77.958364182443049</v>
      </c>
      <c r="AB132" s="6">
        <f>$K$132*$V$132</f>
        <v>0</v>
      </c>
      <c r="AC132" s="6">
        <f>$M$132*$W$132</f>
        <v>8240.259039999999</v>
      </c>
      <c r="AD132" s="6">
        <f>$O$132*$X$132</f>
        <v>27235.954720000002</v>
      </c>
      <c r="AE132" s="6">
        <f>$K$132*$Y$132</f>
        <v>0</v>
      </c>
      <c r="AF132" s="6">
        <f ca="1">$M$132*$Z$132</f>
        <v>11162.187650498841</v>
      </c>
      <c r="AG132" s="6">
        <f>$O$132*$AA$132</f>
        <v>9518.4044332195663</v>
      </c>
    </row>
    <row r="133" spans="1:33" ht="11.25" customHeight="1" x14ac:dyDescent="0.3">
      <c r="A133" s="4" t="s">
        <v>21</v>
      </c>
      <c r="B133" s="4" t="s">
        <v>39</v>
      </c>
      <c r="C133" s="4" t="s">
        <v>40</v>
      </c>
      <c r="D133" s="4" t="s">
        <v>38</v>
      </c>
      <c r="E133" s="4" t="s">
        <v>25</v>
      </c>
      <c r="F133" s="4" t="s">
        <v>25</v>
      </c>
      <c r="G133" s="4" t="s">
        <v>25</v>
      </c>
      <c r="H133" s="4" t="s">
        <v>35</v>
      </c>
      <c r="I133" s="5">
        <v>44562</v>
      </c>
      <c r="J133" s="6">
        <v>0</v>
      </c>
      <c r="K133" s="6">
        <v>0</v>
      </c>
      <c r="L133" s="6">
        <v>99.01</v>
      </c>
      <c r="M133" s="6">
        <v>99.01</v>
      </c>
      <c r="N133" s="6">
        <v>99.01</v>
      </c>
      <c r="O133" s="6">
        <v>99.01</v>
      </c>
      <c r="P133" s="6">
        <v>0</v>
      </c>
      <c r="Q133" s="4" t="s">
        <v>26</v>
      </c>
      <c r="R133" s="4">
        <v>0</v>
      </c>
      <c r="S133" s="6">
        <v>0</v>
      </c>
      <c r="T133" s="6">
        <v>6</v>
      </c>
      <c r="U133" s="6">
        <v>50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67.489999999999995</v>
      </c>
      <c r="X133" s="6">
        <f>IF(ISERROR(VLOOKUP($U$133,'TAR FIN'!$A$1:$O$85,15,0)),0,VLOOKUP($U$133,'TAR FIN'!$A$1:$O$85,15,0))</f>
        <v>223.07</v>
      </c>
      <c r="Y133" s="6"/>
      <c r="Z133" s="6">
        <f ca="1">('TUSD BE'!$AM$12+'TUSD BF'!$AM$12+'TUSD CVA'!$AM$12)*1</f>
        <v>91.421403244159023</v>
      </c>
      <c r="AA133" s="6">
        <f>('TE BE'!$AB$6+'TE BF'!$AB$6+'TE CVA'!$AB$6)*1</f>
        <v>77.958364182443049</v>
      </c>
      <c r="AB133" s="6">
        <f>$K$133*$V$133</f>
        <v>0</v>
      </c>
      <c r="AC133" s="6">
        <f>$M$133*$W$133</f>
        <v>6682.1849000000002</v>
      </c>
      <c r="AD133" s="6">
        <f>$O$133*$X$133</f>
        <v>22086.1607</v>
      </c>
      <c r="AE133" s="6">
        <f>$K$133*$Y$133</f>
        <v>0</v>
      </c>
      <c r="AF133" s="6">
        <f ca="1">$M$133*$Z$133</f>
        <v>9051.6331352041852</v>
      </c>
      <c r="AG133" s="6">
        <f>$O$133*$AA$133</f>
        <v>7718.6576377036863</v>
      </c>
    </row>
    <row r="134" spans="1:33" ht="11.25" customHeight="1" x14ac:dyDescent="0.3">
      <c r="A134" s="4" t="s">
        <v>21</v>
      </c>
      <c r="B134" s="4" t="s">
        <v>39</v>
      </c>
      <c r="C134" s="4" t="s">
        <v>40</v>
      </c>
      <c r="D134" s="4" t="s">
        <v>38</v>
      </c>
      <c r="E134" s="4" t="s">
        <v>25</v>
      </c>
      <c r="F134" s="4" t="s">
        <v>25</v>
      </c>
      <c r="G134" s="4" t="s">
        <v>25</v>
      </c>
      <c r="H134" s="4" t="s">
        <v>35</v>
      </c>
      <c r="I134" s="5">
        <v>44593</v>
      </c>
      <c r="J134" s="6">
        <v>0</v>
      </c>
      <c r="K134" s="6">
        <v>0</v>
      </c>
      <c r="L134" s="6">
        <v>138.72200000000001</v>
      </c>
      <c r="M134" s="6">
        <v>138.72200000000001</v>
      </c>
      <c r="N134" s="6">
        <v>138.72200000000001</v>
      </c>
      <c r="O134" s="6">
        <v>138.72200000000001</v>
      </c>
      <c r="P134" s="6">
        <v>0</v>
      </c>
      <c r="Q134" s="4" t="s">
        <v>26</v>
      </c>
      <c r="R134" s="4">
        <v>0</v>
      </c>
      <c r="S134" s="6">
        <v>0</v>
      </c>
      <c r="T134" s="6">
        <v>6</v>
      </c>
      <c r="U134" s="6">
        <v>50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67.489999999999995</v>
      </c>
      <c r="X134" s="6">
        <f>IF(ISERROR(VLOOKUP($U$134,'TAR FIN'!$A$1:$O$85,15,0)),0,VLOOKUP($U$134,'TAR FIN'!$A$1:$O$85,15,0))</f>
        <v>223.07</v>
      </c>
      <c r="Y134" s="6"/>
      <c r="Z134" s="6">
        <f ca="1">('TUSD BE'!$AM$12+'TUSD BF'!$AM$12+'TUSD CVA'!$AM$12)*1</f>
        <v>91.421403244159023</v>
      </c>
      <c r="AA134" s="6">
        <f>('TE BE'!$AB$6+'TE BF'!$AB$6+'TE CVA'!$AB$6)*1</f>
        <v>77.958364182443049</v>
      </c>
      <c r="AB134" s="6">
        <f>$K$134*$V$134</f>
        <v>0</v>
      </c>
      <c r="AC134" s="6">
        <f>$M$134*$W$134</f>
        <v>9362.3477800000001</v>
      </c>
      <c r="AD134" s="6">
        <f>$O$134*$X$134</f>
        <v>30944.716540000001</v>
      </c>
      <c r="AE134" s="6">
        <f>$K$134*$Y$134</f>
        <v>0</v>
      </c>
      <c r="AF134" s="6">
        <f ca="1">$M$134*$Z$134</f>
        <v>12682.159900836228</v>
      </c>
      <c r="AG134" s="6">
        <f>$O$134*$AA$134</f>
        <v>10814.540196116865</v>
      </c>
    </row>
    <row r="135" spans="1:33" ht="11.25" customHeight="1" x14ac:dyDescent="0.3">
      <c r="A135" s="4" t="s">
        <v>21</v>
      </c>
      <c r="B135" s="4" t="s">
        <v>39</v>
      </c>
      <c r="C135" s="4" t="s">
        <v>40</v>
      </c>
      <c r="D135" s="4" t="s">
        <v>38</v>
      </c>
      <c r="E135" s="4" t="s">
        <v>25</v>
      </c>
      <c r="F135" s="4" t="s">
        <v>25</v>
      </c>
      <c r="G135" s="4" t="s">
        <v>25</v>
      </c>
      <c r="H135" s="4" t="s">
        <v>35</v>
      </c>
      <c r="I135" s="5">
        <v>44621</v>
      </c>
      <c r="J135" s="6">
        <v>0</v>
      </c>
      <c r="K135" s="6">
        <v>0</v>
      </c>
      <c r="L135" s="6">
        <v>192.18899999999999</v>
      </c>
      <c r="M135" s="6">
        <v>192.18899999999999</v>
      </c>
      <c r="N135" s="6">
        <v>192.18899999999999</v>
      </c>
      <c r="O135" s="6">
        <v>192.18899999999999</v>
      </c>
      <c r="P135" s="6">
        <v>0</v>
      </c>
      <c r="Q135" s="4" t="s">
        <v>26</v>
      </c>
      <c r="R135" s="4">
        <v>0</v>
      </c>
      <c r="S135" s="6">
        <v>0</v>
      </c>
      <c r="T135" s="6">
        <v>6</v>
      </c>
      <c r="U135" s="6">
        <v>50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67.489999999999995</v>
      </c>
      <c r="X135" s="6">
        <f>IF(ISERROR(VLOOKUP($U$135,'TAR FIN'!$A$1:$O$85,15,0)),0,VLOOKUP($U$135,'TAR FIN'!$A$1:$O$85,15,0))</f>
        <v>223.07</v>
      </c>
      <c r="Y135" s="6"/>
      <c r="Z135" s="6">
        <f ca="1">('TUSD BE'!$AM$12+'TUSD BF'!$AM$12+'TUSD CVA'!$AM$12)*1</f>
        <v>91.421403244159023</v>
      </c>
      <c r="AA135" s="6">
        <f>('TE BE'!$AB$6+'TE BF'!$AB$6+'TE CVA'!$AB$6)*1</f>
        <v>77.958364182443049</v>
      </c>
      <c r="AB135" s="6">
        <f>$K$135*$V$135</f>
        <v>0</v>
      </c>
      <c r="AC135" s="6">
        <f>$M$135*$W$135</f>
        <v>12970.835609999998</v>
      </c>
      <c r="AD135" s="6">
        <f>$O$135*$X$135</f>
        <v>42871.600229999996</v>
      </c>
      <c r="AE135" s="6">
        <f>$K$135*$Y$135</f>
        <v>0</v>
      </c>
      <c r="AF135" s="6">
        <f ca="1">$M$135*$Z$135</f>
        <v>17570.188068091677</v>
      </c>
      <c r="AG135" s="6">
        <f>$O$135*$AA$135</f>
        <v>14982.740053859547</v>
      </c>
    </row>
    <row r="136" spans="1:33" ht="11.25" customHeight="1" x14ac:dyDescent="0.3">
      <c r="A136" s="4" t="s">
        <v>21</v>
      </c>
      <c r="B136" s="4" t="s">
        <v>39</v>
      </c>
      <c r="C136" s="4" t="s">
        <v>40</v>
      </c>
      <c r="D136" s="4" t="s">
        <v>38</v>
      </c>
      <c r="E136" s="4" t="s">
        <v>25</v>
      </c>
      <c r="F136" s="4" t="s">
        <v>25</v>
      </c>
      <c r="G136" s="4" t="s">
        <v>25</v>
      </c>
      <c r="H136" s="4" t="s">
        <v>35</v>
      </c>
      <c r="I136" s="5">
        <v>44652</v>
      </c>
      <c r="J136" s="6">
        <v>0</v>
      </c>
      <c r="K136" s="6">
        <v>0</v>
      </c>
      <c r="L136" s="6">
        <v>156.73699999999999</v>
      </c>
      <c r="M136" s="6">
        <v>156.73699999999999</v>
      </c>
      <c r="N136" s="6">
        <v>156.73699999999999</v>
      </c>
      <c r="O136" s="6">
        <v>156.73699999999999</v>
      </c>
      <c r="P136" s="6">
        <v>0</v>
      </c>
      <c r="Q136" s="4" t="s">
        <v>26</v>
      </c>
      <c r="R136" s="4">
        <v>0</v>
      </c>
      <c r="S136" s="6">
        <v>0</v>
      </c>
      <c r="T136" s="6">
        <v>6</v>
      </c>
      <c r="U136" s="6">
        <v>50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67.489999999999995</v>
      </c>
      <c r="X136" s="6">
        <f>IF(ISERROR(VLOOKUP($U$136,'TAR FIN'!$A$1:$O$85,15,0)),0,VLOOKUP($U$136,'TAR FIN'!$A$1:$O$85,15,0))</f>
        <v>223.07</v>
      </c>
      <c r="Y136" s="6"/>
      <c r="Z136" s="6">
        <f ca="1">('TUSD BE'!$AM$12+'TUSD BF'!$AM$12+'TUSD CVA'!$AM$12)*1</f>
        <v>91.421403244159023</v>
      </c>
      <c r="AA136" s="6">
        <f>('TE BE'!$AB$6+'TE BF'!$AB$6+'TE CVA'!$AB$6)*1</f>
        <v>77.958364182443049</v>
      </c>
      <c r="AB136" s="6">
        <f>$K$136*$V$136</f>
        <v>0</v>
      </c>
      <c r="AC136" s="6">
        <f>$M$136*$W$136</f>
        <v>10578.180129999999</v>
      </c>
      <c r="AD136" s="6">
        <f>$O$136*$X$136</f>
        <v>34963.322589999996</v>
      </c>
      <c r="AE136" s="6">
        <f>$K$136*$Y$136</f>
        <v>0</v>
      </c>
      <c r="AF136" s="6">
        <f ca="1">$M$136*$Z$136</f>
        <v>14329.116480279752</v>
      </c>
      <c r="AG136" s="6">
        <f>$O$136*$AA$136</f>
        <v>12218.960126863576</v>
      </c>
    </row>
    <row r="137" spans="1:33" ht="11.25" customHeight="1" x14ac:dyDescent="0.3">
      <c r="A137" s="4" t="s">
        <v>21</v>
      </c>
      <c r="B137" s="4" t="s">
        <v>39</v>
      </c>
      <c r="C137" s="4" t="s">
        <v>40</v>
      </c>
      <c r="D137" s="4" t="s">
        <v>38</v>
      </c>
      <c r="E137" s="4" t="s">
        <v>25</v>
      </c>
      <c r="F137" s="4" t="s">
        <v>25</v>
      </c>
      <c r="G137" s="4" t="s">
        <v>25</v>
      </c>
      <c r="H137" s="4" t="s">
        <v>35</v>
      </c>
      <c r="I137" s="5">
        <v>44682</v>
      </c>
      <c r="J137" s="6">
        <v>0</v>
      </c>
      <c r="K137" s="6">
        <v>0</v>
      </c>
      <c r="L137" s="6">
        <v>198.99</v>
      </c>
      <c r="M137" s="6">
        <v>198.99</v>
      </c>
      <c r="N137" s="6">
        <v>198.99</v>
      </c>
      <c r="O137" s="6">
        <v>198.99</v>
      </c>
      <c r="P137" s="6">
        <v>0</v>
      </c>
      <c r="Q137" s="4" t="s">
        <v>26</v>
      </c>
      <c r="R137" s="4">
        <v>0</v>
      </c>
      <c r="S137" s="6">
        <v>0</v>
      </c>
      <c r="T137" s="6">
        <v>6</v>
      </c>
      <c r="U137" s="6">
        <v>50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67.489999999999995</v>
      </c>
      <c r="X137" s="6">
        <f>IF(ISERROR(VLOOKUP($U$137,'TAR FIN'!$A$1:$O$85,15,0)),0,VLOOKUP($U$137,'TAR FIN'!$A$1:$O$85,15,0))</f>
        <v>223.07</v>
      </c>
      <c r="Y137" s="6"/>
      <c r="Z137" s="6">
        <f ca="1">('TUSD BE'!$AM$12+'TUSD BF'!$AM$12+'TUSD CVA'!$AM$12)*1</f>
        <v>91.421403244159023</v>
      </c>
      <c r="AA137" s="6">
        <f>('TE BE'!$AB$6+'TE BF'!$AB$6+'TE CVA'!$AB$6)*1</f>
        <v>77.958364182443049</v>
      </c>
      <c r="AB137" s="6">
        <f>$K$137*$V$137</f>
        <v>0</v>
      </c>
      <c r="AC137" s="6">
        <f>$M$137*$W$137</f>
        <v>13429.8351</v>
      </c>
      <c r="AD137" s="6">
        <f>$O$137*$X$137</f>
        <v>44388.6993</v>
      </c>
      <c r="AE137" s="6">
        <f>$K$137*$Y$137</f>
        <v>0</v>
      </c>
      <c r="AF137" s="6">
        <f ca="1">$M$137*$Z$137</f>
        <v>18191.945031555206</v>
      </c>
      <c r="AG137" s="6">
        <f>$O$137*$AA$137</f>
        <v>15512.934888664344</v>
      </c>
    </row>
    <row r="138" spans="1:33" ht="11.25" customHeight="1" x14ac:dyDescent="0.3">
      <c r="A138" s="4" t="s">
        <v>21</v>
      </c>
      <c r="B138" s="4" t="s">
        <v>39</v>
      </c>
      <c r="C138" s="4" t="s">
        <v>40</v>
      </c>
      <c r="D138" s="4" t="s">
        <v>38</v>
      </c>
      <c r="E138" s="4" t="s">
        <v>25</v>
      </c>
      <c r="F138" s="4" t="s">
        <v>25</v>
      </c>
      <c r="G138" s="4" t="s">
        <v>25</v>
      </c>
      <c r="H138" s="4" t="s">
        <v>35</v>
      </c>
      <c r="I138" s="5">
        <v>44713</v>
      </c>
      <c r="J138" s="6">
        <v>0</v>
      </c>
      <c r="K138" s="6">
        <v>0</v>
      </c>
      <c r="L138" s="6">
        <v>196.16499999999999</v>
      </c>
      <c r="M138" s="6">
        <v>196.16499999999999</v>
      </c>
      <c r="N138" s="6">
        <v>196.16499999999999</v>
      </c>
      <c r="O138" s="6">
        <v>196.16499999999999</v>
      </c>
      <c r="P138" s="6">
        <v>0</v>
      </c>
      <c r="Q138" s="4" t="s">
        <v>26</v>
      </c>
      <c r="R138" s="4">
        <v>0</v>
      </c>
      <c r="S138" s="6">
        <v>0</v>
      </c>
      <c r="T138" s="6">
        <v>6</v>
      </c>
      <c r="U138" s="6">
        <v>50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67.489999999999995</v>
      </c>
      <c r="X138" s="6">
        <f>IF(ISERROR(VLOOKUP($U$138,'TAR FIN'!$A$1:$O$85,15,0)),0,VLOOKUP($U$138,'TAR FIN'!$A$1:$O$85,15,0))</f>
        <v>223.07</v>
      </c>
      <c r="Y138" s="6"/>
      <c r="Z138" s="6">
        <f ca="1">('TUSD BE'!$AM$12+'TUSD BF'!$AM$12+'TUSD CVA'!$AM$12)*1</f>
        <v>91.421403244159023</v>
      </c>
      <c r="AA138" s="6">
        <f>('TE BE'!$AB$6+'TE BF'!$AB$6+'TE CVA'!$AB$6)*1</f>
        <v>77.958364182443049</v>
      </c>
      <c r="AB138" s="6">
        <f>$K$138*$V$138</f>
        <v>0</v>
      </c>
      <c r="AC138" s="6">
        <f>$M$138*$W$138</f>
        <v>13239.175849999998</v>
      </c>
      <c r="AD138" s="6">
        <f>$O$138*$X$138</f>
        <v>43758.526549999995</v>
      </c>
      <c r="AE138" s="6">
        <f>$K$138*$Y$138</f>
        <v>0</v>
      </c>
      <c r="AF138" s="6">
        <f ca="1">$M$138*$Z$138</f>
        <v>17933.679567390453</v>
      </c>
      <c r="AG138" s="6">
        <f>$O$138*$AA$138</f>
        <v>15292.702509848939</v>
      </c>
    </row>
    <row r="139" spans="1:33" ht="11.25" customHeight="1" x14ac:dyDescent="0.3">
      <c r="A139" s="4" t="s">
        <v>21</v>
      </c>
      <c r="B139" s="4" t="s">
        <v>39</v>
      </c>
      <c r="C139" s="4" t="s">
        <v>40</v>
      </c>
      <c r="D139" s="4" t="s">
        <v>38</v>
      </c>
      <c r="E139" s="4" t="s">
        <v>25</v>
      </c>
      <c r="F139" s="4" t="s">
        <v>25</v>
      </c>
      <c r="G139" s="4" t="s">
        <v>25</v>
      </c>
      <c r="H139" s="4" t="s">
        <v>35</v>
      </c>
      <c r="I139" s="5">
        <v>44743</v>
      </c>
      <c r="J139" s="6">
        <v>0</v>
      </c>
      <c r="K139" s="6">
        <v>0</v>
      </c>
      <c r="L139" s="6">
        <v>193.19300000000001</v>
      </c>
      <c r="M139" s="6">
        <v>193.19300000000001</v>
      </c>
      <c r="N139" s="6">
        <v>193.19300000000001</v>
      </c>
      <c r="O139" s="6">
        <v>193.19300000000001</v>
      </c>
      <c r="P139" s="6">
        <v>0</v>
      </c>
      <c r="Q139" s="4" t="s">
        <v>26</v>
      </c>
      <c r="R139" s="4">
        <v>0</v>
      </c>
      <c r="S139" s="6">
        <v>0</v>
      </c>
      <c r="T139" s="6">
        <v>6</v>
      </c>
      <c r="U139" s="6">
        <v>50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67.489999999999995</v>
      </c>
      <c r="X139" s="6">
        <f>IF(ISERROR(VLOOKUP($U$139,'TAR FIN'!$A$1:$O$85,15,0)),0,VLOOKUP($U$139,'TAR FIN'!$A$1:$O$85,15,0))</f>
        <v>223.07</v>
      </c>
      <c r="Y139" s="6"/>
      <c r="Z139" s="6">
        <f ca="1">('TUSD BE'!$AM$12+'TUSD BF'!$AM$12+'TUSD CVA'!$AM$12)*1</f>
        <v>91.421403244159023</v>
      </c>
      <c r="AA139" s="6">
        <f>('TE BE'!$AB$6+'TE BF'!$AB$6+'TE CVA'!$AB$6)*1</f>
        <v>77.958364182443049</v>
      </c>
      <c r="AB139" s="6">
        <f>$K$139*$V$139</f>
        <v>0</v>
      </c>
      <c r="AC139" s="6">
        <f>$M$139*$W$139</f>
        <v>13038.595569999999</v>
      </c>
      <c r="AD139" s="6">
        <f>$O$139*$X$139</f>
        <v>43095.562510000003</v>
      </c>
      <c r="AE139" s="6">
        <f>$K$139*$Y$139</f>
        <v>0</v>
      </c>
      <c r="AF139" s="6">
        <f ca="1">$M$139*$Z$139</f>
        <v>17661.975156948814</v>
      </c>
      <c r="AG139" s="6">
        <f>$O$139*$AA$139</f>
        <v>15061.010251498721</v>
      </c>
    </row>
    <row r="140" spans="1:33" ht="11.25" customHeight="1" x14ac:dyDescent="0.3">
      <c r="A140" s="4" t="s">
        <v>21</v>
      </c>
      <c r="B140" s="4" t="s">
        <v>39</v>
      </c>
      <c r="C140" s="4" t="s">
        <v>40</v>
      </c>
      <c r="D140" s="4" t="s">
        <v>38</v>
      </c>
      <c r="E140" s="4" t="s">
        <v>25</v>
      </c>
      <c r="F140" s="4" t="s">
        <v>25</v>
      </c>
      <c r="G140" s="4" t="s">
        <v>25</v>
      </c>
      <c r="H140" s="4" t="s">
        <v>35</v>
      </c>
      <c r="I140" s="5">
        <v>44774</v>
      </c>
      <c r="J140" s="6">
        <v>0</v>
      </c>
      <c r="K140" s="6">
        <v>0</v>
      </c>
      <c r="L140" s="6">
        <v>195.411</v>
      </c>
      <c r="M140" s="6">
        <v>195.411</v>
      </c>
      <c r="N140" s="6">
        <v>195.411</v>
      </c>
      <c r="O140" s="6">
        <v>195.411</v>
      </c>
      <c r="P140" s="6">
        <v>0</v>
      </c>
      <c r="Q140" s="4" t="s">
        <v>26</v>
      </c>
      <c r="R140" s="4">
        <v>0</v>
      </c>
      <c r="S140" s="6">
        <v>0</v>
      </c>
      <c r="T140" s="6">
        <v>6</v>
      </c>
      <c r="U140" s="6">
        <v>50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67.489999999999995</v>
      </c>
      <c r="X140" s="6">
        <f>IF(ISERROR(VLOOKUP($U$140,'TAR FIN'!$A$1:$O$85,15,0)),0,VLOOKUP($U$140,'TAR FIN'!$A$1:$O$85,15,0))</f>
        <v>223.07</v>
      </c>
      <c r="Y140" s="6"/>
      <c r="Z140" s="6">
        <f ca="1">('TUSD BE'!$AM$12+'TUSD BF'!$AM$12+'TUSD CVA'!$AM$12)*1</f>
        <v>91.421403244159023</v>
      </c>
      <c r="AA140" s="6">
        <f>('TE BE'!$AB$6+'TE BF'!$AB$6+'TE CVA'!$AB$6)*1</f>
        <v>77.958364182443049</v>
      </c>
      <c r="AB140" s="6">
        <f>$K$140*$V$140</f>
        <v>0</v>
      </c>
      <c r="AC140" s="6">
        <f>$M$140*$W$140</f>
        <v>13188.28839</v>
      </c>
      <c r="AD140" s="6">
        <f>$O$140*$X$140</f>
        <v>43590.331769999997</v>
      </c>
      <c r="AE140" s="6">
        <f>$K$140*$Y$140</f>
        <v>0</v>
      </c>
      <c r="AF140" s="6">
        <f ca="1">$M$140*$Z$140</f>
        <v>17864.74782934436</v>
      </c>
      <c r="AG140" s="6">
        <f>$O$140*$AA$140</f>
        <v>15233.921903255379</v>
      </c>
    </row>
    <row r="141" spans="1:33" ht="11.25" customHeight="1" x14ac:dyDescent="0.3">
      <c r="A141" s="4" t="s">
        <v>21</v>
      </c>
      <c r="B141" s="4" t="s">
        <v>39</v>
      </c>
      <c r="C141" s="4" t="s">
        <v>40</v>
      </c>
      <c r="D141" s="4" t="s">
        <v>38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44440</v>
      </c>
      <c r="J141" s="6">
        <v>1633</v>
      </c>
      <c r="K141" s="6">
        <v>1633</v>
      </c>
      <c r="L141" s="6">
        <v>0</v>
      </c>
      <c r="M141" s="6">
        <v>0</v>
      </c>
      <c r="N141" s="6">
        <v>0</v>
      </c>
      <c r="O141" s="6">
        <v>0</v>
      </c>
      <c r="P141" s="6">
        <v>6</v>
      </c>
      <c r="Q141" s="4" t="s">
        <v>26</v>
      </c>
      <c r="R141" s="4">
        <v>0</v>
      </c>
      <c r="S141" s="6">
        <v>10</v>
      </c>
      <c r="T141" s="6">
        <v>0</v>
      </c>
      <c r="U141" s="6">
        <v>0</v>
      </c>
      <c r="V141" s="6">
        <f>IF(ISERROR(VLOOKUP($S$141,'TAR FIN'!$A$1:$O$85,15,0)),0,VLOOKUP($S$141,'TAR FIN'!$A$1:$O$85,15,0))</f>
        <v>34.08</v>
      </c>
      <c r="W141" s="6">
        <f>IF(ISERROR(VLOOKUP($T$141,'TAR FIN'!$A$1:$O$85,15,0)),0,VLOOKUP($T$141,'TAR FIN'!$A$1:$O$85,15,0))</f>
        <v>0</v>
      </c>
      <c r="X141" s="6">
        <f>IF(ISERROR(VLOOKUP($U$141,'TAR FIN'!$A$1:$O$85,15,0)),0,VLOOKUP($U$141,'TAR FIN'!$A$1:$O$85,15,0))</f>
        <v>0</v>
      </c>
      <c r="Y141" s="6">
        <f ca="1">('TUSD BE'!$AM$10+'TUSD BF'!$AM$10+'TUSD CVA'!$AM$10)*1</f>
        <v>46.049752913094459</v>
      </c>
      <c r="Z141" s="6"/>
      <c r="AA141" s="6"/>
      <c r="AB141" s="6">
        <f>$K$141*$V$141</f>
        <v>55652.639999999999</v>
      </c>
      <c r="AC141" s="6">
        <f>$M$141*$W$141</f>
        <v>0</v>
      </c>
      <c r="AD141" s="6">
        <f>$O$141*$X$141</f>
        <v>0</v>
      </c>
      <c r="AE141" s="6">
        <f ca="1">$K$141*$Y$141</f>
        <v>75199.246507083255</v>
      </c>
      <c r="AF141" s="6">
        <f>$M$141*$Z$141</f>
        <v>0</v>
      </c>
      <c r="AG141" s="6">
        <f>$O$141*$AA$141</f>
        <v>0</v>
      </c>
    </row>
    <row r="142" spans="1:33" ht="11.25" customHeight="1" x14ac:dyDescent="0.3">
      <c r="A142" s="4" t="s">
        <v>28</v>
      </c>
      <c r="B142" s="4" t="s">
        <v>39</v>
      </c>
      <c r="C142" s="4" t="s">
        <v>40</v>
      </c>
      <c r="D142" s="4" t="s">
        <v>38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44440</v>
      </c>
      <c r="J142" s="6">
        <v>121</v>
      </c>
      <c r="K142" s="6">
        <v>121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4" t="s">
        <v>26</v>
      </c>
      <c r="R142" s="4">
        <v>0</v>
      </c>
      <c r="S142" s="6">
        <v>10</v>
      </c>
      <c r="T142" s="6">
        <v>0</v>
      </c>
      <c r="U142" s="6">
        <v>0</v>
      </c>
      <c r="V142" s="6">
        <f>IF(ISERROR(VLOOKUP($S$142,'TAR FIN'!$A$1:$O$85,15,0)),0,VLOOKUP($S$142,'TAR FIN'!$A$1:$O$85,15,0))</f>
        <v>34.08</v>
      </c>
      <c r="W142" s="6">
        <f>IF(ISERROR(VLOOKUP($T$142,'TAR FIN'!$A$1:$O$85,15,0)),0,VLOOKUP($T$142,'TAR FIN'!$A$1:$O$85,15,0))</f>
        <v>0</v>
      </c>
      <c r="X142" s="6">
        <f>IF(ISERROR(VLOOKUP($U$142,'TAR FIN'!$A$1:$O$85,15,0)),0,VLOOKUP($U$142,'TAR FIN'!$A$1:$O$85,15,0))</f>
        <v>0</v>
      </c>
      <c r="Y142" s="6">
        <f ca="1">('TUSD BE'!$AM$10+'TUSD BF'!$AM$10+'TUSD CVA'!$AM$10)*1</f>
        <v>46.049752913094459</v>
      </c>
      <c r="Z142" s="6"/>
      <c r="AA142" s="6"/>
      <c r="AB142" s="6">
        <f>$K$142*$V$142</f>
        <v>4123.6799999999994</v>
      </c>
      <c r="AC142" s="6">
        <f>$M$142*$W$142</f>
        <v>0</v>
      </c>
      <c r="AD142" s="6">
        <f>$O$142*$X$142</f>
        <v>0</v>
      </c>
      <c r="AE142" s="6">
        <f ca="1">$K$142*$Y$142</f>
        <v>5572.0201024844291</v>
      </c>
      <c r="AF142" s="6">
        <f>$M$142*$Z$142</f>
        <v>0</v>
      </c>
      <c r="AG142" s="6">
        <f>$O$142*$AA$142</f>
        <v>0</v>
      </c>
    </row>
    <row r="143" spans="1:33" ht="11.25" customHeight="1" x14ac:dyDescent="0.3">
      <c r="A143" s="4" t="s">
        <v>21</v>
      </c>
      <c r="B143" s="4" t="s">
        <v>39</v>
      </c>
      <c r="C143" s="4" t="s">
        <v>40</v>
      </c>
      <c r="D143" s="4" t="s">
        <v>38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44470</v>
      </c>
      <c r="J143" s="6">
        <v>1643</v>
      </c>
      <c r="K143" s="6">
        <v>1643</v>
      </c>
      <c r="L143" s="6">
        <v>0</v>
      </c>
      <c r="M143" s="6">
        <v>0</v>
      </c>
      <c r="N143" s="6">
        <v>0</v>
      </c>
      <c r="O143" s="6">
        <v>0</v>
      </c>
      <c r="P143" s="6">
        <v>6</v>
      </c>
      <c r="Q143" s="4" t="s">
        <v>26</v>
      </c>
      <c r="R143" s="4">
        <v>0</v>
      </c>
      <c r="S143" s="6">
        <v>10</v>
      </c>
      <c r="T143" s="6">
        <v>0</v>
      </c>
      <c r="U143" s="6">
        <v>0</v>
      </c>
      <c r="V143" s="6">
        <f>IF(ISERROR(VLOOKUP($S$143,'TAR FIN'!$A$1:$O$85,15,0)),0,VLOOKUP($S$143,'TAR FIN'!$A$1:$O$85,15,0))</f>
        <v>34.08</v>
      </c>
      <c r="W143" s="6">
        <f>IF(ISERROR(VLOOKUP($T$143,'TAR FIN'!$A$1:$O$85,15,0)),0,VLOOKUP($T$143,'TAR FIN'!$A$1:$O$85,15,0))</f>
        <v>0</v>
      </c>
      <c r="X143" s="6">
        <f>IF(ISERROR(VLOOKUP($U$143,'TAR FIN'!$A$1:$O$85,15,0)),0,VLOOKUP($U$143,'TAR FIN'!$A$1:$O$85,15,0))</f>
        <v>0</v>
      </c>
      <c r="Y143" s="6">
        <f ca="1">('TUSD BE'!$AM$10+'TUSD BF'!$AM$10+'TUSD CVA'!$AM$10)*1</f>
        <v>46.049752913094459</v>
      </c>
      <c r="Z143" s="6"/>
      <c r="AA143" s="6"/>
      <c r="AB143" s="6">
        <f>$K$143*$V$143</f>
        <v>55993.439999999995</v>
      </c>
      <c r="AC143" s="6">
        <f>$M$143*$W$143</f>
        <v>0</v>
      </c>
      <c r="AD143" s="6">
        <f>$O$143*$X$143</f>
        <v>0</v>
      </c>
      <c r="AE143" s="6">
        <f ca="1">$K$143*$Y$143</f>
        <v>75659.744036214193</v>
      </c>
      <c r="AF143" s="6">
        <f>$M$143*$Z$143</f>
        <v>0</v>
      </c>
      <c r="AG143" s="6">
        <f>$O$143*$AA$143</f>
        <v>0</v>
      </c>
    </row>
    <row r="144" spans="1:33" ht="11.25" customHeight="1" x14ac:dyDescent="0.3">
      <c r="A144" s="4" t="s">
        <v>28</v>
      </c>
      <c r="B144" s="4" t="s">
        <v>39</v>
      </c>
      <c r="C144" s="4" t="s">
        <v>40</v>
      </c>
      <c r="D144" s="4" t="s">
        <v>38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44470</v>
      </c>
      <c r="J144" s="6">
        <v>119</v>
      </c>
      <c r="K144" s="6">
        <v>119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4" t="s">
        <v>26</v>
      </c>
      <c r="R144" s="4">
        <v>0</v>
      </c>
      <c r="S144" s="6">
        <v>10</v>
      </c>
      <c r="T144" s="6">
        <v>0</v>
      </c>
      <c r="U144" s="6">
        <v>0</v>
      </c>
      <c r="V144" s="6">
        <f>IF(ISERROR(VLOOKUP($S$144,'TAR FIN'!$A$1:$O$85,15,0)),0,VLOOKUP($S$144,'TAR FIN'!$A$1:$O$85,15,0))</f>
        <v>34.08</v>
      </c>
      <c r="W144" s="6">
        <f>IF(ISERROR(VLOOKUP($T$144,'TAR FIN'!$A$1:$O$85,15,0)),0,VLOOKUP($T$144,'TAR FIN'!$A$1:$O$85,15,0))</f>
        <v>0</v>
      </c>
      <c r="X144" s="6">
        <f>IF(ISERROR(VLOOKUP($U$144,'TAR FIN'!$A$1:$O$85,15,0)),0,VLOOKUP($U$144,'TAR FIN'!$A$1:$O$85,15,0))</f>
        <v>0</v>
      </c>
      <c r="Y144" s="6">
        <f ca="1">('TUSD BE'!$AM$10+'TUSD BF'!$AM$10+'TUSD CVA'!$AM$10)*1</f>
        <v>46.049752913094459</v>
      </c>
      <c r="Z144" s="6"/>
      <c r="AA144" s="6"/>
      <c r="AB144" s="6">
        <f>$K$144*$V$144</f>
        <v>4055.52</v>
      </c>
      <c r="AC144" s="6">
        <f>$M$144*$W$144</f>
        <v>0</v>
      </c>
      <c r="AD144" s="6">
        <f>$O$144*$X$144</f>
        <v>0</v>
      </c>
      <c r="AE144" s="6">
        <f ca="1">$K$144*$Y$144</f>
        <v>5479.9205966582404</v>
      </c>
      <c r="AF144" s="6">
        <f>$M$144*$Z$144</f>
        <v>0</v>
      </c>
      <c r="AG144" s="6">
        <f>$O$144*$AA$144</f>
        <v>0</v>
      </c>
    </row>
    <row r="145" spans="1:33" ht="11.25" customHeight="1" x14ac:dyDescent="0.3">
      <c r="A145" s="4" t="s">
        <v>21</v>
      </c>
      <c r="B145" s="4" t="s">
        <v>39</v>
      </c>
      <c r="C145" s="4" t="s">
        <v>40</v>
      </c>
      <c r="D145" s="4" t="s">
        <v>38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44501</v>
      </c>
      <c r="J145" s="6">
        <v>1078</v>
      </c>
      <c r="K145" s="6">
        <v>1078</v>
      </c>
      <c r="L145" s="6">
        <v>0</v>
      </c>
      <c r="M145" s="6">
        <v>0</v>
      </c>
      <c r="N145" s="6">
        <v>0</v>
      </c>
      <c r="O145" s="6">
        <v>0</v>
      </c>
      <c r="P145" s="6">
        <v>5</v>
      </c>
      <c r="Q145" s="4" t="s">
        <v>26</v>
      </c>
      <c r="R145" s="4">
        <v>0</v>
      </c>
      <c r="S145" s="6">
        <v>10</v>
      </c>
      <c r="T145" s="6">
        <v>0</v>
      </c>
      <c r="U145" s="6">
        <v>0</v>
      </c>
      <c r="V145" s="6">
        <f>IF(ISERROR(VLOOKUP($S$145,'TAR FIN'!$A$1:$O$85,15,0)),0,VLOOKUP($S$145,'TAR FIN'!$A$1:$O$85,15,0))</f>
        <v>34.08</v>
      </c>
      <c r="W145" s="6">
        <f>IF(ISERROR(VLOOKUP($T$145,'TAR FIN'!$A$1:$O$85,15,0)),0,VLOOKUP($T$145,'TAR FIN'!$A$1:$O$85,15,0))</f>
        <v>0</v>
      </c>
      <c r="X145" s="6">
        <f>IF(ISERROR(VLOOKUP($U$145,'TAR FIN'!$A$1:$O$85,15,0)),0,VLOOKUP($U$145,'TAR FIN'!$A$1:$O$85,15,0))</f>
        <v>0</v>
      </c>
      <c r="Y145" s="6">
        <f ca="1">('TUSD BE'!$AM$10+'TUSD BF'!$AM$10+'TUSD CVA'!$AM$10)*1</f>
        <v>46.049752913094459</v>
      </c>
      <c r="Z145" s="6"/>
      <c r="AA145" s="6"/>
      <c r="AB145" s="6">
        <f>$K$145*$V$145</f>
        <v>36738.239999999998</v>
      </c>
      <c r="AC145" s="6">
        <f>$M$145*$W$145</f>
        <v>0</v>
      </c>
      <c r="AD145" s="6">
        <f>$O$145*$X$145</f>
        <v>0</v>
      </c>
      <c r="AE145" s="6">
        <f ca="1">$K$145*$Y$145</f>
        <v>49641.633640315828</v>
      </c>
      <c r="AF145" s="6">
        <f>$M$145*$Z$145</f>
        <v>0</v>
      </c>
      <c r="AG145" s="6">
        <f>$O$145*$AA$145</f>
        <v>0</v>
      </c>
    </row>
    <row r="146" spans="1:33" ht="11.25" customHeight="1" x14ac:dyDescent="0.3">
      <c r="A146" s="4" t="s">
        <v>28</v>
      </c>
      <c r="B146" s="4" t="s">
        <v>39</v>
      </c>
      <c r="C146" s="4" t="s">
        <v>40</v>
      </c>
      <c r="D146" s="4" t="s">
        <v>38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44501</v>
      </c>
      <c r="J146" s="6">
        <v>121</v>
      </c>
      <c r="K146" s="6">
        <v>121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4" t="s">
        <v>26</v>
      </c>
      <c r="R146" s="4">
        <v>0</v>
      </c>
      <c r="S146" s="6">
        <v>10</v>
      </c>
      <c r="T146" s="6">
        <v>0</v>
      </c>
      <c r="U146" s="6">
        <v>0</v>
      </c>
      <c r="V146" s="6">
        <f>IF(ISERROR(VLOOKUP($S$146,'TAR FIN'!$A$1:$O$85,15,0)),0,VLOOKUP($S$146,'TAR FIN'!$A$1:$O$85,15,0))</f>
        <v>34.08</v>
      </c>
      <c r="W146" s="6">
        <f>IF(ISERROR(VLOOKUP($T$146,'TAR FIN'!$A$1:$O$85,15,0)),0,VLOOKUP($T$146,'TAR FIN'!$A$1:$O$85,15,0))</f>
        <v>0</v>
      </c>
      <c r="X146" s="6">
        <f>IF(ISERROR(VLOOKUP($U$146,'TAR FIN'!$A$1:$O$85,15,0)),0,VLOOKUP($U$146,'TAR FIN'!$A$1:$O$85,15,0))</f>
        <v>0</v>
      </c>
      <c r="Y146" s="6">
        <f ca="1">('TUSD BE'!$AM$10+'TUSD BF'!$AM$10+'TUSD CVA'!$AM$10)*1</f>
        <v>46.049752913094459</v>
      </c>
      <c r="Z146" s="6"/>
      <c r="AA146" s="6"/>
      <c r="AB146" s="6">
        <f>$K$146*$V$146</f>
        <v>4123.6799999999994</v>
      </c>
      <c r="AC146" s="6">
        <f>$M$146*$W$146</f>
        <v>0</v>
      </c>
      <c r="AD146" s="6">
        <f>$O$146*$X$146</f>
        <v>0</v>
      </c>
      <c r="AE146" s="6">
        <f ca="1">$K$146*$Y$146</f>
        <v>5572.0201024844291</v>
      </c>
      <c r="AF146" s="6">
        <f>$M$146*$Z$146</f>
        <v>0</v>
      </c>
      <c r="AG146" s="6">
        <f>$O$146*$AA$146</f>
        <v>0</v>
      </c>
    </row>
    <row r="147" spans="1:33" ht="11.25" customHeight="1" x14ac:dyDescent="0.3">
      <c r="A147" s="4" t="s">
        <v>21</v>
      </c>
      <c r="B147" s="4" t="s">
        <v>39</v>
      </c>
      <c r="C147" s="4" t="s">
        <v>40</v>
      </c>
      <c r="D147" s="4" t="s">
        <v>38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44531</v>
      </c>
      <c r="J147" s="6">
        <v>979</v>
      </c>
      <c r="K147" s="6">
        <v>979</v>
      </c>
      <c r="L147" s="6">
        <v>0</v>
      </c>
      <c r="M147" s="6">
        <v>0</v>
      </c>
      <c r="N147" s="6">
        <v>0</v>
      </c>
      <c r="O147" s="6">
        <v>0</v>
      </c>
      <c r="P147" s="6">
        <v>5</v>
      </c>
      <c r="Q147" s="4" t="s">
        <v>26</v>
      </c>
      <c r="R147" s="4">
        <v>0</v>
      </c>
      <c r="S147" s="6">
        <v>10</v>
      </c>
      <c r="T147" s="6">
        <v>0</v>
      </c>
      <c r="U147" s="6">
        <v>0</v>
      </c>
      <c r="V147" s="6">
        <f>IF(ISERROR(VLOOKUP($S$147,'TAR FIN'!$A$1:$O$85,15,0)),0,VLOOKUP($S$147,'TAR FIN'!$A$1:$O$85,15,0))</f>
        <v>34.08</v>
      </c>
      <c r="W147" s="6">
        <f>IF(ISERROR(VLOOKUP($T$147,'TAR FIN'!$A$1:$O$85,15,0)),0,VLOOKUP($T$147,'TAR FIN'!$A$1:$O$85,15,0))</f>
        <v>0</v>
      </c>
      <c r="X147" s="6">
        <f>IF(ISERROR(VLOOKUP($U$147,'TAR FIN'!$A$1:$O$85,15,0)),0,VLOOKUP($U$147,'TAR FIN'!$A$1:$O$85,15,0))</f>
        <v>0</v>
      </c>
      <c r="Y147" s="6">
        <f ca="1">('TUSD BE'!$AM$10+'TUSD BF'!$AM$10+'TUSD CVA'!$AM$10)*1</f>
        <v>46.049752913094459</v>
      </c>
      <c r="Z147" s="6"/>
      <c r="AA147" s="6"/>
      <c r="AB147" s="6">
        <f>$K$147*$V$147</f>
        <v>33364.32</v>
      </c>
      <c r="AC147" s="6">
        <f>$M$147*$W$147</f>
        <v>0</v>
      </c>
      <c r="AD147" s="6">
        <f>$O$147*$X$147</f>
        <v>0</v>
      </c>
      <c r="AE147" s="6">
        <f ca="1">$K$147*$Y$147</f>
        <v>45082.708101919474</v>
      </c>
      <c r="AF147" s="6">
        <f>$M$147*$Z$147</f>
        <v>0</v>
      </c>
      <c r="AG147" s="6">
        <f>$O$147*$AA$147</f>
        <v>0</v>
      </c>
    </row>
    <row r="148" spans="1:33" ht="11.25" customHeight="1" x14ac:dyDescent="0.3">
      <c r="A148" s="4" t="s">
        <v>28</v>
      </c>
      <c r="B148" s="4" t="s">
        <v>39</v>
      </c>
      <c r="C148" s="4" t="s">
        <v>40</v>
      </c>
      <c r="D148" s="4" t="s">
        <v>38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44531</v>
      </c>
      <c r="J148" s="6">
        <v>120</v>
      </c>
      <c r="K148" s="6">
        <v>120</v>
      </c>
      <c r="L148" s="6">
        <v>0</v>
      </c>
      <c r="M148" s="6">
        <v>0</v>
      </c>
      <c r="N148" s="6">
        <v>0</v>
      </c>
      <c r="O148" s="6">
        <v>0</v>
      </c>
      <c r="P148" s="6">
        <v>1</v>
      </c>
      <c r="Q148" s="4" t="s">
        <v>26</v>
      </c>
      <c r="R148" s="4">
        <v>0</v>
      </c>
      <c r="S148" s="6">
        <v>10</v>
      </c>
      <c r="T148" s="6">
        <v>0</v>
      </c>
      <c r="U148" s="6">
        <v>0</v>
      </c>
      <c r="V148" s="6">
        <f>IF(ISERROR(VLOOKUP($S$148,'TAR FIN'!$A$1:$O$85,15,0)),0,VLOOKUP($S$148,'TAR FIN'!$A$1:$O$85,15,0))</f>
        <v>34.08</v>
      </c>
      <c r="W148" s="6">
        <f>IF(ISERROR(VLOOKUP($T$148,'TAR FIN'!$A$1:$O$85,15,0)),0,VLOOKUP($T$148,'TAR FIN'!$A$1:$O$85,15,0))</f>
        <v>0</v>
      </c>
      <c r="X148" s="6">
        <f>IF(ISERROR(VLOOKUP($U$148,'TAR FIN'!$A$1:$O$85,15,0)),0,VLOOKUP($U$148,'TAR FIN'!$A$1:$O$85,15,0))</f>
        <v>0</v>
      </c>
      <c r="Y148" s="6">
        <f ca="1">('TUSD BE'!$AM$10+'TUSD BF'!$AM$10+'TUSD CVA'!$AM$10)*1</f>
        <v>46.049752913094459</v>
      </c>
      <c r="Z148" s="6"/>
      <c r="AA148" s="6"/>
      <c r="AB148" s="6">
        <f>$K$148*$V$148</f>
        <v>4089.6</v>
      </c>
      <c r="AC148" s="6">
        <f>$M$148*$W$148</f>
        <v>0</v>
      </c>
      <c r="AD148" s="6">
        <f>$O$148*$X$148</f>
        <v>0</v>
      </c>
      <c r="AE148" s="6">
        <f ca="1">$K$148*$Y$148</f>
        <v>5525.9703495713347</v>
      </c>
      <c r="AF148" s="6">
        <f>$M$148*$Z$148</f>
        <v>0</v>
      </c>
      <c r="AG148" s="6">
        <f>$O$148*$AA$148</f>
        <v>0</v>
      </c>
    </row>
    <row r="149" spans="1:33" ht="11.25" customHeight="1" x14ac:dyDescent="0.3">
      <c r="A149" s="4" t="s">
        <v>21</v>
      </c>
      <c r="B149" s="4" t="s">
        <v>39</v>
      </c>
      <c r="C149" s="4" t="s">
        <v>40</v>
      </c>
      <c r="D149" s="4" t="s">
        <v>38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976</v>
      </c>
      <c r="K149" s="6">
        <v>976</v>
      </c>
      <c r="L149" s="6">
        <v>0</v>
      </c>
      <c r="M149" s="6">
        <v>0</v>
      </c>
      <c r="N149" s="6">
        <v>0</v>
      </c>
      <c r="O149" s="6">
        <v>0</v>
      </c>
      <c r="P149" s="6">
        <v>5</v>
      </c>
      <c r="Q149" s="4" t="s">
        <v>26</v>
      </c>
      <c r="R149" s="4">
        <v>0</v>
      </c>
      <c r="S149" s="6">
        <v>10</v>
      </c>
      <c r="T149" s="6">
        <v>0</v>
      </c>
      <c r="U149" s="6">
        <v>0</v>
      </c>
      <c r="V149" s="6">
        <f>IF(ISERROR(VLOOKUP($S$149,'TAR FIN'!$A$1:$O$85,15,0)),0,VLOOKUP($S$149,'TAR FIN'!$A$1:$O$85,15,0))</f>
        <v>34.08</v>
      </c>
      <c r="W149" s="6">
        <f>IF(ISERROR(VLOOKUP($T$149,'TAR FIN'!$A$1:$O$85,15,0)),0,VLOOKUP($T$149,'TAR FIN'!$A$1:$O$85,15,0))</f>
        <v>0</v>
      </c>
      <c r="X149" s="6">
        <f>IF(ISERROR(VLOOKUP($U$149,'TAR FIN'!$A$1:$O$85,15,0)),0,VLOOKUP($U$149,'TAR FIN'!$A$1:$O$85,15,0))</f>
        <v>0</v>
      </c>
      <c r="Y149" s="6">
        <f ca="1">('TUSD BE'!$AM$10+'TUSD BF'!$AM$10+'TUSD CVA'!$AM$10)*1</f>
        <v>46.049752913094459</v>
      </c>
      <c r="Z149" s="6"/>
      <c r="AA149" s="6"/>
      <c r="AB149" s="6">
        <f>$K$149*$V$149</f>
        <v>33262.080000000002</v>
      </c>
      <c r="AC149" s="6">
        <f>$M$149*$W$149</f>
        <v>0</v>
      </c>
      <c r="AD149" s="6">
        <f>$O$149*$X$149</f>
        <v>0</v>
      </c>
      <c r="AE149" s="6">
        <f ca="1">$K$149*$Y$149</f>
        <v>44944.558843180188</v>
      </c>
      <c r="AF149" s="6">
        <f>$M$149*$Z$149</f>
        <v>0</v>
      </c>
      <c r="AG149" s="6">
        <f>$O$149*$AA$149</f>
        <v>0</v>
      </c>
    </row>
    <row r="150" spans="1:33" ht="11.25" customHeight="1" x14ac:dyDescent="0.3">
      <c r="A150" s="4" t="s">
        <v>28</v>
      </c>
      <c r="B150" s="4" t="s">
        <v>39</v>
      </c>
      <c r="C150" s="4" t="s">
        <v>40</v>
      </c>
      <c r="D150" s="4" t="s">
        <v>38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44562</v>
      </c>
      <c r="J150" s="6">
        <v>120</v>
      </c>
      <c r="K150" s="6">
        <v>120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4" t="s">
        <v>26</v>
      </c>
      <c r="R150" s="4">
        <v>0</v>
      </c>
      <c r="S150" s="6">
        <v>10</v>
      </c>
      <c r="T150" s="6">
        <v>0</v>
      </c>
      <c r="U150" s="6">
        <v>0</v>
      </c>
      <c r="V150" s="6">
        <f>IF(ISERROR(VLOOKUP($S$150,'TAR FIN'!$A$1:$O$85,15,0)),0,VLOOKUP($S$150,'TAR FIN'!$A$1:$O$85,15,0))</f>
        <v>34.08</v>
      </c>
      <c r="W150" s="6">
        <f>IF(ISERROR(VLOOKUP($T$150,'TAR FIN'!$A$1:$O$85,15,0)),0,VLOOKUP($T$150,'TAR FIN'!$A$1:$O$85,15,0))</f>
        <v>0</v>
      </c>
      <c r="X150" s="6">
        <f>IF(ISERROR(VLOOKUP($U$150,'TAR FIN'!$A$1:$O$85,15,0)),0,VLOOKUP($U$150,'TAR FIN'!$A$1:$O$85,15,0))</f>
        <v>0</v>
      </c>
      <c r="Y150" s="6">
        <f ca="1">('TUSD BE'!$AM$10+'TUSD BF'!$AM$10+'TUSD CVA'!$AM$10)*1</f>
        <v>46.049752913094459</v>
      </c>
      <c r="Z150" s="6"/>
      <c r="AA150" s="6"/>
      <c r="AB150" s="6">
        <f>$K$150*$V$150</f>
        <v>4089.6</v>
      </c>
      <c r="AC150" s="6">
        <f>$M$150*$W$150</f>
        <v>0</v>
      </c>
      <c r="AD150" s="6">
        <f>$O$150*$X$150</f>
        <v>0</v>
      </c>
      <c r="AE150" s="6">
        <f ca="1">$K$150*$Y$150</f>
        <v>5525.9703495713347</v>
      </c>
      <c r="AF150" s="6">
        <f>$M$150*$Z$150</f>
        <v>0</v>
      </c>
      <c r="AG150" s="6">
        <f>$O$150*$AA$150</f>
        <v>0</v>
      </c>
    </row>
    <row r="151" spans="1:33" ht="11.25" customHeight="1" x14ac:dyDescent="0.3">
      <c r="A151" s="4" t="s">
        <v>21</v>
      </c>
      <c r="B151" s="4" t="s">
        <v>39</v>
      </c>
      <c r="C151" s="4" t="s">
        <v>40</v>
      </c>
      <c r="D151" s="4" t="s">
        <v>38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1224</v>
      </c>
      <c r="K151" s="6">
        <v>1224</v>
      </c>
      <c r="L151" s="6">
        <v>0</v>
      </c>
      <c r="M151" s="6">
        <v>0</v>
      </c>
      <c r="N151" s="6">
        <v>0</v>
      </c>
      <c r="O151" s="6">
        <v>0</v>
      </c>
      <c r="P151" s="6">
        <v>6</v>
      </c>
      <c r="Q151" s="4" t="s">
        <v>26</v>
      </c>
      <c r="R151" s="4">
        <v>0</v>
      </c>
      <c r="S151" s="6">
        <v>10</v>
      </c>
      <c r="T151" s="6">
        <v>0</v>
      </c>
      <c r="U151" s="6">
        <v>0</v>
      </c>
      <c r="V151" s="6">
        <f>IF(ISERROR(VLOOKUP($S$151,'TAR FIN'!$A$1:$O$85,15,0)),0,VLOOKUP($S$151,'TAR FIN'!$A$1:$O$85,15,0))</f>
        <v>34.08</v>
      </c>
      <c r="W151" s="6">
        <f>IF(ISERROR(VLOOKUP($T$151,'TAR FIN'!$A$1:$O$85,15,0)),0,VLOOKUP($T$151,'TAR FIN'!$A$1:$O$85,15,0))</f>
        <v>0</v>
      </c>
      <c r="X151" s="6">
        <f>IF(ISERROR(VLOOKUP($U$151,'TAR FIN'!$A$1:$O$85,15,0)),0,VLOOKUP($U$151,'TAR FIN'!$A$1:$O$85,15,0))</f>
        <v>0</v>
      </c>
      <c r="Y151" s="6">
        <f ca="1">('TUSD BE'!$AM$10+'TUSD BF'!$AM$10+'TUSD CVA'!$AM$10)*1</f>
        <v>46.049752913094459</v>
      </c>
      <c r="Z151" s="6"/>
      <c r="AA151" s="6"/>
      <c r="AB151" s="6">
        <f>$K$151*$V$151</f>
        <v>41713.919999999998</v>
      </c>
      <c r="AC151" s="6">
        <f>$M$151*$W$151</f>
        <v>0</v>
      </c>
      <c r="AD151" s="6">
        <f>$O$151*$X$151</f>
        <v>0</v>
      </c>
      <c r="AE151" s="6">
        <f ca="1">$K$151*$Y$151</f>
        <v>56364.897565627616</v>
      </c>
      <c r="AF151" s="6">
        <f>$M$151*$Z$151</f>
        <v>0</v>
      </c>
      <c r="AG151" s="6">
        <f>$O$151*$AA$151</f>
        <v>0</v>
      </c>
    </row>
    <row r="152" spans="1:33" ht="11.25" customHeight="1" x14ac:dyDescent="0.3">
      <c r="A152" s="4" t="s">
        <v>21</v>
      </c>
      <c r="B152" s="4" t="s">
        <v>39</v>
      </c>
      <c r="C152" s="4" t="s">
        <v>40</v>
      </c>
      <c r="D152" s="4" t="s">
        <v>38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44621</v>
      </c>
      <c r="J152" s="6">
        <v>1194</v>
      </c>
      <c r="K152" s="6">
        <v>1194</v>
      </c>
      <c r="L152" s="6">
        <v>0</v>
      </c>
      <c r="M152" s="6">
        <v>0</v>
      </c>
      <c r="N152" s="6">
        <v>0</v>
      </c>
      <c r="O152" s="6">
        <v>0</v>
      </c>
      <c r="P152" s="6">
        <v>6</v>
      </c>
      <c r="Q152" s="4" t="s">
        <v>26</v>
      </c>
      <c r="R152" s="4">
        <v>0</v>
      </c>
      <c r="S152" s="6">
        <v>10</v>
      </c>
      <c r="T152" s="6">
        <v>0</v>
      </c>
      <c r="U152" s="6">
        <v>0</v>
      </c>
      <c r="V152" s="6">
        <f>IF(ISERROR(VLOOKUP($S$152,'TAR FIN'!$A$1:$O$85,15,0)),0,VLOOKUP($S$152,'TAR FIN'!$A$1:$O$85,15,0))</f>
        <v>34.08</v>
      </c>
      <c r="W152" s="6">
        <f>IF(ISERROR(VLOOKUP($T$152,'TAR FIN'!$A$1:$O$85,15,0)),0,VLOOKUP($T$152,'TAR FIN'!$A$1:$O$85,15,0))</f>
        <v>0</v>
      </c>
      <c r="X152" s="6">
        <f>IF(ISERROR(VLOOKUP($U$152,'TAR FIN'!$A$1:$O$85,15,0)),0,VLOOKUP($U$152,'TAR FIN'!$A$1:$O$85,15,0))</f>
        <v>0</v>
      </c>
      <c r="Y152" s="6">
        <f ca="1">('TUSD BE'!$AM$10+'TUSD BF'!$AM$10+'TUSD CVA'!$AM$10)*1</f>
        <v>46.049752913094459</v>
      </c>
      <c r="Z152" s="6"/>
      <c r="AA152" s="6"/>
      <c r="AB152" s="6">
        <f>$K$152*$V$152</f>
        <v>40691.519999999997</v>
      </c>
      <c r="AC152" s="6">
        <f>$M$152*$W$152</f>
        <v>0</v>
      </c>
      <c r="AD152" s="6">
        <f>$O$152*$X$152</f>
        <v>0</v>
      </c>
      <c r="AE152" s="6">
        <f ca="1">$K$152*$Y$152</f>
        <v>54983.404978234787</v>
      </c>
      <c r="AF152" s="6">
        <f>$M$152*$Z$152</f>
        <v>0</v>
      </c>
      <c r="AG152" s="6">
        <f>$O$152*$AA$152</f>
        <v>0</v>
      </c>
    </row>
    <row r="153" spans="1:33" ht="11.25" customHeight="1" x14ac:dyDescent="0.3">
      <c r="A153" s="4" t="s">
        <v>28</v>
      </c>
      <c r="B153" s="4" t="s">
        <v>39</v>
      </c>
      <c r="C153" s="4" t="s">
        <v>40</v>
      </c>
      <c r="D153" s="4" t="s">
        <v>38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120</v>
      </c>
      <c r="K153" s="6">
        <v>120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4" t="s">
        <v>26</v>
      </c>
      <c r="R153" s="4">
        <v>0</v>
      </c>
      <c r="S153" s="6">
        <v>10</v>
      </c>
      <c r="T153" s="6">
        <v>0</v>
      </c>
      <c r="U153" s="6">
        <v>0</v>
      </c>
      <c r="V153" s="6">
        <f>IF(ISERROR(VLOOKUP($S$153,'TAR FIN'!$A$1:$O$85,15,0)),0,VLOOKUP($S$153,'TAR FIN'!$A$1:$O$85,15,0))</f>
        <v>34.08</v>
      </c>
      <c r="W153" s="6">
        <f>IF(ISERROR(VLOOKUP($T$153,'TAR FIN'!$A$1:$O$85,15,0)),0,VLOOKUP($T$153,'TAR FIN'!$A$1:$O$85,15,0))</f>
        <v>0</v>
      </c>
      <c r="X153" s="6">
        <f>IF(ISERROR(VLOOKUP($U$153,'TAR FIN'!$A$1:$O$85,15,0)),0,VLOOKUP($U$153,'TAR FIN'!$A$1:$O$85,15,0))</f>
        <v>0</v>
      </c>
      <c r="Y153" s="6">
        <f ca="1">('TUSD BE'!$AM$10+'TUSD BF'!$AM$10+'TUSD CVA'!$AM$10)*1</f>
        <v>46.049752913094459</v>
      </c>
      <c r="Z153" s="6"/>
      <c r="AA153" s="6"/>
      <c r="AB153" s="6">
        <f>$K$153*$V$153</f>
        <v>4089.6</v>
      </c>
      <c r="AC153" s="6">
        <f>$M$153*$W$153</f>
        <v>0</v>
      </c>
      <c r="AD153" s="6">
        <f>$O$153*$X$153</f>
        <v>0</v>
      </c>
      <c r="AE153" s="6">
        <f ca="1">$K$153*$Y$153</f>
        <v>5525.9703495713347</v>
      </c>
      <c r="AF153" s="6">
        <f>$M$153*$Z$153</f>
        <v>0</v>
      </c>
      <c r="AG153" s="6">
        <f>$O$153*$AA$153</f>
        <v>0</v>
      </c>
    </row>
    <row r="154" spans="1:33" ht="11.25" customHeight="1" x14ac:dyDescent="0.3">
      <c r="A154" s="4" t="s">
        <v>21</v>
      </c>
      <c r="B154" s="4" t="s">
        <v>39</v>
      </c>
      <c r="C154" s="4" t="s">
        <v>40</v>
      </c>
      <c r="D154" s="4" t="s">
        <v>38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1189</v>
      </c>
      <c r="K154" s="6">
        <v>1189</v>
      </c>
      <c r="L154" s="6">
        <v>0</v>
      </c>
      <c r="M154" s="6">
        <v>0</v>
      </c>
      <c r="N154" s="6">
        <v>0</v>
      </c>
      <c r="O154" s="6">
        <v>0</v>
      </c>
      <c r="P154" s="6">
        <v>6</v>
      </c>
      <c r="Q154" s="4" t="s">
        <v>26</v>
      </c>
      <c r="R154" s="4">
        <v>0</v>
      </c>
      <c r="S154" s="6">
        <v>10</v>
      </c>
      <c r="T154" s="6">
        <v>0</v>
      </c>
      <c r="U154" s="6">
        <v>0</v>
      </c>
      <c r="V154" s="6">
        <f>IF(ISERROR(VLOOKUP($S$154,'TAR FIN'!$A$1:$O$85,15,0)),0,VLOOKUP($S$154,'TAR FIN'!$A$1:$O$85,15,0))</f>
        <v>34.08</v>
      </c>
      <c r="W154" s="6">
        <f>IF(ISERROR(VLOOKUP($T$154,'TAR FIN'!$A$1:$O$85,15,0)),0,VLOOKUP($T$154,'TAR FIN'!$A$1:$O$85,15,0))</f>
        <v>0</v>
      </c>
      <c r="X154" s="6">
        <f>IF(ISERROR(VLOOKUP($U$154,'TAR FIN'!$A$1:$O$85,15,0)),0,VLOOKUP($U$154,'TAR FIN'!$A$1:$O$85,15,0))</f>
        <v>0</v>
      </c>
      <c r="Y154" s="6">
        <f ca="1">('TUSD BE'!$AM$10+'TUSD BF'!$AM$10+'TUSD CVA'!$AM$10)*1</f>
        <v>46.049752913094459</v>
      </c>
      <c r="Z154" s="6"/>
      <c r="AA154" s="6"/>
      <c r="AB154" s="6">
        <f>$K$154*$V$154</f>
        <v>40521.119999999995</v>
      </c>
      <c r="AC154" s="6">
        <f>$M$154*$W$154</f>
        <v>0</v>
      </c>
      <c r="AD154" s="6">
        <f>$O$154*$X$154</f>
        <v>0</v>
      </c>
      <c r="AE154" s="6">
        <f ca="1">$K$154*$Y$154</f>
        <v>54753.15621366931</v>
      </c>
      <c r="AF154" s="6">
        <f>$M$154*$Z$154</f>
        <v>0</v>
      </c>
      <c r="AG154" s="6">
        <f>$O$154*$AA$154</f>
        <v>0</v>
      </c>
    </row>
    <row r="155" spans="1:33" ht="11.25" customHeight="1" x14ac:dyDescent="0.3">
      <c r="A155" s="4" t="s">
        <v>28</v>
      </c>
      <c r="B155" s="4" t="s">
        <v>39</v>
      </c>
      <c r="C155" s="4" t="s">
        <v>40</v>
      </c>
      <c r="D155" s="4" t="s">
        <v>38</v>
      </c>
      <c r="E155" s="4" t="s">
        <v>25</v>
      </c>
      <c r="F155" s="4" t="s">
        <v>25</v>
      </c>
      <c r="G155" s="4" t="s">
        <v>25</v>
      </c>
      <c r="H155" s="4" t="s">
        <v>25</v>
      </c>
      <c r="I155" s="5">
        <v>44652</v>
      </c>
      <c r="J155" s="6">
        <v>120</v>
      </c>
      <c r="K155" s="6">
        <v>120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4" t="s">
        <v>26</v>
      </c>
      <c r="R155" s="4">
        <v>0</v>
      </c>
      <c r="S155" s="6">
        <v>10</v>
      </c>
      <c r="T155" s="6">
        <v>0</v>
      </c>
      <c r="U155" s="6">
        <v>0</v>
      </c>
      <c r="V155" s="6">
        <f>IF(ISERROR(VLOOKUP($S$155,'TAR FIN'!$A$1:$O$85,15,0)),0,VLOOKUP($S$155,'TAR FIN'!$A$1:$O$85,15,0))</f>
        <v>34.08</v>
      </c>
      <c r="W155" s="6">
        <f>IF(ISERROR(VLOOKUP($T$155,'TAR FIN'!$A$1:$O$85,15,0)),0,VLOOKUP($T$155,'TAR FIN'!$A$1:$O$85,15,0))</f>
        <v>0</v>
      </c>
      <c r="X155" s="6">
        <f>IF(ISERROR(VLOOKUP($U$155,'TAR FIN'!$A$1:$O$85,15,0)),0,VLOOKUP($U$155,'TAR FIN'!$A$1:$O$85,15,0))</f>
        <v>0</v>
      </c>
      <c r="Y155" s="6">
        <f ca="1">('TUSD BE'!$AM$10+'TUSD BF'!$AM$10+'TUSD CVA'!$AM$10)*1</f>
        <v>46.049752913094459</v>
      </c>
      <c r="Z155" s="6"/>
      <c r="AA155" s="6"/>
      <c r="AB155" s="6">
        <f>$K$155*$V$155</f>
        <v>4089.6</v>
      </c>
      <c r="AC155" s="6">
        <f>$M$155*$W$155</f>
        <v>0</v>
      </c>
      <c r="AD155" s="6">
        <f>$O$155*$X$155</f>
        <v>0</v>
      </c>
      <c r="AE155" s="6">
        <f ca="1">$K$155*$Y$155</f>
        <v>5525.9703495713347</v>
      </c>
      <c r="AF155" s="6">
        <f>$M$155*$Z$155</f>
        <v>0</v>
      </c>
      <c r="AG155" s="6">
        <f>$O$155*$AA$155</f>
        <v>0</v>
      </c>
    </row>
    <row r="156" spans="1:33" ht="11.25" customHeight="1" x14ac:dyDescent="0.3">
      <c r="A156" s="4" t="s">
        <v>21</v>
      </c>
      <c r="B156" s="4" t="s">
        <v>39</v>
      </c>
      <c r="C156" s="4" t="s">
        <v>40</v>
      </c>
      <c r="D156" s="4" t="s">
        <v>38</v>
      </c>
      <c r="E156" s="4" t="s">
        <v>25</v>
      </c>
      <c r="F156" s="4" t="s">
        <v>25</v>
      </c>
      <c r="G156" s="4" t="s">
        <v>25</v>
      </c>
      <c r="H156" s="4" t="s">
        <v>25</v>
      </c>
      <c r="I156" s="5">
        <v>44682</v>
      </c>
      <c r="J156" s="6">
        <v>1264</v>
      </c>
      <c r="K156" s="6">
        <v>1264</v>
      </c>
      <c r="L156" s="6">
        <v>0</v>
      </c>
      <c r="M156" s="6">
        <v>0</v>
      </c>
      <c r="N156" s="6">
        <v>0</v>
      </c>
      <c r="O156" s="6">
        <v>0</v>
      </c>
      <c r="P156" s="6">
        <v>6</v>
      </c>
      <c r="Q156" s="4" t="s">
        <v>26</v>
      </c>
      <c r="R156" s="4">
        <v>0</v>
      </c>
      <c r="S156" s="6">
        <v>10</v>
      </c>
      <c r="T156" s="6">
        <v>0</v>
      </c>
      <c r="U156" s="6">
        <v>0</v>
      </c>
      <c r="V156" s="6">
        <f>IF(ISERROR(VLOOKUP($S$156,'TAR FIN'!$A$1:$O$85,15,0)),0,VLOOKUP($S$156,'TAR FIN'!$A$1:$O$85,15,0))</f>
        <v>34.08</v>
      </c>
      <c r="W156" s="6">
        <f>IF(ISERROR(VLOOKUP($T$156,'TAR FIN'!$A$1:$O$85,15,0)),0,VLOOKUP($T$156,'TAR FIN'!$A$1:$O$85,15,0))</f>
        <v>0</v>
      </c>
      <c r="X156" s="6">
        <f>IF(ISERROR(VLOOKUP($U$156,'TAR FIN'!$A$1:$O$85,15,0)),0,VLOOKUP($U$156,'TAR FIN'!$A$1:$O$85,15,0))</f>
        <v>0</v>
      </c>
      <c r="Y156" s="6">
        <f ca="1">('TUSD BE'!$AM$10+'TUSD BF'!$AM$10+'TUSD CVA'!$AM$10)*1</f>
        <v>46.049752913094459</v>
      </c>
      <c r="Z156" s="6"/>
      <c r="AA156" s="6"/>
      <c r="AB156" s="6">
        <f>$K$156*$V$156</f>
        <v>43077.119999999995</v>
      </c>
      <c r="AC156" s="6">
        <f>$M$156*$W$156</f>
        <v>0</v>
      </c>
      <c r="AD156" s="6">
        <f>$O$156*$X$156</f>
        <v>0</v>
      </c>
      <c r="AE156" s="6">
        <f ca="1">$K$156*$Y$156</f>
        <v>58206.887682151399</v>
      </c>
      <c r="AF156" s="6">
        <f>$M$156*$Z$156</f>
        <v>0</v>
      </c>
      <c r="AG156" s="6">
        <f>$O$156*$AA$156</f>
        <v>0</v>
      </c>
    </row>
    <row r="157" spans="1:33" ht="11.25" customHeight="1" x14ac:dyDescent="0.3">
      <c r="A157" s="4" t="s">
        <v>28</v>
      </c>
      <c r="B157" s="4" t="s">
        <v>39</v>
      </c>
      <c r="C157" s="4" t="s">
        <v>40</v>
      </c>
      <c r="D157" s="4" t="s">
        <v>38</v>
      </c>
      <c r="E157" s="4" t="s">
        <v>25</v>
      </c>
      <c r="F157" s="4" t="s">
        <v>25</v>
      </c>
      <c r="G157" s="4" t="s">
        <v>25</v>
      </c>
      <c r="H157" s="4" t="s">
        <v>25</v>
      </c>
      <c r="I157" s="5">
        <v>44682</v>
      </c>
      <c r="J157" s="6">
        <v>120</v>
      </c>
      <c r="K157" s="6">
        <v>120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4" t="s">
        <v>26</v>
      </c>
      <c r="R157" s="4">
        <v>0</v>
      </c>
      <c r="S157" s="6">
        <v>10</v>
      </c>
      <c r="T157" s="6">
        <v>0</v>
      </c>
      <c r="U157" s="6">
        <v>0</v>
      </c>
      <c r="V157" s="6">
        <f>IF(ISERROR(VLOOKUP($S$157,'TAR FIN'!$A$1:$O$85,15,0)),0,VLOOKUP($S$157,'TAR FIN'!$A$1:$O$85,15,0))</f>
        <v>34.08</v>
      </c>
      <c r="W157" s="6">
        <f>IF(ISERROR(VLOOKUP($T$157,'TAR FIN'!$A$1:$O$85,15,0)),0,VLOOKUP($T$157,'TAR FIN'!$A$1:$O$85,15,0))</f>
        <v>0</v>
      </c>
      <c r="X157" s="6">
        <f>IF(ISERROR(VLOOKUP($U$157,'TAR FIN'!$A$1:$O$85,15,0)),0,VLOOKUP($U$157,'TAR FIN'!$A$1:$O$85,15,0))</f>
        <v>0</v>
      </c>
      <c r="Y157" s="6">
        <f ca="1">('TUSD BE'!$AM$10+'TUSD BF'!$AM$10+'TUSD CVA'!$AM$10)*1</f>
        <v>46.049752913094459</v>
      </c>
      <c r="Z157" s="6"/>
      <c r="AA157" s="6"/>
      <c r="AB157" s="6">
        <f>$K$157*$V$157</f>
        <v>4089.6</v>
      </c>
      <c r="AC157" s="6">
        <f>$M$157*$W$157</f>
        <v>0</v>
      </c>
      <c r="AD157" s="6">
        <f>$O$157*$X$157</f>
        <v>0</v>
      </c>
      <c r="AE157" s="6">
        <f ca="1">$K$157*$Y$157</f>
        <v>5525.9703495713347</v>
      </c>
      <c r="AF157" s="6">
        <f>$M$157*$Z$157</f>
        <v>0</v>
      </c>
      <c r="AG157" s="6">
        <f>$O$157*$AA$157</f>
        <v>0</v>
      </c>
    </row>
    <row r="158" spans="1:33" ht="11.25" customHeight="1" x14ac:dyDescent="0.3">
      <c r="A158" s="4" t="s">
        <v>21</v>
      </c>
      <c r="B158" s="4" t="s">
        <v>39</v>
      </c>
      <c r="C158" s="4" t="s">
        <v>40</v>
      </c>
      <c r="D158" s="4" t="s">
        <v>38</v>
      </c>
      <c r="E158" s="4" t="s">
        <v>25</v>
      </c>
      <c r="F158" s="4" t="s">
        <v>25</v>
      </c>
      <c r="G158" s="4" t="s">
        <v>25</v>
      </c>
      <c r="H158" s="4" t="s">
        <v>25</v>
      </c>
      <c r="I158" s="5">
        <v>44713</v>
      </c>
      <c r="J158" s="6">
        <v>1243</v>
      </c>
      <c r="K158" s="6">
        <v>1243</v>
      </c>
      <c r="L158" s="6">
        <v>0</v>
      </c>
      <c r="M158" s="6">
        <v>0</v>
      </c>
      <c r="N158" s="6">
        <v>0</v>
      </c>
      <c r="O158" s="6">
        <v>0</v>
      </c>
      <c r="P158" s="6">
        <v>6</v>
      </c>
      <c r="Q158" s="4" t="s">
        <v>26</v>
      </c>
      <c r="R158" s="4">
        <v>0</v>
      </c>
      <c r="S158" s="6">
        <v>10</v>
      </c>
      <c r="T158" s="6">
        <v>0</v>
      </c>
      <c r="U158" s="6">
        <v>0</v>
      </c>
      <c r="V158" s="6">
        <f>IF(ISERROR(VLOOKUP($S$158,'TAR FIN'!$A$1:$O$85,15,0)),0,VLOOKUP($S$158,'TAR FIN'!$A$1:$O$85,15,0))</f>
        <v>34.08</v>
      </c>
      <c r="W158" s="6">
        <f>IF(ISERROR(VLOOKUP($T$158,'TAR FIN'!$A$1:$O$85,15,0)),0,VLOOKUP($T$158,'TAR FIN'!$A$1:$O$85,15,0))</f>
        <v>0</v>
      </c>
      <c r="X158" s="6">
        <f>IF(ISERROR(VLOOKUP($U$158,'TAR FIN'!$A$1:$O$85,15,0)),0,VLOOKUP($U$158,'TAR FIN'!$A$1:$O$85,15,0))</f>
        <v>0</v>
      </c>
      <c r="Y158" s="6">
        <f ca="1">('TUSD BE'!$AM$10+'TUSD BF'!$AM$10+'TUSD CVA'!$AM$10)*1</f>
        <v>46.049752913094459</v>
      </c>
      <c r="Z158" s="6"/>
      <c r="AA158" s="6"/>
      <c r="AB158" s="6">
        <f>$K$158*$V$158</f>
        <v>42361.439999999995</v>
      </c>
      <c r="AC158" s="6">
        <f>$M$158*$W$158</f>
        <v>0</v>
      </c>
      <c r="AD158" s="6">
        <f>$O$158*$X$158</f>
        <v>0</v>
      </c>
      <c r="AE158" s="6">
        <f ca="1">$K$158*$Y$158</f>
        <v>57239.842870976412</v>
      </c>
      <c r="AF158" s="6">
        <f>$M$158*$Z$158</f>
        <v>0</v>
      </c>
      <c r="AG158" s="6">
        <f>$O$158*$AA$158</f>
        <v>0</v>
      </c>
    </row>
    <row r="159" spans="1:33" ht="11.25" customHeight="1" x14ac:dyDescent="0.3">
      <c r="A159" s="4" t="s">
        <v>28</v>
      </c>
      <c r="B159" s="4" t="s">
        <v>39</v>
      </c>
      <c r="C159" s="4" t="s">
        <v>40</v>
      </c>
      <c r="D159" s="4" t="s">
        <v>38</v>
      </c>
      <c r="E159" s="4" t="s">
        <v>25</v>
      </c>
      <c r="F159" s="4" t="s">
        <v>25</v>
      </c>
      <c r="G159" s="4" t="s">
        <v>25</v>
      </c>
      <c r="H159" s="4" t="s">
        <v>25</v>
      </c>
      <c r="I159" s="5">
        <v>44713</v>
      </c>
      <c r="J159" s="6">
        <v>120</v>
      </c>
      <c r="K159" s="6">
        <v>120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4" t="s">
        <v>26</v>
      </c>
      <c r="R159" s="4">
        <v>0</v>
      </c>
      <c r="S159" s="6">
        <v>10</v>
      </c>
      <c r="T159" s="6">
        <v>0</v>
      </c>
      <c r="U159" s="6">
        <v>0</v>
      </c>
      <c r="V159" s="6">
        <f>IF(ISERROR(VLOOKUP($S$159,'TAR FIN'!$A$1:$O$85,15,0)),0,VLOOKUP($S$159,'TAR FIN'!$A$1:$O$85,15,0))</f>
        <v>34.08</v>
      </c>
      <c r="W159" s="6">
        <f>IF(ISERROR(VLOOKUP($T$159,'TAR FIN'!$A$1:$O$85,15,0)),0,VLOOKUP($T$159,'TAR FIN'!$A$1:$O$85,15,0))</f>
        <v>0</v>
      </c>
      <c r="X159" s="6">
        <f>IF(ISERROR(VLOOKUP($U$159,'TAR FIN'!$A$1:$O$85,15,0)),0,VLOOKUP($U$159,'TAR FIN'!$A$1:$O$85,15,0))</f>
        <v>0</v>
      </c>
      <c r="Y159" s="6">
        <f ca="1">('TUSD BE'!$AM$10+'TUSD BF'!$AM$10+'TUSD CVA'!$AM$10)*1</f>
        <v>46.049752913094459</v>
      </c>
      <c r="Z159" s="6"/>
      <c r="AA159" s="6"/>
      <c r="AB159" s="6">
        <f>$K$159*$V$159</f>
        <v>4089.6</v>
      </c>
      <c r="AC159" s="6">
        <f>$M$159*$W$159</f>
        <v>0</v>
      </c>
      <c r="AD159" s="6">
        <f>$O$159*$X$159</f>
        <v>0</v>
      </c>
      <c r="AE159" s="6">
        <f ca="1">$K$159*$Y$159</f>
        <v>5525.9703495713347</v>
      </c>
      <c r="AF159" s="6">
        <f>$M$159*$Z$159</f>
        <v>0</v>
      </c>
      <c r="AG159" s="6">
        <f>$O$159*$AA$159</f>
        <v>0</v>
      </c>
    </row>
    <row r="160" spans="1:33" ht="11.25" customHeight="1" x14ac:dyDescent="0.3">
      <c r="A160" s="4" t="s">
        <v>21</v>
      </c>
      <c r="B160" s="4" t="s">
        <v>39</v>
      </c>
      <c r="C160" s="4" t="s">
        <v>40</v>
      </c>
      <c r="D160" s="4" t="s">
        <v>38</v>
      </c>
      <c r="E160" s="4" t="s">
        <v>25</v>
      </c>
      <c r="F160" s="4" t="s">
        <v>25</v>
      </c>
      <c r="G160" s="4" t="s">
        <v>25</v>
      </c>
      <c r="H160" s="4" t="s">
        <v>25</v>
      </c>
      <c r="I160" s="5">
        <v>44743</v>
      </c>
      <c r="J160" s="6">
        <v>1315</v>
      </c>
      <c r="K160" s="6">
        <v>1315</v>
      </c>
      <c r="L160" s="6">
        <v>0</v>
      </c>
      <c r="M160" s="6">
        <v>0</v>
      </c>
      <c r="N160" s="6">
        <v>0</v>
      </c>
      <c r="O160" s="6">
        <v>0</v>
      </c>
      <c r="P160" s="6">
        <v>6</v>
      </c>
      <c r="Q160" s="4" t="s">
        <v>26</v>
      </c>
      <c r="R160" s="4">
        <v>0</v>
      </c>
      <c r="S160" s="6">
        <v>10</v>
      </c>
      <c r="T160" s="6">
        <v>0</v>
      </c>
      <c r="U160" s="6">
        <v>0</v>
      </c>
      <c r="V160" s="6">
        <f>IF(ISERROR(VLOOKUP($S$160,'TAR FIN'!$A$1:$O$85,15,0)),0,VLOOKUP($S$160,'TAR FIN'!$A$1:$O$85,15,0))</f>
        <v>34.08</v>
      </c>
      <c r="W160" s="6">
        <f>IF(ISERROR(VLOOKUP($T$160,'TAR FIN'!$A$1:$O$85,15,0)),0,VLOOKUP($T$160,'TAR FIN'!$A$1:$O$85,15,0))</f>
        <v>0</v>
      </c>
      <c r="X160" s="6">
        <f>IF(ISERROR(VLOOKUP($U$160,'TAR FIN'!$A$1:$O$85,15,0)),0,VLOOKUP($U$160,'TAR FIN'!$A$1:$O$85,15,0))</f>
        <v>0</v>
      </c>
      <c r="Y160" s="6">
        <f ca="1">('TUSD BE'!$AM$10+'TUSD BF'!$AM$10+'TUSD CVA'!$AM$10)*1</f>
        <v>46.049752913094459</v>
      </c>
      <c r="Z160" s="6"/>
      <c r="AA160" s="6"/>
      <c r="AB160" s="6">
        <f>$K$160*$V$160</f>
        <v>44815.199999999997</v>
      </c>
      <c r="AC160" s="6">
        <f>$M$160*$W$160</f>
        <v>0</v>
      </c>
      <c r="AD160" s="6">
        <f>$O$160*$X$160</f>
        <v>0</v>
      </c>
      <c r="AE160" s="6">
        <f ca="1">$K$160*$Y$160</f>
        <v>60555.425080719215</v>
      </c>
      <c r="AF160" s="6">
        <f>$M$160*$Z$160</f>
        <v>0</v>
      </c>
      <c r="AG160" s="6">
        <f>$O$160*$AA$160</f>
        <v>0</v>
      </c>
    </row>
    <row r="161" spans="1:33" ht="11.25" customHeight="1" x14ac:dyDescent="0.3">
      <c r="A161" s="4" t="s">
        <v>28</v>
      </c>
      <c r="B161" s="4" t="s">
        <v>39</v>
      </c>
      <c r="C161" s="4" t="s">
        <v>40</v>
      </c>
      <c r="D161" s="4" t="s">
        <v>38</v>
      </c>
      <c r="E161" s="4" t="s">
        <v>25</v>
      </c>
      <c r="F161" s="4" t="s">
        <v>25</v>
      </c>
      <c r="G161" s="4" t="s">
        <v>25</v>
      </c>
      <c r="H161" s="4" t="s">
        <v>25</v>
      </c>
      <c r="I161" s="5">
        <v>44743</v>
      </c>
      <c r="J161" s="6">
        <v>120</v>
      </c>
      <c r="K161" s="6">
        <v>120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4" t="s">
        <v>26</v>
      </c>
      <c r="R161" s="4">
        <v>0</v>
      </c>
      <c r="S161" s="6">
        <v>10</v>
      </c>
      <c r="T161" s="6">
        <v>0</v>
      </c>
      <c r="U161" s="6">
        <v>0</v>
      </c>
      <c r="V161" s="6">
        <f>IF(ISERROR(VLOOKUP($S$161,'TAR FIN'!$A$1:$O$85,15,0)),0,VLOOKUP($S$161,'TAR FIN'!$A$1:$O$85,15,0))</f>
        <v>34.08</v>
      </c>
      <c r="W161" s="6">
        <f>IF(ISERROR(VLOOKUP($T$161,'TAR FIN'!$A$1:$O$85,15,0)),0,VLOOKUP($T$161,'TAR FIN'!$A$1:$O$85,15,0))</f>
        <v>0</v>
      </c>
      <c r="X161" s="6">
        <f>IF(ISERROR(VLOOKUP($U$161,'TAR FIN'!$A$1:$O$85,15,0)),0,VLOOKUP($U$161,'TAR FIN'!$A$1:$O$85,15,0))</f>
        <v>0</v>
      </c>
      <c r="Y161" s="6">
        <f ca="1">('TUSD BE'!$AM$10+'TUSD BF'!$AM$10+'TUSD CVA'!$AM$10)*1</f>
        <v>46.049752913094459</v>
      </c>
      <c r="Z161" s="6"/>
      <c r="AA161" s="6"/>
      <c r="AB161" s="6">
        <f>$K$161*$V$161</f>
        <v>4089.6</v>
      </c>
      <c r="AC161" s="6">
        <f>$M$161*$W$161</f>
        <v>0</v>
      </c>
      <c r="AD161" s="6">
        <f>$O$161*$X$161</f>
        <v>0</v>
      </c>
      <c r="AE161" s="6">
        <f ca="1">$K$161*$Y$161</f>
        <v>5525.9703495713347</v>
      </c>
      <c r="AF161" s="6">
        <f>$M$161*$Z$161</f>
        <v>0</v>
      </c>
      <c r="AG161" s="6">
        <f>$O$161*$AA$161</f>
        <v>0</v>
      </c>
    </row>
    <row r="162" spans="1:33" ht="11.25" customHeight="1" x14ac:dyDescent="0.3">
      <c r="A162" s="4" t="s">
        <v>21</v>
      </c>
      <c r="B162" s="4" t="s">
        <v>39</v>
      </c>
      <c r="C162" s="4" t="s">
        <v>40</v>
      </c>
      <c r="D162" s="4" t="s">
        <v>38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44774</v>
      </c>
      <c r="J162" s="6">
        <v>1295</v>
      </c>
      <c r="K162" s="6">
        <v>1295</v>
      </c>
      <c r="L162" s="6">
        <v>0</v>
      </c>
      <c r="M162" s="6">
        <v>0</v>
      </c>
      <c r="N162" s="6">
        <v>0</v>
      </c>
      <c r="O162" s="6">
        <v>0</v>
      </c>
      <c r="P162" s="6">
        <v>6</v>
      </c>
      <c r="Q162" s="4" t="s">
        <v>26</v>
      </c>
      <c r="R162" s="4">
        <v>0</v>
      </c>
      <c r="S162" s="6">
        <v>10</v>
      </c>
      <c r="T162" s="6">
        <v>0</v>
      </c>
      <c r="U162" s="6">
        <v>0</v>
      </c>
      <c r="V162" s="6">
        <f>IF(ISERROR(VLOOKUP($S$162,'TAR FIN'!$A$1:$O$85,15,0)),0,VLOOKUP($S$162,'TAR FIN'!$A$1:$O$85,15,0))</f>
        <v>34.08</v>
      </c>
      <c r="W162" s="6">
        <f>IF(ISERROR(VLOOKUP($T$162,'TAR FIN'!$A$1:$O$85,15,0)),0,VLOOKUP($T$162,'TAR FIN'!$A$1:$O$85,15,0))</f>
        <v>0</v>
      </c>
      <c r="X162" s="6">
        <f>IF(ISERROR(VLOOKUP($U$162,'TAR FIN'!$A$1:$O$85,15,0)),0,VLOOKUP($U$162,'TAR FIN'!$A$1:$O$85,15,0))</f>
        <v>0</v>
      </c>
      <c r="Y162" s="6">
        <f ca="1">('TUSD BE'!$AM$10+'TUSD BF'!$AM$10+'TUSD CVA'!$AM$10)*1</f>
        <v>46.049752913094459</v>
      </c>
      <c r="Z162" s="6"/>
      <c r="AA162" s="6"/>
      <c r="AB162" s="6">
        <f>$K$162*$V$162</f>
        <v>44133.599999999999</v>
      </c>
      <c r="AC162" s="6">
        <f>$M$162*$W$162</f>
        <v>0</v>
      </c>
      <c r="AD162" s="6">
        <f>$O$162*$X$162</f>
        <v>0</v>
      </c>
      <c r="AE162" s="6">
        <f ca="1">$K$162*$Y$162</f>
        <v>59634.430022457324</v>
      </c>
      <c r="AF162" s="6">
        <f>$M$162*$Z$162</f>
        <v>0</v>
      </c>
      <c r="AG162" s="6">
        <f>$O$162*$AA$162</f>
        <v>0</v>
      </c>
    </row>
    <row r="163" spans="1:33" ht="11.25" customHeight="1" x14ac:dyDescent="0.3">
      <c r="A163" s="4" t="s">
        <v>28</v>
      </c>
      <c r="B163" s="4" t="s">
        <v>39</v>
      </c>
      <c r="C163" s="4" t="s">
        <v>40</v>
      </c>
      <c r="D163" s="4" t="s">
        <v>38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44774</v>
      </c>
      <c r="J163" s="6">
        <v>120</v>
      </c>
      <c r="K163" s="6">
        <v>120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4" t="s">
        <v>26</v>
      </c>
      <c r="R163" s="4">
        <v>0</v>
      </c>
      <c r="S163" s="6">
        <v>10</v>
      </c>
      <c r="T163" s="6">
        <v>0</v>
      </c>
      <c r="U163" s="6">
        <v>0</v>
      </c>
      <c r="V163" s="6">
        <f>IF(ISERROR(VLOOKUP($S$163,'TAR FIN'!$A$1:$O$85,15,0)),0,VLOOKUP($S$163,'TAR FIN'!$A$1:$O$85,15,0))</f>
        <v>34.08</v>
      </c>
      <c r="W163" s="6">
        <f>IF(ISERROR(VLOOKUP($T$163,'TAR FIN'!$A$1:$O$85,15,0)),0,VLOOKUP($T$163,'TAR FIN'!$A$1:$O$85,15,0))</f>
        <v>0</v>
      </c>
      <c r="X163" s="6">
        <f>IF(ISERROR(VLOOKUP($U$163,'TAR FIN'!$A$1:$O$85,15,0)),0,VLOOKUP($U$163,'TAR FIN'!$A$1:$O$85,15,0))</f>
        <v>0</v>
      </c>
      <c r="Y163" s="6">
        <f ca="1">('TUSD BE'!$AM$10+'TUSD BF'!$AM$10+'TUSD CVA'!$AM$10)*1</f>
        <v>46.049752913094459</v>
      </c>
      <c r="Z163" s="6"/>
      <c r="AA163" s="6"/>
      <c r="AB163" s="6">
        <f>$K$163*$V$163</f>
        <v>4089.6</v>
      </c>
      <c r="AC163" s="6">
        <f>$M$163*$W$163</f>
        <v>0</v>
      </c>
      <c r="AD163" s="6">
        <f>$O$163*$X$163</f>
        <v>0</v>
      </c>
      <c r="AE163" s="6">
        <f ca="1">$K$163*$Y$163</f>
        <v>5525.9703495713347</v>
      </c>
      <c r="AF163" s="6">
        <f>$M$163*$Z$163</f>
        <v>0</v>
      </c>
      <c r="AG163" s="6">
        <f>$O$163*$AA$163</f>
        <v>0</v>
      </c>
    </row>
    <row r="164" spans="1:33" ht="11.25" customHeight="1" x14ac:dyDescent="0.3">
      <c r="A164" s="4" t="s">
        <v>21</v>
      </c>
      <c r="B164" s="4" t="s">
        <v>39</v>
      </c>
      <c r="C164" s="4" t="s">
        <v>40</v>
      </c>
      <c r="D164" s="4" t="s">
        <v>38</v>
      </c>
      <c r="E164" s="4" t="s">
        <v>25</v>
      </c>
      <c r="F164" s="4" t="s">
        <v>25</v>
      </c>
      <c r="G164" s="4" t="s">
        <v>25</v>
      </c>
      <c r="H164" s="4" t="s">
        <v>34</v>
      </c>
      <c r="I164" s="5">
        <v>44440</v>
      </c>
      <c r="J164" s="6">
        <v>0</v>
      </c>
      <c r="K164" s="6">
        <v>0</v>
      </c>
      <c r="L164" s="6">
        <v>1.5349999999999999</v>
      </c>
      <c r="M164" s="6">
        <v>1.5349999999999999</v>
      </c>
      <c r="N164" s="6">
        <v>1.5349999999999999</v>
      </c>
      <c r="O164" s="6">
        <v>1.5349999999999999</v>
      </c>
      <c r="P164" s="6">
        <v>0</v>
      </c>
      <c r="Q164" s="4" t="s">
        <v>26</v>
      </c>
      <c r="R164" s="4">
        <v>0</v>
      </c>
      <c r="S164" s="6">
        <v>0</v>
      </c>
      <c r="T164" s="6">
        <v>23</v>
      </c>
      <c r="U164" s="6">
        <v>25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2545.94</v>
      </c>
      <c r="X164" s="6">
        <f>IF(ISERROR(VLOOKUP($U$164,'TAR FIN'!$A$1:$O$85,15,0)),0,VLOOKUP($U$164,'TAR FIN'!$A$1:$O$85,15,0))</f>
        <v>223.07</v>
      </c>
      <c r="Y164" s="6"/>
      <c r="Z164" s="6">
        <f ca="1">('TUSD BE'!$AM$11+'TUSD BF'!$AM$11+'TUSD CVA'!$AM$11)*1</f>
        <v>3597.960494353159</v>
      </c>
      <c r="AA164" s="6">
        <f>('TE BE'!$AB$5+'TE BF'!$AB$5+'TE CVA'!$AB$5)*1</f>
        <v>77.958364182443049</v>
      </c>
      <c r="AB164" s="6">
        <f>$K$164*$V$164</f>
        <v>0</v>
      </c>
      <c r="AC164" s="6">
        <f>$M$164*$W$164</f>
        <v>3908.0178999999998</v>
      </c>
      <c r="AD164" s="6">
        <f>$O$164*$X$164</f>
        <v>342.41244999999998</v>
      </c>
      <c r="AE164" s="6">
        <f>$K$164*$Y$164</f>
        <v>0</v>
      </c>
      <c r="AF164" s="6">
        <f ca="1">$M$164*$Z$164</f>
        <v>5522.8693588320984</v>
      </c>
      <c r="AG164" s="6">
        <f>$O$164*$AA$164</f>
        <v>119.66608902005008</v>
      </c>
    </row>
    <row r="165" spans="1:33" ht="11.25" customHeight="1" x14ac:dyDescent="0.3">
      <c r="A165" s="4" t="s">
        <v>28</v>
      </c>
      <c r="B165" s="4" t="s">
        <v>39</v>
      </c>
      <c r="C165" s="4" t="s">
        <v>40</v>
      </c>
      <c r="D165" s="4" t="s">
        <v>38</v>
      </c>
      <c r="E165" s="4" t="s">
        <v>25</v>
      </c>
      <c r="F165" s="4" t="s">
        <v>25</v>
      </c>
      <c r="G165" s="4" t="s">
        <v>25</v>
      </c>
      <c r="H165" s="4" t="s">
        <v>34</v>
      </c>
      <c r="I165" s="5">
        <v>44440</v>
      </c>
      <c r="J165" s="6">
        <v>0</v>
      </c>
      <c r="K165" s="6">
        <v>0</v>
      </c>
      <c r="L165" s="6">
        <v>1.78</v>
      </c>
      <c r="M165" s="6">
        <v>1.78</v>
      </c>
      <c r="N165" s="6">
        <v>1.78</v>
      </c>
      <c r="O165" s="6">
        <v>1.78</v>
      </c>
      <c r="P165" s="6">
        <v>0</v>
      </c>
      <c r="Q165" s="4" t="s">
        <v>26</v>
      </c>
      <c r="R165" s="4">
        <v>0</v>
      </c>
      <c r="S165" s="6">
        <v>0</v>
      </c>
      <c r="T165" s="6">
        <v>23</v>
      </c>
      <c r="U165" s="6">
        <v>25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2545.94</v>
      </c>
      <c r="X165" s="6">
        <f>IF(ISERROR(VLOOKUP($U$165,'TAR FIN'!$A$1:$O$85,15,0)),0,VLOOKUP($U$165,'TAR FIN'!$A$1:$O$85,15,0))</f>
        <v>223.07</v>
      </c>
      <c r="Y165" s="6"/>
      <c r="Z165" s="6">
        <f ca="1">('TUSD BE'!$AM$11+'TUSD BF'!$AM$11+'TUSD CVA'!$AM$11)*1</f>
        <v>3597.960494353159</v>
      </c>
      <c r="AA165" s="6">
        <f>('TE BE'!$AB$5+'TE BF'!$AB$5+'TE CVA'!$AB$5)*1</f>
        <v>77.958364182443049</v>
      </c>
      <c r="AB165" s="6">
        <f>$K$165*$V$165</f>
        <v>0</v>
      </c>
      <c r="AC165" s="6">
        <f>$M$165*$W$165</f>
        <v>4531.7732000000005</v>
      </c>
      <c r="AD165" s="6">
        <f>$O$165*$X$165</f>
        <v>397.06459999999998</v>
      </c>
      <c r="AE165" s="6">
        <f>$K$165*$Y$165</f>
        <v>0</v>
      </c>
      <c r="AF165" s="6">
        <f ca="1">$M$165*$Z$165</f>
        <v>6404.3696799486233</v>
      </c>
      <c r="AG165" s="6">
        <f>$O$165*$AA$165</f>
        <v>138.76588824474862</v>
      </c>
    </row>
    <row r="166" spans="1:33" ht="11.25" customHeight="1" x14ac:dyDescent="0.3">
      <c r="A166" s="4" t="s">
        <v>21</v>
      </c>
      <c r="B166" s="4" t="s">
        <v>39</v>
      </c>
      <c r="C166" s="4" t="s">
        <v>40</v>
      </c>
      <c r="D166" s="4" t="s">
        <v>38</v>
      </c>
      <c r="E166" s="4" t="s">
        <v>25</v>
      </c>
      <c r="F166" s="4" t="s">
        <v>25</v>
      </c>
      <c r="G166" s="4" t="s">
        <v>25</v>
      </c>
      <c r="H166" s="4" t="s">
        <v>34</v>
      </c>
      <c r="I166" s="5">
        <v>44470</v>
      </c>
      <c r="J166" s="6">
        <v>0</v>
      </c>
      <c r="K166" s="6">
        <v>0</v>
      </c>
      <c r="L166" s="6">
        <v>1.2450000000000001</v>
      </c>
      <c r="M166" s="6">
        <v>1.2450000000000001</v>
      </c>
      <c r="N166" s="6">
        <v>1.2450000000000001</v>
      </c>
      <c r="O166" s="6">
        <v>1.2450000000000001</v>
      </c>
      <c r="P166" s="6">
        <v>0</v>
      </c>
      <c r="Q166" s="4" t="s">
        <v>26</v>
      </c>
      <c r="R166" s="4">
        <v>0</v>
      </c>
      <c r="S166" s="6">
        <v>0</v>
      </c>
      <c r="T166" s="6">
        <v>23</v>
      </c>
      <c r="U166" s="6">
        <v>25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2545.94</v>
      </c>
      <c r="X166" s="6">
        <f>IF(ISERROR(VLOOKUP($U$166,'TAR FIN'!$A$1:$O$85,15,0)),0,VLOOKUP($U$166,'TAR FIN'!$A$1:$O$85,15,0))</f>
        <v>223.07</v>
      </c>
      <c r="Y166" s="6"/>
      <c r="Z166" s="6">
        <f ca="1">('TUSD BE'!$AM$11+'TUSD BF'!$AM$11+'TUSD CVA'!$AM$11)*1</f>
        <v>3597.960494353159</v>
      </c>
      <c r="AA166" s="6">
        <f>('TE BE'!$AB$5+'TE BF'!$AB$5+'TE CVA'!$AB$5)*1</f>
        <v>77.958364182443049</v>
      </c>
      <c r="AB166" s="6">
        <f>$K$166*$V$166</f>
        <v>0</v>
      </c>
      <c r="AC166" s="6">
        <f>$M$166*$W$166</f>
        <v>3169.6953000000003</v>
      </c>
      <c r="AD166" s="6">
        <f>$O$166*$X$166</f>
        <v>277.72215</v>
      </c>
      <c r="AE166" s="6">
        <f>$K$166*$Y$166</f>
        <v>0</v>
      </c>
      <c r="AF166" s="6">
        <f ca="1">$M$166*$Z$166</f>
        <v>4479.4608154696834</v>
      </c>
      <c r="AG166" s="6">
        <f>$O$166*$AA$166</f>
        <v>97.058163407141606</v>
      </c>
    </row>
    <row r="167" spans="1:33" ht="11.25" customHeight="1" x14ac:dyDescent="0.3">
      <c r="A167" s="4" t="s">
        <v>28</v>
      </c>
      <c r="B167" s="4" t="s">
        <v>39</v>
      </c>
      <c r="C167" s="4" t="s">
        <v>40</v>
      </c>
      <c r="D167" s="4" t="s">
        <v>38</v>
      </c>
      <c r="E167" s="4" t="s">
        <v>25</v>
      </c>
      <c r="F167" s="4" t="s">
        <v>25</v>
      </c>
      <c r="G167" s="4" t="s">
        <v>25</v>
      </c>
      <c r="H167" s="4" t="s">
        <v>34</v>
      </c>
      <c r="I167" s="5">
        <v>44470</v>
      </c>
      <c r="J167" s="6">
        <v>0</v>
      </c>
      <c r="K167" s="6">
        <v>0</v>
      </c>
      <c r="L167" s="6">
        <v>1.3919999999999999</v>
      </c>
      <c r="M167" s="6">
        <v>1.3919999999999999</v>
      </c>
      <c r="N167" s="6">
        <v>1.3919999999999999</v>
      </c>
      <c r="O167" s="6">
        <v>1.3919999999999999</v>
      </c>
      <c r="P167" s="6">
        <v>0</v>
      </c>
      <c r="Q167" s="4" t="s">
        <v>26</v>
      </c>
      <c r="R167" s="4">
        <v>0</v>
      </c>
      <c r="S167" s="6">
        <v>0</v>
      </c>
      <c r="T167" s="6">
        <v>23</v>
      </c>
      <c r="U167" s="6">
        <v>25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2545.94</v>
      </c>
      <c r="X167" s="6">
        <f>IF(ISERROR(VLOOKUP($U$167,'TAR FIN'!$A$1:$O$85,15,0)),0,VLOOKUP($U$167,'TAR FIN'!$A$1:$O$85,15,0))</f>
        <v>223.07</v>
      </c>
      <c r="Y167" s="6"/>
      <c r="Z167" s="6">
        <f ca="1">('TUSD BE'!$AM$11+'TUSD BF'!$AM$11+'TUSD CVA'!$AM$11)*1</f>
        <v>3597.960494353159</v>
      </c>
      <c r="AA167" s="6">
        <f>('TE BE'!$AB$5+'TE BF'!$AB$5+'TE CVA'!$AB$5)*1</f>
        <v>77.958364182443049</v>
      </c>
      <c r="AB167" s="6">
        <f>$K$167*$V$167</f>
        <v>0</v>
      </c>
      <c r="AC167" s="6">
        <f>$M$167*$W$167</f>
        <v>3543.94848</v>
      </c>
      <c r="AD167" s="6">
        <f>$O$167*$X$167</f>
        <v>310.51343999999995</v>
      </c>
      <c r="AE167" s="6">
        <f>$K$167*$Y$167</f>
        <v>0</v>
      </c>
      <c r="AF167" s="6">
        <f ca="1">$M$167*$Z$167</f>
        <v>5008.3610081395973</v>
      </c>
      <c r="AG167" s="6">
        <f>$O$167*$AA$167</f>
        <v>108.51804294196072</v>
      </c>
    </row>
    <row r="168" spans="1:33" ht="11.25" customHeight="1" x14ac:dyDescent="0.3">
      <c r="A168" s="4" t="s">
        <v>21</v>
      </c>
      <c r="B168" s="4" t="s">
        <v>39</v>
      </c>
      <c r="C168" s="4" t="s">
        <v>40</v>
      </c>
      <c r="D168" s="4" t="s">
        <v>38</v>
      </c>
      <c r="E168" s="4" t="s">
        <v>25</v>
      </c>
      <c r="F168" s="4" t="s">
        <v>25</v>
      </c>
      <c r="G168" s="4" t="s">
        <v>25</v>
      </c>
      <c r="H168" s="4" t="s">
        <v>34</v>
      </c>
      <c r="I168" s="5">
        <v>44501</v>
      </c>
      <c r="J168" s="6">
        <v>0</v>
      </c>
      <c r="K168" s="6">
        <v>0</v>
      </c>
      <c r="L168" s="6">
        <v>1.1579999999999999</v>
      </c>
      <c r="M168" s="6">
        <v>1.1579999999999999</v>
      </c>
      <c r="N168" s="6">
        <v>1.1579999999999999</v>
      </c>
      <c r="O168" s="6">
        <v>1.1579999999999999</v>
      </c>
      <c r="P168" s="6">
        <v>0</v>
      </c>
      <c r="Q168" s="4" t="s">
        <v>26</v>
      </c>
      <c r="R168" s="4">
        <v>0</v>
      </c>
      <c r="S168" s="6">
        <v>0</v>
      </c>
      <c r="T168" s="6">
        <v>23</v>
      </c>
      <c r="U168" s="6">
        <v>25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2545.94</v>
      </c>
      <c r="X168" s="6">
        <f>IF(ISERROR(VLOOKUP($U$168,'TAR FIN'!$A$1:$O$85,15,0)),0,VLOOKUP($U$168,'TAR FIN'!$A$1:$O$85,15,0))</f>
        <v>223.07</v>
      </c>
      <c r="Y168" s="6"/>
      <c r="Z168" s="6">
        <f ca="1">('TUSD BE'!$AM$11+'TUSD BF'!$AM$11+'TUSD CVA'!$AM$11)*1</f>
        <v>3597.960494353159</v>
      </c>
      <c r="AA168" s="6">
        <f>('TE BE'!$AB$5+'TE BF'!$AB$5+'TE CVA'!$AB$5)*1</f>
        <v>77.958364182443049</v>
      </c>
      <c r="AB168" s="6">
        <f>$K$168*$V$168</f>
        <v>0</v>
      </c>
      <c r="AC168" s="6">
        <f>$M$168*$W$168</f>
        <v>2948.1985199999999</v>
      </c>
      <c r="AD168" s="6">
        <f>$O$168*$X$168</f>
        <v>258.31505999999996</v>
      </c>
      <c r="AE168" s="6">
        <f>$K$168*$Y$168</f>
        <v>0</v>
      </c>
      <c r="AF168" s="6">
        <f ca="1">$M$168*$Z$168</f>
        <v>4166.4382524609582</v>
      </c>
      <c r="AG168" s="6">
        <f>$O$168*$AA$168</f>
        <v>90.275785723269038</v>
      </c>
    </row>
    <row r="169" spans="1:33" ht="11.25" customHeight="1" x14ac:dyDescent="0.3">
      <c r="A169" s="4" t="s">
        <v>21</v>
      </c>
      <c r="B169" s="4" t="s">
        <v>39</v>
      </c>
      <c r="C169" s="4" t="s">
        <v>40</v>
      </c>
      <c r="D169" s="4" t="s">
        <v>38</v>
      </c>
      <c r="E169" s="4" t="s">
        <v>25</v>
      </c>
      <c r="F169" s="4" t="s">
        <v>25</v>
      </c>
      <c r="G169" s="4" t="s">
        <v>25</v>
      </c>
      <c r="H169" s="4" t="s">
        <v>34</v>
      </c>
      <c r="I169" s="5">
        <v>44531</v>
      </c>
      <c r="J169" s="6">
        <v>0</v>
      </c>
      <c r="K169" s="6">
        <v>0</v>
      </c>
      <c r="L169" s="6">
        <v>1.2150000000000001</v>
      </c>
      <c r="M169" s="6">
        <v>1.2150000000000001</v>
      </c>
      <c r="N169" s="6">
        <v>1.2150000000000001</v>
      </c>
      <c r="O169" s="6">
        <v>1.2150000000000001</v>
      </c>
      <c r="P169" s="6">
        <v>0</v>
      </c>
      <c r="Q169" s="4" t="s">
        <v>26</v>
      </c>
      <c r="R169" s="4">
        <v>0</v>
      </c>
      <c r="S169" s="6">
        <v>0</v>
      </c>
      <c r="T169" s="6">
        <v>23</v>
      </c>
      <c r="U169" s="6">
        <v>25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2545.94</v>
      </c>
      <c r="X169" s="6">
        <f>IF(ISERROR(VLOOKUP($U$169,'TAR FIN'!$A$1:$O$85,15,0)),0,VLOOKUP($U$169,'TAR FIN'!$A$1:$O$85,15,0))</f>
        <v>223.07</v>
      </c>
      <c r="Y169" s="6"/>
      <c r="Z169" s="6">
        <f ca="1">('TUSD BE'!$AM$11+'TUSD BF'!$AM$11+'TUSD CVA'!$AM$11)*1</f>
        <v>3597.960494353159</v>
      </c>
      <c r="AA169" s="6">
        <f>('TE BE'!$AB$5+'TE BF'!$AB$5+'TE CVA'!$AB$5)*1</f>
        <v>77.958364182443049</v>
      </c>
      <c r="AB169" s="6">
        <f>$K$169*$V$169</f>
        <v>0</v>
      </c>
      <c r="AC169" s="6">
        <f>$M$169*$W$169</f>
        <v>3093.3171000000002</v>
      </c>
      <c r="AD169" s="6">
        <f>$O$169*$X$169</f>
        <v>271.03005000000002</v>
      </c>
      <c r="AE169" s="6">
        <f>$K$169*$Y$169</f>
        <v>0</v>
      </c>
      <c r="AF169" s="6">
        <f ca="1">$M$169*$Z$169</f>
        <v>4371.5220006390882</v>
      </c>
      <c r="AG169" s="6">
        <f>$O$169*$AA$169</f>
        <v>94.719412481668314</v>
      </c>
    </row>
    <row r="170" spans="1:33" ht="11.25" customHeight="1" x14ac:dyDescent="0.3">
      <c r="A170" s="4" t="s">
        <v>21</v>
      </c>
      <c r="B170" s="4" t="s">
        <v>39</v>
      </c>
      <c r="C170" s="4" t="s">
        <v>40</v>
      </c>
      <c r="D170" s="4" t="s">
        <v>38</v>
      </c>
      <c r="E170" s="4" t="s">
        <v>25</v>
      </c>
      <c r="F170" s="4" t="s">
        <v>25</v>
      </c>
      <c r="G170" s="4" t="s">
        <v>25</v>
      </c>
      <c r="H170" s="4" t="s">
        <v>34</v>
      </c>
      <c r="I170" s="5">
        <v>44562</v>
      </c>
      <c r="J170" s="6">
        <v>0</v>
      </c>
      <c r="K170" s="6">
        <v>0</v>
      </c>
      <c r="L170" s="6">
        <v>0.96599999999999997</v>
      </c>
      <c r="M170" s="6">
        <v>0.96599999999999997</v>
      </c>
      <c r="N170" s="6">
        <v>0.96599999999999997</v>
      </c>
      <c r="O170" s="6">
        <v>0.96599999999999997</v>
      </c>
      <c r="P170" s="6">
        <v>0</v>
      </c>
      <c r="Q170" s="4" t="s">
        <v>26</v>
      </c>
      <c r="R170" s="4">
        <v>0</v>
      </c>
      <c r="S170" s="6">
        <v>0</v>
      </c>
      <c r="T170" s="6">
        <v>23</v>
      </c>
      <c r="U170" s="6">
        <v>25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2545.94</v>
      </c>
      <c r="X170" s="6">
        <f>IF(ISERROR(VLOOKUP($U$170,'TAR FIN'!$A$1:$O$85,15,0)),0,VLOOKUP($U$170,'TAR FIN'!$A$1:$O$85,15,0))</f>
        <v>223.07</v>
      </c>
      <c r="Y170" s="6"/>
      <c r="Z170" s="6">
        <f ca="1">('TUSD BE'!$AM$11+'TUSD BF'!$AM$11+'TUSD CVA'!$AM$11)*1</f>
        <v>3597.960494353159</v>
      </c>
      <c r="AA170" s="6">
        <f>('TE BE'!$AB$5+'TE BF'!$AB$5+'TE CVA'!$AB$5)*1</f>
        <v>77.958364182443049</v>
      </c>
      <c r="AB170" s="6">
        <f>$K$170*$V$170</f>
        <v>0</v>
      </c>
      <c r="AC170" s="6">
        <f>$M$170*$W$170</f>
        <v>2459.3780400000001</v>
      </c>
      <c r="AD170" s="6">
        <f>$O$170*$X$170</f>
        <v>215.48561999999998</v>
      </c>
      <c r="AE170" s="6">
        <f>$K$170*$Y$170</f>
        <v>0</v>
      </c>
      <c r="AF170" s="6">
        <f ca="1">$M$170*$Z$170</f>
        <v>3475.6298375451515</v>
      </c>
      <c r="AG170" s="6">
        <f>$O$170*$AA$170</f>
        <v>75.307779800239985</v>
      </c>
    </row>
    <row r="171" spans="1:33" ht="11.25" customHeight="1" x14ac:dyDescent="0.3">
      <c r="A171" s="4" t="s">
        <v>21</v>
      </c>
      <c r="B171" s="4" t="s">
        <v>39</v>
      </c>
      <c r="C171" s="4" t="s">
        <v>40</v>
      </c>
      <c r="D171" s="4" t="s">
        <v>38</v>
      </c>
      <c r="E171" s="4" t="s">
        <v>25</v>
      </c>
      <c r="F171" s="4" t="s">
        <v>25</v>
      </c>
      <c r="G171" s="4" t="s">
        <v>25</v>
      </c>
      <c r="H171" s="4" t="s">
        <v>34</v>
      </c>
      <c r="I171" s="5">
        <v>44593</v>
      </c>
      <c r="J171" s="6">
        <v>0</v>
      </c>
      <c r="K171" s="6">
        <v>0</v>
      </c>
      <c r="L171" s="6">
        <v>1.6419999999999999</v>
      </c>
      <c r="M171" s="6">
        <v>1.6419999999999999</v>
      </c>
      <c r="N171" s="6">
        <v>1.6419999999999999</v>
      </c>
      <c r="O171" s="6">
        <v>1.6419999999999999</v>
      </c>
      <c r="P171" s="6">
        <v>0</v>
      </c>
      <c r="Q171" s="4" t="s">
        <v>26</v>
      </c>
      <c r="R171" s="4">
        <v>0</v>
      </c>
      <c r="S171" s="6">
        <v>0</v>
      </c>
      <c r="T171" s="6">
        <v>23</v>
      </c>
      <c r="U171" s="6">
        <v>25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2545.94</v>
      </c>
      <c r="X171" s="6">
        <f>IF(ISERROR(VLOOKUP($U$171,'TAR FIN'!$A$1:$O$85,15,0)),0,VLOOKUP($U$171,'TAR FIN'!$A$1:$O$85,15,0))</f>
        <v>223.07</v>
      </c>
      <c r="Y171" s="6"/>
      <c r="Z171" s="6">
        <f ca="1">('TUSD BE'!$AM$11+'TUSD BF'!$AM$11+'TUSD CVA'!$AM$11)*1</f>
        <v>3597.960494353159</v>
      </c>
      <c r="AA171" s="6">
        <f>('TE BE'!$AB$5+'TE BF'!$AB$5+'TE CVA'!$AB$5)*1</f>
        <v>77.958364182443049</v>
      </c>
      <c r="AB171" s="6">
        <f>$K$171*$V$171</f>
        <v>0</v>
      </c>
      <c r="AC171" s="6">
        <f>$M$171*$W$171</f>
        <v>4180.4334799999997</v>
      </c>
      <c r="AD171" s="6">
        <f>$O$171*$X$171</f>
        <v>366.28093999999999</v>
      </c>
      <c r="AE171" s="6">
        <f>$K$171*$Y$171</f>
        <v>0</v>
      </c>
      <c r="AF171" s="6">
        <f ca="1">$M$171*$Z$171</f>
        <v>5907.8511317278872</v>
      </c>
      <c r="AG171" s="6">
        <f>$O$171*$AA$171</f>
        <v>128.00763398757147</v>
      </c>
    </row>
    <row r="172" spans="1:33" ht="11.25" customHeight="1" x14ac:dyDescent="0.3">
      <c r="A172" s="4" t="s">
        <v>21</v>
      </c>
      <c r="B172" s="4" t="s">
        <v>39</v>
      </c>
      <c r="C172" s="4" t="s">
        <v>40</v>
      </c>
      <c r="D172" s="4" t="s">
        <v>38</v>
      </c>
      <c r="E172" s="4" t="s">
        <v>25</v>
      </c>
      <c r="F172" s="4" t="s">
        <v>25</v>
      </c>
      <c r="G172" s="4" t="s">
        <v>25</v>
      </c>
      <c r="H172" s="4" t="s">
        <v>34</v>
      </c>
      <c r="I172" s="5">
        <v>44621</v>
      </c>
      <c r="J172" s="6">
        <v>0</v>
      </c>
      <c r="K172" s="6">
        <v>0</v>
      </c>
      <c r="L172" s="6">
        <v>2.2719999999999998</v>
      </c>
      <c r="M172" s="6">
        <v>2.2719999999999998</v>
      </c>
      <c r="N172" s="6">
        <v>2.2719999999999998</v>
      </c>
      <c r="O172" s="6">
        <v>2.2719999999999998</v>
      </c>
      <c r="P172" s="6">
        <v>0</v>
      </c>
      <c r="Q172" s="4" t="s">
        <v>26</v>
      </c>
      <c r="R172" s="4">
        <v>0</v>
      </c>
      <c r="S172" s="6">
        <v>0</v>
      </c>
      <c r="T172" s="6">
        <v>23</v>
      </c>
      <c r="U172" s="6">
        <v>25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2545.94</v>
      </c>
      <c r="X172" s="6">
        <f>IF(ISERROR(VLOOKUP($U$172,'TAR FIN'!$A$1:$O$85,15,0)),0,VLOOKUP($U$172,'TAR FIN'!$A$1:$O$85,15,0))</f>
        <v>223.07</v>
      </c>
      <c r="Y172" s="6"/>
      <c r="Z172" s="6">
        <f ca="1">('TUSD BE'!$AM$11+'TUSD BF'!$AM$11+'TUSD CVA'!$AM$11)*1</f>
        <v>3597.960494353159</v>
      </c>
      <c r="AA172" s="6">
        <f>('TE BE'!$AB$5+'TE BF'!$AB$5+'TE CVA'!$AB$5)*1</f>
        <v>77.958364182443049</v>
      </c>
      <c r="AB172" s="6">
        <f>$K$172*$V$172</f>
        <v>0</v>
      </c>
      <c r="AC172" s="6">
        <f>$M$172*$W$172</f>
        <v>5784.3756799999992</v>
      </c>
      <c r="AD172" s="6">
        <f>$O$172*$X$172</f>
        <v>506.81503999999995</v>
      </c>
      <c r="AE172" s="6">
        <f>$K$172*$Y$172</f>
        <v>0</v>
      </c>
      <c r="AF172" s="6">
        <f ca="1">$M$172*$Z$172</f>
        <v>8174.5662431703768</v>
      </c>
      <c r="AG172" s="6">
        <f>$O$172*$AA$172</f>
        <v>177.12140342251058</v>
      </c>
    </row>
    <row r="173" spans="1:33" ht="11.25" customHeight="1" x14ac:dyDescent="0.3">
      <c r="A173" s="4" t="s">
        <v>21</v>
      </c>
      <c r="B173" s="4" t="s">
        <v>39</v>
      </c>
      <c r="C173" s="4" t="s">
        <v>40</v>
      </c>
      <c r="D173" s="4" t="s">
        <v>38</v>
      </c>
      <c r="E173" s="4" t="s">
        <v>25</v>
      </c>
      <c r="F173" s="4" t="s">
        <v>25</v>
      </c>
      <c r="G173" s="4" t="s">
        <v>25</v>
      </c>
      <c r="H173" s="4" t="s">
        <v>34</v>
      </c>
      <c r="I173" s="5">
        <v>44652</v>
      </c>
      <c r="J173" s="6">
        <v>0</v>
      </c>
      <c r="K173" s="6">
        <v>0</v>
      </c>
      <c r="L173" s="6">
        <v>2.94</v>
      </c>
      <c r="M173" s="6">
        <v>2.94</v>
      </c>
      <c r="N173" s="6">
        <v>2.94</v>
      </c>
      <c r="O173" s="6">
        <v>2.94</v>
      </c>
      <c r="P173" s="6">
        <v>0</v>
      </c>
      <c r="Q173" s="4" t="s">
        <v>26</v>
      </c>
      <c r="R173" s="4">
        <v>0</v>
      </c>
      <c r="S173" s="6">
        <v>0</v>
      </c>
      <c r="T173" s="6">
        <v>23</v>
      </c>
      <c r="U173" s="6">
        <v>25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2545.94</v>
      </c>
      <c r="X173" s="6">
        <f>IF(ISERROR(VLOOKUP($U$173,'TAR FIN'!$A$1:$O$85,15,0)),0,VLOOKUP($U$173,'TAR FIN'!$A$1:$O$85,15,0))</f>
        <v>223.07</v>
      </c>
      <c r="Y173" s="6"/>
      <c r="Z173" s="6">
        <f ca="1">('TUSD BE'!$AM$11+'TUSD BF'!$AM$11+'TUSD CVA'!$AM$11)*1</f>
        <v>3597.960494353159</v>
      </c>
      <c r="AA173" s="6">
        <f>('TE BE'!$AB$5+'TE BF'!$AB$5+'TE CVA'!$AB$5)*1</f>
        <v>77.958364182443049</v>
      </c>
      <c r="AB173" s="6">
        <f>$K$173*$V$173</f>
        <v>0</v>
      </c>
      <c r="AC173" s="6">
        <f>$M$173*$W$173</f>
        <v>7485.0636000000004</v>
      </c>
      <c r="AD173" s="6">
        <f>$O$173*$X$173</f>
        <v>655.82579999999996</v>
      </c>
      <c r="AE173" s="6">
        <f>$K$173*$Y$173</f>
        <v>0</v>
      </c>
      <c r="AF173" s="6">
        <f ca="1">$M$173*$Z$173</f>
        <v>10578.003853398288</v>
      </c>
      <c r="AG173" s="6">
        <f>$O$173*$AA$173</f>
        <v>229.19759069638255</v>
      </c>
    </row>
    <row r="174" spans="1:33" ht="11.25" customHeight="1" x14ac:dyDescent="0.3">
      <c r="A174" s="4" t="s">
        <v>21</v>
      </c>
      <c r="B174" s="4" t="s">
        <v>39</v>
      </c>
      <c r="C174" s="4" t="s">
        <v>40</v>
      </c>
      <c r="D174" s="4" t="s">
        <v>38</v>
      </c>
      <c r="E174" s="4" t="s">
        <v>25</v>
      </c>
      <c r="F174" s="4" t="s">
        <v>25</v>
      </c>
      <c r="G174" s="4" t="s">
        <v>25</v>
      </c>
      <c r="H174" s="4" t="s">
        <v>34</v>
      </c>
      <c r="I174" s="5">
        <v>44682</v>
      </c>
      <c r="J174" s="6">
        <v>0</v>
      </c>
      <c r="K174" s="6">
        <v>0</v>
      </c>
      <c r="L174" s="6">
        <v>3.5430000000000001</v>
      </c>
      <c r="M174" s="6">
        <v>3.5430000000000001</v>
      </c>
      <c r="N174" s="6">
        <v>3.5430000000000001</v>
      </c>
      <c r="O174" s="6">
        <v>3.5430000000000001</v>
      </c>
      <c r="P174" s="6">
        <v>0</v>
      </c>
      <c r="Q174" s="4" t="s">
        <v>26</v>
      </c>
      <c r="R174" s="4">
        <v>0</v>
      </c>
      <c r="S174" s="6">
        <v>0</v>
      </c>
      <c r="T174" s="6">
        <v>23</v>
      </c>
      <c r="U174" s="6">
        <v>25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2545.94</v>
      </c>
      <c r="X174" s="6">
        <f>IF(ISERROR(VLOOKUP($U$174,'TAR FIN'!$A$1:$O$85,15,0)),0,VLOOKUP($U$174,'TAR FIN'!$A$1:$O$85,15,0))</f>
        <v>223.07</v>
      </c>
      <c r="Y174" s="6"/>
      <c r="Z174" s="6">
        <f ca="1">('TUSD BE'!$AM$11+'TUSD BF'!$AM$11+'TUSD CVA'!$AM$11)*1</f>
        <v>3597.960494353159</v>
      </c>
      <c r="AA174" s="6">
        <f>('TE BE'!$AB$5+'TE BF'!$AB$5+'TE CVA'!$AB$5)*1</f>
        <v>77.958364182443049</v>
      </c>
      <c r="AB174" s="6">
        <f>$K$174*$V$174</f>
        <v>0</v>
      </c>
      <c r="AC174" s="6">
        <f>$M$174*$W$174</f>
        <v>9020.2654199999997</v>
      </c>
      <c r="AD174" s="6">
        <f>$O$174*$X$174</f>
        <v>790.33700999999996</v>
      </c>
      <c r="AE174" s="6">
        <f>$K$174*$Y$174</f>
        <v>0</v>
      </c>
      <c r="AF174" s="6">
        <f ca="1">$M$174*$Z$174</f>
        <v>12747.574031493243</v>
      </c>
      <c r="AG174" s="6">
        <f>$O$174*$AA$174</f>
        <v>276.20648429839571</v>
      </c>
    </row>
    <row r="175" spans="1:33" ht="11.25" customHeight="1" x14ac:dyDescent="0.3">
      <c r="A175" s="4" t="s">
        <v>21</v>
      </c>
      <c r="B175" s="4" t="s">
        <v>39</v>
      </c>
      <c r="C175" s="4" t="s">
        <v>40</v>
      </c>
      <c r="D175" s="4" t="s">
        <v>38</v>
      </c>
      <c r="E175" s="4" t="s">
        <v>25</v>
      </c>
      <c r="F175" s="4" t="s">
        <v>25</v>
      </c>
      <c r="G175" s="4" t="s">
        <v>25</v>
      </c>
      <c r="H175" s="4" t="s">
        <v>34</v>
      </c>
      <c r="I175" s="5">
        <v>44713</v>
      </c>
      <c r="J175" s="6">
        <v>0</v>
      </c>
      <c r="K175" s="6">
        <v>0</v>
      </c>
      <c r="L175" s="6">
        <v>3.0579999999999998</v>
      </c>
      <c r="M175" s="6">
        <v>3.0579999999999998</v>
      </c>
      <c r="N175" s="6">
        <v>3.0579999999999998</v>
      </c>
      <c r="O175" s="6">
        <v>3.0579999999999998</v>
      </c>
      <c r="P175" s="6">
        <v>0</v>
      </c>
      <c r="Q175" s="4" t="s">
        <v>26</v>
      </c>
      <c r="R175" s="4">
        <v>0</v>
      </c>
      <c r="S175" s="6">
        <v>0</v>
      </c>
      <c r="T175" s="6">
        <v>23</v>
      </c>
      <c r="U175" s="6">
        <v>25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2545.94</v>
      </c>
      <c r="X175" s="6">
        <f>IF(ISERROR(VLOOKUP($U$175,'TAR FIN'!$A$1:$O$85,15,0)),0,VLOOKUP($U$175,'TAR FIN'!$A$1:$O$85,15,0))</f>
        <v>223.07</v>
      </c>
      <c r="Y175" s="6"/>
      <c r="Z175" s="6">
        <f ca="1">('TUSD BE'!$AM$11+'TUSD BF'!$AM$11+'TUSD CVA'!$AM$11)*1</f>
        <v>3597.960494353159</v>
      </c>
      <c r="AA175" s="6">
        <f>('TE BE'!$AB$5+'TE BF'!$AB$5+'TE CVA'!$AB$5)*1</f>
        <v>77.958364182443049</v>
      </c>
      <c r="AB175" s="6">
        <f>$K$175*$V$175</f>
        <v>0</v>
      </c>
      <c r="AC175" s="6">
        <f>$M$175*$W$175</f>
        <v>7785.48452</v>
      </c>
      <c r="AD175" s="6">
        <f>$O$175*$X$175</f>
        <v>682.14805999999999</v>
      </c>
      <c r="AE175" s="6">
        <f>$K$175*$Y$175</f>
        <v>0</v>
      </c>
      <c r="AF175" s="6">
        <f ca="1">$M$175*$Z$175</f>
        <v>11002.563191731959</v>
      </c>
      <c r="AG175" s="6">
        <f>$O$175*$AA$175</f>
        <v>238.39667766991084</v>
      </c>
    </row>
    <row r="176" spans="1:33" ht="11.25" customHeight="1" x14ac:dyDescent="0.3">
      <c r="A176" s="4" t="s">
        <v>21</v>
      </c>
      <c r="B176" s="4" t="s">
        <v>39</v>
      </c>
      <c r="C176" s="4" t="s">
        <v>40</v>
      </c>
      <c r="D176" s="4" t="s">
        <v>38</v>
      </c>
      <c r="E176" s="4" t="s">
        <v>25</v>
      </c>
      <c r="F176" s="4" t="s">
        <v>25</v>
      </c>
      <c r="G176" s="4" t="s">
        <v>25</v>
      </c>
      <c r="H176" s="4" t="s">
        <v>34</v>
      </c>
      <c r="I176" s="5">
        <v>44743</v>
      </c>
      <c r="J176" s="6">
        <v>0</v>
      </c>
      <c r="K176" s="6">
        <v>0</v>
      </c>
      <c r="L176" s="6">
        <v>4.4470000000000001</v>
      </c>
      <c r="M176" s="6">
        <v>4.4470000000000001</v>
      </c>
      <c r="N176" s="6">
        <v>4.4470000000000001</v>
      </c>
      <c r="O176" s="6">
        <v>4.4470000000000001</v>
      </c>
      <c r="P176" s="6">
        <v>0</v>
      </c>
      <c r="Q176" s="4" t="s">
        <v>26</v>
      </c>
      <c r="R176" s="4">
        <v>0</v>
      </c>
      <c r="S176" s="6">
        <v>0</v>
      </c>
      <c r="T176" s="6">
        <v>23</v>
      </c>
      <c r="U176" s="6">
        <v>25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2545.94</v>
      </c>
      <c r="X176" s="6">
        <f>IF(ISERROR(VLOOKUP($U$176,'TAR FIN'!$A$1:$O$85,15,0)),0,VLOOKUP($U$176,'TAR FIN'!$A$1:$O$85,15,0))</f>
        <v>223.07</v>
      </c>
      <c r="Y176" s="6"/>
      <c r="Z176" s="6">
        <f ca="1">('TUSD BE'!$AM$11+'TUSD BF'!$AM$11+'TUSD CVA'!$AM$11)*1</f>
        <v>3597.960494353159</v>
      </c>
      <c r="AA176" s="6">
        <f>('TE BE'!$AB$5+'TE BF'!$AB$5+'TE CVA'!$AB$5)*1</f>
        <v>77.958364182443049</v>
      </c>
      <c r="AB176" s="6">
        <f>$K$176*$V$176</f>
        <v>0</v>
      </c>
      <c r="AC176" s="6">
        <f>$M$176*$W$176</f>
        <v>11321.795180000001</v>
      </c>
      <c r="AD176" s="6">
        <f>$O$176*$X$176</f>
        <v>991.99229000000003</v>
      </c>
      <c r="AE176" s="6">
        <f>$K$176*$Y$176</f>
        <v>0</v>
      </c>
      <c r="AF176" s="6">
        <f ca="1">$M$176*$Z$176</f>
        <v>16000.130318388497</v>
      </c>
      <c r="AG176" s="6">
        <f>$O$176*$AA$176</f>
        <v>346.68084551932424</v>
      </c>
    </row>
    <row r="177" spans="1:33" ht="11.25" customHeight="1" x14ac:dyDescent="0.3">
      <c r="A177" s="4" t="s">
        <v>21</v>
      </c>
      <c r="B177" s="4" t="s">
        <v>39</v>
      </c>
      <c r="C177" s="4" t="s">
        <v>40</v>
      </c>
      <c r="D177" s="4" t="s">
        <v>38</v>
      </c>
      <c r="E177" s="4" t="s">
        <v>25</v>
      </c>
      <c r="F177" s="4" t="s">
        <v>25</v>
      </c>
      <c r="G177" s="4" t="s">
        <v>25</v>
      </c>
      <c r="H177" s="4" t="s">
        <v>34</v>
      </c>
      <c r="I177" s="5">
        <v>44774</v>
      </c>
      <c r="J177" s="6">
        <v>0</v>
      </c>
      <c r="K177" s="6">
        <v>0</v>
      </c>
      <c r="L177" s="6">
        <v>3.3540000000000001</v>
      </c>
      <c r="M177" s="6">
        <v>3.3540000000000001</v>
      </c>
      <c r="N177" s="6">
        <v>3.3540000000000001</v>
      </c>
      <c r="O177" s="6">
        <v>3.3540000000000001</v>
      </c>
      <c r="P177" s="6">
        <v>0</v>
      </c>
      <c r="Q177" s="4" t="s">
        <v>26</v>
      </c>
      <c r="R177" s="4">
        <v>0</v>
      </c>
      <c r="S177" s="6">
        <v>0</v>
      </c>
      <c r="T177" s="6">
        <v>23</v>
      </c>
      <c r="U177" s="6">
        <v>25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2545.94</v>
      </c>
      <c r="X177" s="6">
        <f>IF(ISERROR(VLOOKUP($U$177,'TAR FIN'!$A$1:$O$85,15,0)),0,VLOOKUP($U$177,'TAR FIN'!$A$1:$O$85,15,0))</f>
        <v>223.07</v>
      </c>
      <c r="Y177" s="6"/>
      <c r="Z177" s="6">
        <f ca="1">('TUSD BE'!$AM$11+'TUSD BF'!$AM$11+'TUSD CVA'!$AM$11)*1</f>
        <v>3597.960494353159</v>
      </c>
      <c r="AA177" s="6">
        <f>('TE BE'!$AB$5+'TE BF'!$AB$5+'TE CVA'!$AB$5)*1</f>
        <v>77.958364182443049</v>
      </c>
      <c r="AB177" s="6">
        <f>$K$177*$V$177</f>
        <v>0</v>
      </c>
      <c r="AC177" s="6">
        <f>$M$177*$W$177</f>
        <v>8539.0827600000011</v>
      </c>
      <c r="AD177" s="6">
        <f>$O$177*$X$177</f>
        <v>748.17678000000001</v>
      </c>
      <c r="AE177" s="6">
        <f>$K$177*$Y$177</f>
        <v>0</v>
      </c>
      <c r="AF177" s="6">
        <f ca="1">$M$177*$Z$177</f>
        <v>12067.559498060496</v>
      </c>
      <c r="AG177" s="6">
        <f>$O$177*$AA$177</f>
        <v>261.47235346791399</v>
      </c>
    </row>
    <row r="178" spans="1:33" ht="11.25" customHeight="1" x14ac:dyDescent="0.3">
      <c r="A178" s="4" t="s">
        <v>28</v>
      </c>
      <c r="B178" s="4" t="s">
        <v>39</v>
      </c>
      <c r="C178" s="4" t="s">
        <v>40</v>
      </c>
      <c r="D178" s="4" t="s">
        <v>38</v>
      </c>
      <c r="E178" s="4" t="s">
        <v>25</v>
      </c>
      <c r="F178" s="4" t="s">
        <v>25</v>
      </c>
      <c r="G178" s="4" t="s">
        <v>25</v>
      </c>
      <c r="H178" s="4" t="s">
        <v>34</v>
      </c>
      <c r="I178" s="5">
        <v>44774</v>
      </c>
      <c r="J178" s="6">
        <v>0</v>
      </c>
      <c r="K178" s="6">
        <v>0</v>
      </c>
      <c r="L178" s="6">
        <v>0.98399999999999999</v>
      </c>
      <c r="M178" s="6">
        <v>0.98399999999999999</v>
      </c>
      <c r="N178" s="6">
        <v>0.98399999999999999</v>
      </c>
      <c r="O178" s="6">
        <v>0.98399999999999999</v>
      </c>
      <c r="P178" s="6">
        <v>0</v>
      </c>
      <c r="Q178" s="4" t="s">
        <v>26</v>
      </c>
      <c r="R178" s="4">
        <v>0</v>
      </c>
      <c r="S178" s="6">
        <v>0</v>
      </c>
      <c r="T178" s="6">
        <v>23</v>
      </c>
      <c r="U178" s="6">
        <v>25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2545.94</v>
      </c>
      <c r="X178" s="6">
        <f>IF(ISERROR(VLOOKUP($U$178,'TAR FIN'!$A$1:$O$85,15,0)),0,VLOOKUP($U$178,'TAR FIN'!$A$1:$O$85,15,0))</f>
        <v>223.07</v>
      </c>
      <c r="Y178" s="6"/>
      <c r="Z178" s="6">
        <f ca="1">('TUSD BE'!$AM$11+'TUSD BF'!$AM$11+'TUSD CVA'!$AM$11)*1</f>
        <v>3597.960494353159</v>
      </c>
      <c r="AA178" s="6">
        <f>('TE BE'!$AB$5+'TE BF'!$AB$5+'TE CVA'!$AB$5)*1</f>
        <v>77.958364182443049</v>
      </c>
      <c r="AB178" s="6">
        <f>$K$178*$V$178</f>
        <v>0</v>
      </c>
      <c r="AC178" s="6">
        <f>$M$178*$W$178</f>
        <v>2505.20496</v>
      </c>
      <c r="AD178" s="6">
        <f>$O$178*$X$178</f>
        <v>219.50088</v>
      </c>
      <c r="AE178" s="6">
        <f>$K$178*$Y$178</f>
        <v>0</v>
      </c>
      <c r="AF178" s="6">
        <f ca="1">$M$178*$Z$178</f>
        <v>3540.3931264435082</v>
      </c>
      <c r="AG178" s="6">
        <f>$O$178*$AA$178</f>
        <v>76.71103035552396</v>
      </c>
    </row>
    <row r="179" spans="1:33" ht="11.25" customHeight="1" x14ac:dyDescent="0.3">
      <c r="A179" s="4" t="s">
        <v>21</v>
      </c>
      <c r="B179" s="4" t="s">
        <v>39</v>
      </c>
      <c r="C179" s="4" t="s">
        <v>40</v>
      </c>
      <c r="D179" s="4" t="s">
        <v>43</v>
      </c>
      <c r="E179" s="4" t="s">
        <v>25</v>
      </c>
      <c r="F179" s="4" t="s">
        <v>25</v>
      </c>
      <c r="G179" s="4" t="s">
        <v>25</v>
      </c>
      <c r="H179" s="4" t="s">
        <v>35</v>
      </c>
      <c r="I179" s="5">
        <v>44440</v>
      </c>
      <c r="J179" s="6">
        <v>0</v>
      </c>
      <c r="K179" s="52">
        <v>0</v>
      </c>
      <c r="L179" s="6">
        <v>1.2929999999999999</v>
      </c>
      <c r="M179" s="52">
        <v>1.2929999999999999</v>
      </c>
      <c r="N179" s="6">
        <v>1.2929999999999999</v>
      </c>
      <c r="O179" s="52">
        <v>1.2929999999999999</v>
      </c>
      <c r="P179" s="6">
        <v>0</v>
      </c>
      <c r="Q179" s="4" t="s">
        <v>26</v>
      </c>
      <c r="R179" s="4">
        <v>0</v>
      </c>
      <c r="S179" s="6">
        <v>0</v>
      </c>
      <c r="T179" s="6">
        <v>6</v>
      </c>
      <c r="U179" s="6">
        <v>50</v>
      </c>
      <c r="V179" s="52">
        <f>IF(ISERROR(VLOOKUP($S$179,'TAR FIN'!$A$1:$O$85,15,0)),0,VLOOKUP($S$179,'TAR FIN'!$A$1:$O$85,15,0))</f>
        <v>0</v>
      </c>
      <c r="W179" s="52">
        <f>IF(ISERROR(VLOOKUP($T$179,'TAR FIN'!$A$1:$O$85,15,0)),0,VLOOKUP($T$179,'TAR FIN'!$A$1:$O$85,15,0))*(1-0.04)</f>
        <v>64.790399999999991</v>
      </c>
      <c r="X179" s="52">
        <f>IF(ISERROR(VLOOKUP($U$179,'TAR FIN'!$A$1:$O$85,15,0)),0,VLOOKUP($U$179,'TAR FIN'!$A$1:$O$85,15,0))*(1-0.04)</f>
        <v>214.1472</v>
      </c>
      <c r="Y179" s="52"/>
      <c r="Z179" s="52">
        <f ca="1">('TUSD BE'!$AM$12+'TUSD BF'!$AM$12+'TUSD CVA'!$AM$12)*1*(1-0.02)</f>
        <v>89.59297517927584</v>
      </c>
      <c r="AA179" s="52">
        <f>('TE BE'!$AB$6+'TE BF'!$AB$6+'TE CVA'!$AB$6)*1*(1-0.02)</f>
        <v>76.399196898794187</v>
      </c>
      <c r="AB179" s="6">
        <f>$K$179*$V$179</f>
        <v>0</v>
      </c>
      <c r="AC179" s="6">
        <f>$M$179*$W$179</f>
        <v>83.773987199999979</v>
      </c>
      <c r="AD179" s="6">
        <f>$O$179*$X$179</f>
        <v>276.89232959999998</v>
      </c>
      <c r="AE179" s="6">
        <f>$K$179*$Y$179</f>
        <v>0</v>
      </c>
      <c r="AF179" s="6">
        <f ca="1">$M$179*$Z$179</f>
        <v>115.84371690680365</v>
      </c>
      <c r="AG179" s="6">
        <f>$O$179*$AA$179</f>
        <v>98.784161590140883</v>
      </c>
    </row>
    <row r="180" spans="1:33" ht="11.25" customHeight="1" x14ac:dyDescent="0.3">
      <c r="A180" s="4" t="s">
        <v>21</v>
      </c>
      <c r="B180" s="4" t="s">
        <v>39</v>
      </c>
      <c r="C180" s="4" t="s">
        <v>40</v>
      </c>
      <c r="D180" s="4" t="s">
        <v>43</v>
      </c>
      <c r="E180" s="4" t="s">
        <v>25</v>
      </c>
      <c r="F180" s="4" t="s">
        <v>25</v>
      </c>
      <c r="G180" s="4" t="s">
        <v>25</v>
      </c>
      <c r="H180" s="4" t="s">
        <v>35</v>
      </c>
      <c r="I180" s="5">
        <v>44470</v>
      </c>
      <c r="J180" s="6">
        <v>0</v>
      </c>
      <c r="K180" s="52">
        <v>0</v>
      </c>
      <c r="L180" s="6">
        <v>1.663</v>
      </c>
      <c r="M180" s="52">
        <v>1.663</v>
      </c>
      <c r="N180" s="6">
        <v>1.663</v>
      </c>
      <c r="O180" s="52">
        <v>1.663</v>
      </c>
      <c r="P180" s="6">
        <v>0</v>
      </c>
      <c r="Q180" s="4" t="s">
        <v>26</v>
      </c>
      <c r="R180" s="4">
        <v>0</v>
      </c>
      <c r="S180" s="6">
        <v>0</v>
      </c>
      <c r="T180" s="6">
        <v>6</v>
      </c>
      <c r="U180" s="6">
        <v>50</v>
      </c>
      <c r="V180" s="52">
        <f>IF(ISERROR(VLOOKUP($S$180,'TAR FIN'!$A$1:$O$85,15,0)),0,VLOOKUP($S$180,'TAR FIN'!$A$1:$O$85,15,0))</f>
        <v>0</v>
      </c>
      <c r="W180" s="52">
        <f>IF(ISERROR(VLOOKUP($T$180,'TAR FIN'!$A$1:$O$85,15,0)),0,VLOOKUP($T$180,'TAR FIN'!$A$1:$O$85,15,0))*(1-0.04)</f>
        <v>64.790399999999991</v>
      </c>
      <c r="X180" s="52">
        <f>IF(ISERROR(VLOOKUP($U$180,'TAR FIN'!$A$1:$O$85,15,0)),0,VLOOKUP($U$180,'TAR FIN'!$A$1:$O$85,15,0))*(1-0.04)</f>
        <v>214.1472</v>
      </c>
      <c r="Y180" s="52"/>
      <c r="Z180" s="52">
        <f ca="1">('TUSD BE'!$AM$12+'TUSD BF'!$AM$12+'TUSD CVA'!$AM$12)*1*(1-0.02)</f>
        <v>89.59297517927584</v>
      </c>
      <c r="AA180" s="52">
        <f>('TE BE'!$AB$6+'TE BF'!$AB$6+'TE CVA'!$AB$6)*1*(1-0.02)</f>
        <v>76.399196898794187</v>
      </c>
      <c r="AB180" s="6">
        <f>$K$180*$V$180</f>
        <v>0</v>
      </c>
      <c r="AC180" s="6">
        <f>$M$180*$W$180</f>
        <v>107.74643519999999</v>
      </c>
      <c r="AD180" s="6">
        <f>$O$180*$X$180</f>
        <v>356.12679359999998</v>
      </c>
      <c r="AE180" s="6">
        <f>$K$180*$Y$180</f>
        <v>0</v>
      </c>
      <c r="AF180" s="6">
        <f ca="1">$M$180*$Z$180</f>
        <v>148.99311772313573</v>
      </c>
      <c r="AG180" s="6">
        <f>$O$180*$AA$180</f>
        <v>127.05186444269474</v>
      </c>
    </row>
    <row r="181" spans="1:33" ht="11.25" customHeight="1" x14ac:dyDescent="0.3">
      <c r="A181" s="4" t="s">
        <v>21</v>
      </c>
      <c r="B181" s="4" t="s">
        <v>39</v>
      </c>
      <c r="C181" s="4" t="s">
        <v>40</v>
      </c>
      <c r="D181" s="4" t="s">
        <v>43</v>
      </c>
      <c r="E181" s="4" t="s">
        <v>25</v>
      </c>
      <c r="F181" s="4" t="s">
        <v>25</v>
      </c>
      <c r="G181" s="4" t="s">
        <v>25</v>
      </c>
      <c r="H181" s="4" t="s">
        <v>35</v>
      </c>
      <c r="I181" s="5">
        <v>44501</v>
      </c>
      <c r="J181" s="6">
        <v>0</v>
      </c>
      <c r="K181" s="52">
        <v>0</v>
      </c>
      <c r="L181" s="6">
        <v>2.8610000000000002</v>
      </c>
      <c r="M181" s="52">
        <v>2.8610000000000002</v>
      </c>
      <c r="N181" s="6">
        <v>2.8610000000000002</v>
      </c>
      <c r="O181" s="52">
        <v>2.8610000000000002</v>
      </c>
      <c r="P181" s="6">
        <v>0</v>
      </c>
      <c r="Q181" s="4" t="s">
        <v>26</v>
      </c>
      <c r="R181" s="4">
        <v>0</v>
      </c>
      <c r="S181" s="6">
        <v>0</v>
      </c>
      <c r="T181" s="6">
        <v>6</v>
      </c>
      <c r="U181" s="6">
        <v>50</v>
      </c>
      <c r="V181" s="52">
        <f>IF(ISERROR(VLOOKUP($S$181,'TAR FIN'!$A$1:$O$85,15,0)),0,VLOOKUP($S$181,'TAR FIN'!$A$1:$O$85,15,0))</f>
        <v>0</v>
      </c>
      <c r="W181" s="52">
        <f>IF(ISERROR(VLOOKUP($T$181,'TAR FIN'!$A$1:$O$85,15,0)),0,VLOOKUP($T$181,'TAR FIN'!$A$1:$O$85,15,0))*(1-0.04)</f>
        <v>64.790399999999991</v>
      </c>
      <c r="X181" s="52">
        <f>IF(ISERROR(VLOOKUP($U$181,'TAR FIN'!$A$1:$O$85,15,0)),0,VLOOKUP($U$181,'TAR FIN'!$A$1:$O$85,15,0))*(1-0.04)</f>
        <v>214.1472</v>
      </c>
      <c r="Y181" s="52"/>
      <c r="Z181" s="52">
        <f ca="1">('TUSD BE'!$AM$12+'TUSD BF'!$AM$12+'TUSD CVA'!$AM$12)*1*(1-0.02)</f>
        <v>89.59297517927584</v>
      </c>
      <c r="AA181" s="52">
        <f>('TE BE'!$AB$6+'TE BF'!$AB$6+'TE CVA'!$AB$6)*1*(1-0.02)</f>
        <v>76.399196898794187</v>
      </c>
      <c r="AB181" s="6">
        <f>$K$181*$V$181</f>
        <v>0</v>
      </c>
      <c r="AC181" s="6">
        <f>$M$181*$W$181</f>
        <v>185.36533439999999</v>
      </c>
      <c r="AD181" s="6">
        <f>$O$181*$X$181</f>
        <v>612.67513919999999</v>
      </c>
      <c r="AE181" s="6">
        <f>$K$181*$Y$181</f>
        <v>0</v>
      </c>
      <c r="AF181" s="6">
        <f ca="1">$M$181*$Z$181</f>
        <v>256.32550198790818</v>
      </c>
      <c r="AG181" s="6">
        <f>$O$181*$AA$181</f>
        <v>218.57810232745018</v>
      </c>
    </row>
    <row r="182" spans="1:33" ht="11.25" customHeight="1" x14ac:dyDescent="0.3">
      <c r="A182" s="4" t="s">
        <v>21</v>
      </c>
      <c r="B182" s="4" t="s">
        <v>39</v>
      </c>
      <c r="C182" s="4" t="s">
        <v>40</v>
      </c>
      <c r="D182" s="4" t="s">
        <v>43</v>
      </c>
      <c r="E182" s="4" t="s">
        <v>25</v>
      </c>
      <c r="F182" s="4" t="s">
        <v>25</v>
      </c>
      <c r="G182" s="4" t="s">
        <v>25</v>
      </c>
      <c r="H182" s="4" t="s">
        <v>35</v>
      </c>
      <c r="I182" s="5">
        <v>44531</v>
      </c>
      <c r="J182" s="6">
        <v>0</v>
      </c>
      <c r="K182" s="52">
        <v>0</v>
      </c>
      <c r="L182" s="6">
        <v>1.603</v>
      </c>
      <c r="M182" s="52">
        <v>1.603</v>
      </c>
      <c r="N182" s="6">
        <v>1.603</v>
      </c>
      <c r="O182" s="52">
        <v>1.603</v>
      </c>
      <c r="P182" s="6">
        <v>0</v>
      </c>
      <c r="Q182" s="4" t="s">
        <v>26</v>
      </c>
      <c r="R182" s="4">
        <v>0</v>
      </c>
      <c r="S182" s="6">
        <v>0</v>
      </c>
      <c r="T182" s="6">
        <v>6</v>
      </c>
      <c r="U182" s="6">
        <v>50</v>
      </c>
      <c r="V182" s="52">
        <f>IF(ISERROR(VLOOKUP($S$182,'TAR FIN'!$A$1:$O$85,15,0)),0,VLOOKUP($S$182,'TAR FIN'!$A$1:$O$85,15,0))</f>
        <v>0</v>
      </c>
      <c r="W182" s="52">
        <f>IF(ISERROR(VLOOKUP($T$182,'TAR FIN'!$A$1:$O$85,15,0)),0,VLOOKUP($T$182,'TAR FIN'!$A$1:$O$85,15,0))*(1-0.04)</f>
        <v>64.790399999999991</v>
      </c>
      <c r="X182" s="52">
        <f>IF(ISERROR(VLOOKUP($U$182,'TAR FIN'!$A$1:$O$85,15,0)),0,VLOOKUP($U$182,'TAR FIN'!$A$1:$O$85,15,0))*(1-0.04)</f>
        <v>214.1472</v>
      </c>
      <c r="Y182" s="52"/>
      <c r="Z182" s="52">
        <f ca="1">('TUSD BE'!$AM$12+'TUSD BF'!$AM$12+'TUSD CVA'!$AM$12)*1*(1-0.02)</f>
        <v>89.59297517927584</v>
      </c>
      <c r="AA182" s="52">
        <f>('TE BE'!$AB$6+'TE BF'!$AB$6+'TE CVA'!$AB$6)*1*(1-0.02)</f>
        <v>76.399196898794187</v>
      </c>
      <c r="AB182" s="6">
        <f>$K$182*$V$182</f>
        <v>0</v>
      </c>
      <c r="AC182" s="6">
        <f>$M$182*$W$182</f>
        <v>103.85901119999998</v>
      </c>
      <c r="AD182" s="6">
        <f>$O$182*$X$182</f>
        <v>343.27796159999997</v>
      </c>
      <c r="AE182" s="6">
        <f>$K$182*$Y$182</f>
        <v>0</v>
      </c>
      <c r="AF182" s="6">
        <f ca="1">$M$182*$Z$182</f>
        <v>143.61753921237917</v>
      </c>
      <c r="AG182" s="6">
        <f>$O$182*$AA$182</f>
        <v>122.46791262876708</v>
      </c>
    </row>
    <row r="183" spans="1:33" ht="11.25" customHeight="1" x14ac:dyDescent="0.3">
      <c r="A183" s="4" t="s">
        <v>21</v>
      </c>
      <c r="B183" s="4" t="s">
        <v>39</v>
      </c>
      <c r="C183" s="4" t="s">
        <v>40</v>
      </c>
      <c r="D183" s="4" t="s">
        <v>43</v>
      </c>
      <c r="E183" s="4" t="s">
        <v>25</v>
      </c>
      <c r="F183" s="4" t="s">
        <v>25</v>
      </c>
      <c r="G183" s="4" t="s">
        <v>25</v>
      </c>
      <c r="H183" s="4" t="s">
        <v>35</v>
      </c>
      <c r="I183" s="5">
        <v>44562</v>
      </c>
      <c r="J183" s="6">
        <v>0</v>
      </c>
      <c r="K183" s="52">
        <v>0</v>
      </c>
      <c r="L183" s="6">
        <v>3.4369999999999998</v>
      </c>
      <c r="M183" s="52">
        <v>3.4369999999999998</v>
      </c>
      <c r="N183" s="6">
        <v>3.4369999999999998</v>
      </c>
      <c r="O183" s="52">
        <v>3.4369999999999998</v>
      </c>
      <c r="P183" s="6">
        <v>0</v>
      </c>
      <c r="Q183" s="4" t="s">
        <v>26</v>
      </c>
      <c r="R183" s="4">
        <v>0</v>
      </c>
      <c r="S183" s="6">
        <v>0</v>
      </c>
      <c r="T183" s="6">
        <v>6</v>
      </c>
      <c r="U183" s="6">
        <v>50</v>
      </c>
      <c r="V183" s="52">
        <f>IF(ISERROR(VLOOKUP($S$183,'TAR FIN'!$A$1:$O$85,15,0)),0,VLOOKUP($S$183,'TAR FIN'!$A$1:$O$85,15,0))</f>
        <v>0</v>
      </c>
      <c r="W183" s="52">
        <f>IF(ISERROR(VLOOKUP($T$183,'TAR FIN'!$A$1:$O$85,15,0)),0,VLOOKUP($T$183,'TAR FIN'!$A$1:$O$85,15,0))*(1-0.04)</f>
        <v>64.790399999999991</v>
      </c>
      <c r="X183" s="52">
        <f>IF(ISERROR(VLOOKUP($U$183,'TAR FIN'!$A$1:$O$85,15,0)),0,VLOOKUP($U$183,'TAR FIN'!$A$1:$O$85,15,0))*(1-0.04)</f>
        <v>214.1472</v>
      </c>
      <c r="Y183" s="52"/>
      <c r="Z183" s="52">
        <f ca="1">('TUSD BE'!$AM$12+'TUSD BF'!$AM$12+'TUSD CVA'!$AM$12)*1*(1-0.02)</f>
        <v>89.59297517927584</v>
      </c>
      <c r="AA183" s="52">
        <f>('TE BE'!$AB$6+'TE BF'!$AB$6+'TE CVA'!$AB$6)*1*(1-0.02)</f>
        <v>76.399196898794187</v>
      </c>
      <c r="AB183" s="6">
        <f>$K$183*$V$183</f>
        <v>0</v>
      </c>
      <c r="AC183" s="6">
        <f>$M$183*$W$183</f>
        <v>222.68460479999996</v>
      </c>
      <c r="AD183" s="6">
        <f>$O$183*$X$183</f>
        <v>736.02392639999994</v>
      </c>
      <c r="AE183" s="6">
        <f>$K$183*$Y$183</f>
        <v>0</v>
      </c>
      <c r="AF183" s="6">
        <f ca="1">$M$183*$Z$183</f>
        <v>307.93105569117103</v>
      </c>
      <c r="AG183" s="6">
        <f>$O$183*$AA$183</f>
        <v>262.58403974115561</v>
      </c>
    </row>
    <row r="184" spans="1:33" ht="11.25" customHeight="1" x14ac:dyDescent="0.3">
      <c r="A184" s="4" t="s">
        <v>21</v>
      </c>
      <c r="B184" s="4" t="s">
        <v>39</v>
      </c>
      <c r="C184" s="4" t="s">
        <v>40</v>
      </c>
      <c r="D184" s="4" t="s">
        <v>43</v>
      </c>
      <c r="E184" s="4" t="s">
        <v>25</v>
      </c>
      <c r="F184" s="4" t="s">
        <v>25</v>
      </c>
      <c r="G184" s="4" t="s">
        <v>25</v>
      </c>
      <c r="H184" s="4" t="s">
        <v>35</v>
      </c>
      <c r="I184" s="5">
        <v>44593</v>
      </c>
      <c r="J184" s="6">
        <v>0</v>
      </c>
      <c r="K184" s="52">
        <v>0</v>
      </c>
      <c r="L184" s="6">
        <v>29.199000000000002</v>
      </c>
      <c r="M184" s="52">
        <v>29.199000000000002</v>
      </c>
      <c r="N184" s="6">
        <v>29.199000000000002</v>
      </c>
      <c r="O184" s="52">
        <v>29.199000000000002</v>
      </c>
      <c r="P184" s="6">
        <v>0</v>
      </c>
      <c r="Q184" s="4" t="s">
        <v>26</v>
      </c>
      <c r="R184" s="4">
        <v>0</v>
      </c>
      <c r="S184" s="6">
        <v>0</v>
      </c>
      <c r="T184" s="6">
        <v>6</v>
      </c>
      <c r="U184" s="6">
        <v>50</v>
      </c>
      <c r="V184" s="52">
        <f>IF(ISERROR(VLOOKUP($S$184,'TAR FIN'!$A$1:$O$85,15,0)),0,VLOOKUP($S$184,'TAR FIN'!$A$1:$O$85,15,0))</f>
        <v>0</v>
      </c>
      <c r="W184" s="52">
        <f>IF(ISERROR(VLOOKUP($T$184,'TAR FIN'!$A$1:$O$85,15,0)),0,VLOOKUP($T$184,'TAR FIN'!$A$1:$O$85,15,0))*(1-0.04)</f>
        <v>64.790399999999991</v>
      </c>
      <c r="X184" s="52">
        <f>IF(ISERROR(VLOOKUP($U$184,'TAR FIN'!$A$1:$O$85,15,0)),0,VLOOKUP($U$184,'TAR FIN'!$A$1:$O$85,15,0))*(1-0.04)</f>
        <v>214.1472</v>
      </c>
      <c r="Y184" s="52"/>
      <c r="Z184" s="52">
        <f ca="1">('TUSD BE'!$AM$12+'TUSD BF'!$AM$12+'TUSD CVA'!$AM$12)*1*(1-0.02)</f>
        <v>89.59297517927584</v>
      </c>
      <c r="AA184" s="52">
        <f>('TE BE'!$AB$6+'TE BF'!$AB$6+'TE CVA'!$AB$6)*1*(1-0.02)</f>
        <v>76.399196898794187</v>
      </c>
      <c r="AB184" s="6">
        <f>$K$184*$V$184</f>
        <v>0</v>
      </c>
      <c r="AC184" s="6">
        <f>$M$184*$W$184</f>
        <v>1891.8148895999998</v>
      </c>
      <c r="AD184" s="6">
        <f>$O$184*$X$184</f>
        <v>6252.8840928</v>
      </c>
      <c r="AE184" s="6">
        <f>$K$184*$Y$184</f>
        <v>0</v>
      </c>
      <c r="AF184" s="6">
        <f ca="1">$M$184*$Z$184</f>
        <v>2616.0252822596754</v>
      </c>
      <c r="AG184" s="6">
        <f>$O$184*$AA$184</f>
        <v>2230.7801502478915</v>
      </c>
    </row>
    <row r="185" spans="1:33" ht="11.25" customHeight="1" x14ac:dyDescent="0.3">
      <c r="A185" s="4" t="s">
        <v>21</v>
      </c>
      <c r="B185" s="4" t="s">
        <v>39</v>
      </c>
      <c r="C185" s="4" t="s">
        <v>40</v>
      </c>
      <c r="D185" s="4" t="s">
        <v>43</v>
      </c>
      <c r="E185" s="4" t="s">
        <v>25</v>
      </c>
      <c r="F185" s="4" t="s">
        <v>25</v>
      </c>
      <c r="G185" s="4" t="s">
        <v>25</v>
      </c>
      <c r="H185" s="4" t="s">
        <v>35</v>
      </c>
      <c r="I185" s="5">
        <v>44621</v>
      </c>
      <c r="J185" s="6">
        <v>0</v>
      </c>
      <c r="K185" s="52">
        <v>0</v>
      </c>
      <c r="L185" s="6">
        <v>53.161000000000001</v>
      </c>
      <c r="M185" s="52">
        <v>53.161000000000001</v>
      </c>
      <c r="N185" s="6">
        <v>53.161000000000001</v>
      </c>
      <c r="O185" s="52">
        <v>53.161000000000001</v>
      </c>
      <c r="P185" s="6">
        <v>0</v>
      </c>
      <c r="Q185" s="4" t="s">
        <v>26</v>
      </c>
      <c r="R185" s="4">
        <v>0</v>
      </c>
      <c r="S185" s="6">
        <v>0</v>
      </c>
      <c r="T185" s="6">
        <v>6</v>
      </c>
      <c r="U185" s="6">
        <v>50</v>
      </c>
      <c r="V185" s="52">
        <f>IF(ISERROR(VLOOKUP($S$185,'TAR FIN'!$A$1:$O$85,15,0)),0,VLOOKUP($S$185,'TAR FIN'!$A$1:$O$85,15,0))</f>
        <v>0</v>
      </c>
      <c r="W185" s="52">
        <f>IF(ISERROR(VLOOKUP($T$185,'TAR FIN'!$A$1:$O$85,15,0)),0,VLOOKUP($T$185,'TAR FIN'!$A$1:$O$85,15,0))*(1-0.04)</f>
        <v>64.790399999999991</v>
      </c>
      <c r="X185" s="52">
        <f>IF(ISERROR(VLOOKUP($U$185,'TAR FIN'!$A$1:$O$85,15,0)),0,VLOOKUP($U$185,'TAR FIN'!$A$1:$O$85,15,0))*(1-0.04)</f>
        <v>214.1472</v>
      </c>
      <c r="Y185" s="52"/>
      <c r="Z185" s="52">
        <f ca="1">('TUSD BE'!$AM$12+'TUSD BF'!$AM$12+'TUSD CVA'!$AM$12)*1*(1-0.02)</f>
        <v>89.59297517927584</v>
      </c>
      <c r="AA185" s="52">
        <f>('TE BE'!$AB$6+'TE BF'!$AB$6+'TE CVA'!$AB$6)*1*(1-0.02)</f>
        <v>76.399196898794187</v>
      </c>
      <c r="AB185" s="6">
        <f>$K$185*$V$185</f>
        <v>0</v>
      </c>
      <c r="AC185" s="6">
        <f>$M$185*$W$185</f>
        <v>3444.3224543999995</v>
      </c>
      <c r="AD185" s="6">
        <f>$O$185*$X$185</f>
        <v>11384.2792992</v>
      </c>
      <c r="AE185" s="6">
        <f>$K$185*$Y$185</f>
        <v>0</v>
      </c>
      <c r="AF185" s="6">
        <f ca="1">$M$185*$Z$185</f>
        <v>4762.8521535054833</v>
      </c>
      <c r="AG185" s="6">
        <f>$O$185*$AA$185</f>
        <v>4061.4577063367979</v>
      </c>
    </row>
    <row r="186" spans="1:33" ht="11.25" customHeight="1" x14ac:dyDescent="0.3">
      <c r="A186" s="4" t="s">
        <v>21</v>
      </c>
      <c r="B186" s="4" t="s">
        <v>39</v>
      </c>
      <c r="C186" s="4" t="s">
        <v>40</v>
      </c>
      <c r="D186" s="4" t="s">
        <v>43</v>
      </c>
      <c r="E186" s="4" t="s">
        <v>25</v>
      </c>
      <c r="F186" s="4" t="s">
        <v>25</v>
      </c>
      <c r="G186" s="4" t="s">
        <v>25</v>
      </c>
      <c r="H186" s="4" t="s">
        <v>35</v>
      </c>
      <c r="I186" s="5">
        <v>44652</v>
      </c>
      <c r="J186" s="6">
        <v>0</v>
      </c>
      <c r="K186" s="52">
        <v>0</v>
      </c>
      <c r="L186" s="6">
        <v>40.383000000000003</v>
      </c>
      <c r="M186" s="52">
        <v>40.383000000000003</v>
      </c>
      <c r="N186" s="6">
        <v>40.383000000000003</v>
      </c>
      <c r="O186" s="52">
        <v>40.383000000000003</v>
      </c>
      <c r="P186" s="6">
        <v>0</v>
      </c>
      <c r="Q186" s="4" t="s">
        <v>26</v>
      </c>
      <c r="R186" s="4">
        <v>0</v>
      </c>
      <c r="S186" s="6">
        <v>0</v>
      </c>
      <c r="T186" s="6">
        <v>6</v>
      </c>
      <c r="U186" s="6">
        <v>50</v>
      </c>
      <c r="V186" s="52">
        <f>IF(ISERROR(VLOOKUP($S$186,'TAR FIN'!$A$1:$O$85,15,0)),0,VLOOKUP($S$186,'TAR FIN'!$A$1:$O$85,15,0))</f>
        <v>0</v>
      </c>
      <c r="W186" s="52">
        <f>IF(ISERROR(VLOOKUP($T$186,'TAR FIN'!$A$1:$O$85,15,0)),0,VLOOKUP($T$186,'TAR FIN'!$A$1:$O$85,15,0))*(1-0.04)</f>
        <v>64.790399999999991</v>
      </c>
      <c r="X186" s="52">
        <f>IF(ISERROR(VLOOKUP($U$186,'TAR FIN'!$A$1:$O$85,15,0)),0,VLOOKUP($U$186,'TAR FIN'!$A$1:$O$85,15,0))*(1-0.04)</f>
        <v>214.1472</v>
      </c>
      <c r="Y186" s="52"/>
      <c r="Z186" s="52">
        <f ca="1">('TUSD BE'!$AM$12+'TUSD BF'!$AM$12+'TUSD CVA'!$AM$12)*1*(1-0.02)</f>
        <v>89.59297517927584</v>
      </c>
      <c r="AA186" s="52">
        <f>('TE BE'!$AB$6+'TE BF'!$AB$6+'TE CVA'!$AB$6)*1*(1-0.02)</f>
        <v>76.399196898794187</v>
      </c>
      <c r="AB186" s="6">
        <f>$K$186*$V$186</f>
        <v>0</v>
      </c>
      <c r="AC186" s="6">
        <f>$M$186*$W$186</f>
        <v>2616.4307231999996</v>
      </c>
      <c r="AD186" s="6">
        <f>$O$186*$X$186</f>
        <v>8647.9063776000003</v>
      </c>
      <c r="AE186" s="6">
        <f>$K$186*$Y$186</f>
        <v>0</v>
      </c>
      <c r="AF186" s="6">
        <f ca="1">$M$186*$Z$186</f>
        <v>3618.0331166646965</v>
      </c>
      <c r="AG186" s="6">
        <f>$O$186*$AA$186</f>
        <v>3085.2287683640061</v>
      </c>
    </row>
    <row r="187" spans="1:33" ht="11.25" customHeight="1" x14ac:dyDescent="0.3">
      <c r="A187" s="4" t="s">
        <v>21</v>
      </c>
      <c r="B187" s="4" t="s">
        <v>39</v>
      </c>
      <c r="C187" s="4" t="s">
        <v>40</v>
      </c>
      <c r="D187" s="4" t="s">
        <v>43</v>
      </c>
      <c r="E187" s="4" t="s">
        <v>25</v>
      </c>
      <c r="F187" s="4" t="s">
        <v>25</v>
      </c>
      <c r="G187" s="4" t="s">
        <v>25</v>
      </c>
      <c r="H187" s="4" t="s">
        <v>35</v>
      </c>
      <c r="I187" s="5">
        <v>44682</v>
      </c>
      <c r="J187" s="6">
        <v>0</v>
      </c>
      <c r="K187" s="52">
        <v>0</v>
      </c>
      <c r="L187" s="6">
        <v>24.954999999999998</v>
      </c>
      <c r="M187" s="52">
        <v>24.954999999999998</v>
      </c>
      <c r="N187" s="6">
        <v>24.954999999999998</v>
      </c>
      <c r="O187" s="52">
        <v>24.954999999999998</v>
      </c>
      <c r="P187" s="6">
        <v>0</v>
      </c>
      <c r="Q187" s="4" t="s">
        <v>26</v>
      </c>
      <c r="R187" s="4">
        <v>0</v>
      </c>
      <c r="S187" s="6">
        <v>0</v>
      </c>
      <c r="T187" s="6">
        <v>6</v>
      </c>
      <c r="U187" s="6">
        <v>50</v>
      </c>
      <c r="V187" s="52">
        <f>IF(ISERROR(VLOOKUP($S$187,'TAR FIN'!$A$1:$O$85,15,0)),0,VLOOKUP($S$187,'TAR FIN'!$A$1:$O$85,15,0))</f>
        <v>0</v>
      </c>
      <c r="W187" s="52">
        <f>IF(ISERROR(VLOOKUP($T$187,'TAR FIN'!$A$1:$O$85,15,0)),0,VLOOKUP($T$187,'TAR FIN'!$A$1:$O$85,15,0))*(1-0.04)</f>
        <v>64.790399999999991</v>
      </c>
      <c r="X187" s="52">
        <f>IF(ISERROR(VLOOKUP($U$187,'TAR FIN'!$A$1:$O$85,15,0)),0,VLOOKUP($U$187,'TAR FIN'!$A$1:$O$85,15,0))*(1-0.04)</f>
        <v>214.1472</v>
      </c>
      <c r="Y187" s="52"/>
      <c r="Z187" s="52">
        <f ca="1">('TUSD BE'!$AM$12+'TUSD BF'!$AM$12+'TUSD CVA'!$AM$12)*1*(1-0.02)</f>
        <v>89.59297517927584</v>
      </c>
      <c r="AA187" s="52">
        <f>('TE BE'!$AB$6+'TE BF'!$AB$6+'TE CVA'!$AB$6)*1*(1-0.02)</f>
        <v>76.399196898794187</v>
      </c>
      <c r="AB187" s="6">
        <f>$K$187*$V$187</f>
        <v>0</v>
      </c>
      <c r="AC187" s="6">
        <f>$M$187*$W$187</f>
        <v>1616.8444319999996</v>
      </c>
      <c r="AD187" s="6">
        <f>$O$187*$X$187</f>
        <v>5344.0433759999996</v>
      </c>
      <c r="AE187" s="6">
        <f>$K$187*$Y$187</f>
        <v>0</v>
      </c>
      <c r="AF187" s="6">
        <f ca="1">$M$187*$Z$187</f>
        <v>2235.7926955988282</v>
      </c>
      <c r="AG187" s="6">
        <f>$O$187*$AA$187</f>
        <v>1906.5419586094088</v>
      </c>
    </row>
    <row r="188" spans="1:33" ht="11.25" customHeight="1" x14ac:dyDescent="0.3">
      <c r="A188" s="4" t="s">
        <v>21</v>
      </c>
      <c r="B188" s="4" t="s">
        <v>39</v>
      </c>
      <c r="C188" s="4" t="s">
        <v>40</v>
      </c>
      <c r="D188" s="4" t="s">
        <v>43</v>
      </c>
      <c r="E188" s="4" t="s">
        <v>25</v>
      </c>
      <c r="F188" s="4" t="s">
        <v>25</v>
      </c>
      <c r="G188" s="4" t="s">
        <v>25</v>
      </c>
      <c r="H188" s="4" t="s">
        <v>35</v>
      </c>
      <c r="I188" s="5">
        <v>44713</v>
      </c>
      <c r="J188" s="6">
        <v>0</v>
      </c>
      <c r="K188" s="52">
        <v>0</v>
      </c>
      <c r="L188" s="6">
        <v>8.3390000000000004</v>
      </c>
      <c r="M188" s="52">
        <v>8.3390000000000004</v>
      </c>
      <c r="N188" s="6">
        <v>8.3390000000000004</v>
      </c>
      <c r="O188" s="52">
        <v>8.3390000000000004</v>
      </c>
      <c r="P188" s="6">
        <v>0</v>
      </c>
      <c r="Q188" s="4" t="s">
        <v>26</v>
      </c>
      <c r="R188" s="4">
        <v>0</v>
      </c>
      <c r="S188" s="6">
        <v>0</v>
      </c>
      <c r="T188" s="6">
        <v>6</v>
      </c>
      <c r="U188" s="6">
        <v>50</v>
      </c>
      <c r="V188" s="52">
        <f>IF(ISERROR(VLOOKUP($S$188,'TAR FIN'!$A$1:$O$85,15,0)),0,VLOOKUP($S$188,'TAR FIN'!$A$1:$O$85,15,0))</f>
        <v>0</v>
      </c>
      <c r="W188" s="52">
        <f>IF(ISERROR(VLOOKUP($T$188,'TAR FIN'!$A$1:$O$85,15,0)),0,VLOOKUP($T$188,'TAR FIN'!$A$1:$O$85,15,0))*(1-0.04)</f>
        <v>64.790399999999991</v>
      </c>
      <c r="X188" s="52">
        <f>IF(ISERROR(VLOOKUP($U$188,'TAR FIN'!$A$1:$O$85,15,0)),0,VLOOKUP($U$188,'TAR FIN'!$A$1:$O$85,15,0))*(1-0.04)</f>
        <v>214.1472</v>
      </c>
      <c r="Y188" s="52"/>
      <c r="Z188" s="52">
        <f ca="1">('TUSD BE'!$AM$12+'TUSD BF'!$AM$12+'TUSD CVA'!$AM$12)*1*(1-0.02)</f>
        <v>89.59297517927584</v>
      </c>
      <c r="AA188" s="52">
        <f>('TE BE'!$AB$6+'TE BF'!$AB$6+'TE CVA'!$AB$6)*1*(1-0.02)</f>
        <v>76.399196898794187</v>
      </c>
      <c r="AB188" s="6">
        <f>$K$188*$V$188</f>
        <v>0</v>
      </c>
      <c r="AC188" s="6">
        <f>$M$188*$W$188</f>
        <v>540.28714559999992</v>
      </c>
      <c r="AD188" s="6">
        <f>$O$188*$X$188</f>
        <v>1785.7735008</v>
      </c>
      <c r="AE188" s="6">
        <f>$K$188*$Y$188</f>
        <v>0</v>
      </c>
      <c r="AF188" s="6">
        <f ca="1">$M$188*$Z$188</f>
        <v>747.11582001998124</v>
      </c>
      <c r="AG188" s="6">
        <f>$O$188*$AA$188</f>
        <v>637.09290293904473</v>
      </c>
    </row>
    <row r="189" spans="1:33" ht="11.25" customHeight="1" x14ac:dyDescent="0.3">
      <c r="A189" s="4" t="s">
        <v>21</v>
      </c>
      <c r="B189" s="4" t="s">
        <v>39</v>
      </c>
      <c r="C189" s="4" t="s">
        <v>40</v>
      </c>
      <c r="D189" s="4" t="s">
        <v>43</v>
      </c>
      <c r="E189" s="4" t="s">
        <v>25</v>
      </c>
      <c r="F189" s="4" t="s">
        <v>25</v>
      </c>
      <c r="G189" s="4" t="s">
        <v>25</v>
      </c>
      <c r="H189" s="4" t="s">
        <v>35</v>
      </c>
      <c r="I189" s="5">
        <v>44743</v>
      </c>
      <c r="J189" s="6">
        <v>0</v>
      </c>
      <c r="K189" s="52">
        <v>0</v>
      </c>
      <c r="L189" s="6">
        <v>0.99399999999999999</v>
      </c>
      <c r="M189" s="52">
        <v>0.99399999999999999</v>
      </c>
      <c r="N189" s="6">
        <v>0.99399999999999999</v>
      </c>
      <c r="O189" s="52">
        <v>0.99399999999999999</v>
      </c>
      <c r="P189" s="6">
        <v>0</v>
      </c>
      <c r="Q189" s="4" t="s">
        <v>26</v>
      </c>
      <c r="R189" s="4">
        <v>0</v>
      </c>
      <c r="S189" s="6">
        <v>0</v>
      </c>
      <c r="T189" s="6">
        <v>6</v>
      </c>
      <c r="U189" s="6">
        <v>50</v>
      </c>
      <c r="V189" s="52">
        <f>IF(ISERROR(VLOOKUP($S$189,'TAR FIN'!$A$1:$O$85,15,0)),0,VLOOKUP($S$189,'TAR FIN'!$A$1:$O$85,15,0))</f>
        <v>0</v>
      </c>
      <c r="W189" s="52">
        <f>IF(ISERROR(VLOOKUP($T$189,'TAR FIN'!$A$1:$O$85,15,0)),0,VLOOKUP($T$189,'TAR FIN'!$A$1:$O$85,15,0))*(1-0.04)</f>
        <v>64.790399999999991</v>
      </c>
      <c r="X189" s="52">
        <f>IF(ISERROR(VLOOKUP($U$189,'TAR FIN'!$A$1:$O$85,15,0)),0,VLOOKUP($U$189,'TAR FIN'!$A$1:$O$85,15,0))*(1-0.04)</f>
        <v>214.1472</v>
      </c>
      <c r="Y189" s="52"/>
      <c r="Z189" s="52">
        <f ca="1">('TUSD BE'!$AM$12+'TUSD BF'!$AM$12+'TUSD CVA'!$AM$12)*1*(1-0.02)</f>
        <v>89.59297517927584</v>
      </c>
      <c r="AA189" s="52">
        <f>('TE BE'!$AB$6+'TE BF'!$AB$6+'TE CVA'!$AB$6)*1*(1-0.02)</f>
        <v>76.399196898794187</v>
      </c>
      <c r="AB189" s="6">
        <f>$K$189*$V$189</f>
        <v>0</v>
      </c>
      <c r="AC189" s="6">
        <f>$M$189*$W$189</f>
        <v>64.401657599999993</v>
      </c>
      <c r="AD189" s="6">
        <f>$O$189*$X$189</f>
        <v>212.8623168</v>
      </c>
      <c r="AE189" s="6">
        <f>$K$189*$Y$189</f>
        <v>0</v>
      </c>
      <c r="AF189" s="6">
        <f ca="1">$M$189*$Z$189</f>
        <v>89.055417328200178</v>
      </c>
      <c r="AG189" s="6">
        <f>$O$189*$AA$189</f>
        <v>75.940801717401428</v>
      </c>
    </row>
    <row r="190" spans="1:33" ht="11.25" customHeight="1" x14ac:dyDescent="0.3">
      <c r="A190" s="4" t="s">
        <v>21</v>
      </c>
      <c r="B190" s="4" t="s">
        <v>39</v>
      </c>
      <c r="C190" s="4" t="s">
        <v>40</v>
      </c>
      <c r="D190" s="4" t="s">
        <v>43</v>
      </c>
      <c r="E190" s="4" t="s">
        <v>25</v>
      </c>
      <c r="F190" s="4" t="s">
        <v>25</v>
      </c>
      <c r="G190" s="4" t="s">
        <v>25</v>
      </c>
      <c r="H190" s="4" t="s">
        <v>35</v>
      </c>
      <c r="I190" s="5">
        <v>44774</v>
      </c>
      <c r="J190" s="6">
        <v>0</v>
      </c>
      <c r="K190" s="52">
        <v>0</v>
      </c>
      <c r="L190" s="6">
        <v>3.0830000000000002</v>
      </c>
      <c r="M190" s="52">
        <v>3.0830000000000002</v>
      </c>
      <c r="N190" s="6">
        <v>3.0830000000000002</v>
      </c>
      <c r="O190" s="52">
        <v>3.0830000000000002</v>
      </c>
      <c r="P190" s="6">
        <v>0</v>
      </c>
      <c r="Q190" s="4" t="s">
        <v>26</v>
      </c>
      <c r="R190" s="4">
        <v>0</v>
      </c>
      <c r="S190" s="6">
        <v>0</v>
      </c>
      <c r="T190" s="6">
        <v>6</v>
      </c>
      <c r="U190" s="6">
        <v>50</v>
      </c>
      <c r="V190" s="52">
        <f>IF(ISERROR(VLOOKUP($S$190,'TAR FIN'!$A$1:$O$85,15,0)),0,VLOOKUP($S$190,'TAR FIN'!$A$1:$O$85,15,0))</f>
        <v>0</v>
      </c>
      <c r="W190" s="52">
        <f>IF(ISERROR(VLOOKUP($T$190,'TAR FIN'!$A$1:$O$85,15,0)),0,VLOOKUP($T$190,'TAR FIN'!$A$1:$O$85,15,0))*(1-0.04)</f>
        <v>64.790399999999991</v>
      </c>
      <c r="X190" s="52">
        <f>IF(ISERROR(VLOOKUP($U$190,'TAR FIN'!$A$1:$O$85,15,0)),0,VLOOKUP($U$190,'TAR FIN'!$A$1:$O$85,15,0))*(1-0.04)</f>
        <v>214.1472</v>
      </c>
      <c r="Y190" s="52"/>
      <c r="Z190" s="52">
        <f ca="1">('TUSD BE'!$AM$12+'TUSD BF'!$AM$12+'TUSD CVA'!$AM$12)*1*(1-0.02)</f>
        <v>89.59297517927584</v>
      </c>
      <c r="AA190" s="52">
        <f>('TE BE'!$AB$6+'TE BF'!$AB$6+'TE CVA'!$AB$6)*1*(1-0.02)</f>
        <v>76.399196898794187</v>
      </c>
      <c r="AB190" s="6">
        <f>$K$190*$V$190</f>
        <v>0</v>
      </c>
      <c r="AC190" s="6">
        <f>$M$190*$W$190</f>
        <v>199.7488032</v>
      </c>
      <c r="AD190" s="6">
        <f>$O$190*$X$190</f>
        <v>660.21581760000004</v>
      </c>
      <c r="AE190" s="6">
        <f>$K$190*$Y$190</f>
        <v>0</v>
      </c>
      <c r="AF190" s="6">
        <f ca="1">$M$190*$Z$190</f>
        <v>276.21514247770745</v>
      </c>
      <c r="AG190" s="6">
        <f>$O$190*$AA$190</f>
        <v>235.53872403898248</v>
      </c>
    </row>
    <row r="191" spans="1:33" ht="11.25" customHeight="1" x14ac:dyDescent="0.3">
      <c r="A191" s="4" t="s">
        <v>21</v>
      </c>
      <c r="B191" s="4" t="s">
        <v>39</v>
      </c>
      <c r="C191" s="4" t="s">
        <v>40</v>
      </c>
      <c r="D191" s="4" t="s">
        <v>43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44440</v>
      </c>
      <c r="J191" s="6">
        <v>21</v>
      </c>
      <c r="K191" s="52">
        <v>21</v>
      </c>
      <c r="L191" s="6">
        <v>0</v>
      </c>
      <c r="M191" s="52">
        <v>0</v>
      </c>
      <c r="N191" s="6">
        <v>0</v>
      </c>
      <c r="O191" s="52">
        <v>0</v>
      </c>
      <c r="P191" s="6">
        <v>1</v>
      </c>
      <c r="Q191" s="4" t="s">
        <v>26</v>
      </c>
      <c r="R191" s="4">
        <v>0</v>
      </c>
      <c r="S191" s="6">
        <v>10</v>
      </c>
      <c r="T191" s="6">
        <v>0</v>
      </c>
      <c r="U191" s="6">
        <v>0</v>
      </c>
      <c r="V191" s="52">
        <f>IF(ISERROR(VLOOKUP($S$191,'TAR FIN'!$A$1:$O$85,15,0)),0,VLOOKUP($S$191,'TAR FIN'!$A$1:$O$85,15,0))*(1-0.04)</f>
        <v>32.716799999999999</v>
      </c>
      <c r="W191" s="52">
        <f>IF(ISERROR(VLOOKUP($T$191,'TAR FIN'!$A$1:$O$85,15,0)),0,VLOOKUP($T$191,'TAR FIN'!$A$1:$O$85,15,0))</f>
        <v>0</v>
      </c>
      <c r="X191" s="52">
        <f>IF(ISERROR(VLOOKUP($U$191,'TAR FIN'!$A$1:$O$85,15,0)),0,VLOOKUP($U$191,'TAR FIN'!$A$1:$O$85,15,0))</f>
        <v>0</v>
      </c>
      <c r="Y191" s="52">
        <f ca="1">('TUSD BE'!$AM$10+'TUSD BF'!$AM$10+'TUSD CVA'!$AM$10)*1*(1-0.02)</f>
        <v>45.128757854832571</v>
      </c>
      <c r="Z191" s="52"/>
      <c r="AA191" s="52"/>
      <c r="AB191" s="6">
        <f>$K$191*$V$191</f>
        <v>687.05279999999993</v>
      </c>
      <c r="AC191" s="6">
        <f>$M$191*$W$191</f>
        <v>0</v>
      </c>
      <c r="AD191" s="6">
        <f>$O$191*$X$191</f>
        <v>0</v>
      </c>
      <c r="AE191" s="6">
        <f ca="1">$K$191*$Y$191</f>
        <v>947.70391495148397</v>
      </c>
      <c r="AF191" s="6">
        <f>$M$191*$Z$191</f>
        <v>0</v>
      </c>
      <c r="AG191" s="6">
        <f>$O$191*$AA$191</f>
        <v>0</v>
      </c>
    </row>
    <row r="192" spans="1:33" ht="11.25" customHeight="1" x14ac:dyDescent="0.3">
      <c r="A192" s="4" t="s">
        <v>21</v>
      </c>
      <c r="B192" s="4" t="s">
        <v>39</v>
      </c>
      <c r="C192" s="4" t="s">
        <v>40</v>
      </c>
      <c r="D192" s="4" t="s">
        <v>43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44470</v>
      </c>
      <c r="J192" s="6">
        <v>62</v>
      </c>
      <c r="K192" s="52">
        <v>62</v>
      </c>
      <c r="L192" s="6">
        <v>0</v>
      </c>
      <c r="M192" s="52">
        <v>0</v>
      </c>
      <c r="N192" s="6">
        <v>0</v>
      </c>
      <c r="O192" s="52">
        <v>0</v>
      </c>
      <c r="P192" s="6">
        <v>1</v>
      </c>
      <c r="Q192" s="4" t="s">
        <v>26</v>
      </c>
      <c r="R192" s="4">
        <v>0</v>
      </c>
      <c r="S192" s="6">
        <v>10</v>
      </c>
      <c r="T192" s="6">
        <v>0</v>
      </c>
      <c r="U192" s="6">
        <v>0</v>
      </c>
      <c r="V192" s="52">
        <f>IF(ISERROR(VLOOKUP($S$192,'TAR FIN'!$A$1:$O$85,15,0)),0,VLOOKUP($S$192,'TAR FIN'!$A$1:$O$85,15,0))*(1-0.04)</f>
        <v>32.716799999999999</v>
      </c>
      <c r="W192" s="52">
        <f>IF(ISERROR(VLOOKUP($T$192,'TAR FIN'!$A$1:$O$85,15,0)),0,VLOOKUP($T$192,'TAR FIN'!$A$1:$O$85,15,0))</f>
        <v>0</v>
      </c>
      <c r="X192" s="52">
        <f>IF(ISERROR(VLOOKUP($U$192,'TAR FIN'!$A$1:$O$85,15,0)),0,VLOOKUP($U$192,'TAR FIN'!$A$1:$O$85,15,0))</f>
        <v>0</v>
      </c>
      <c r="Y192" s="52">
        <f ca="1">('TUSD BE'!$AM$10+'TUSD BF'!$AM$10+'TUSD CVA'!$AM$10)*1*(1-0.02)</f>
        <v>45.128757854832571</v>
      </c>
      <c r="Z192" s="52"/>
      <c r="AA192" s="52"/>
      <c r="AB192" s="6">
        <f>$K$192*$V$192</f>
        <v>2028.4415999999999</v>
      </c>
      <c r="AC192" s="6">
        <f>$M$192*$W$192</f>
        <v>0</v>
      </c>
      <c r="AD192" s="6">
        <f>$O$192*$X$192</f>
        <v>0</v>
      </c>
      <c r="AE192" s="6">
        <f ca="1">$K$192*$Y$192</f>
        <v>2797.9829869996192</v>
      </c>
      <c r="AF192" s="6">
        <f>$M$192*$Z$192</f>
        <v>0</v>
      </c>
      <c r="AG192" s="6">
        <f>$O$192*$AA$192</f>
        <v>0</v>
      </c>
    </row>
    <row r="193" spans="1:33" ht="11.25" customHeight="1" x14ac:dyDescent="0.3">
      <c r="A193" s="4" t="s">
        <v>21</v>
      </c>
      <c r="B193" s="4" t="s">
        <v>39</v>
      </c>
      <c r="C193" s="4" t="s">
        <v>40</v>
      </c>
      <c r="D193" s="4" t="s">
        <v>43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44501</v>
      </c>
      <c r="J193" s="6">
        <v>63</v>
      </c>
      <c r="K193" s="52">
        <v>63</v>
      </c>
      <c r="L193" s="6">
        <v>0</v>
      </c>
      <c r="M193" s="52">
        <v>0</v>
      </c>
      <c r="N193" s="6">
        <v>0</v>
      </c>
      <c r="O193" s="52">
        <v>0</v>
      </c>
      <c r="P193" s="6">
        <v>1</v>
      </c>
      <c r="Q193" s="4" t="s">
        <v>26</v>
      </c>
      <c r="R193" s="4">
        <v>0</v>
      </c>
      <c r="S193" s="6">
        <v>10</v>
      </c>
      <c r="T193" s="6">
        <v>0</v>
      </c>
      <c r="U193" s="6">
        <v>0</v>
      </c>
      <c r="V193" s="52">
        <f>IF(ISERROR(VLOOKUP($S$193,'TAR FIN'!$A$1:$O$85,15,0)),0,VLOOKUP($S$193,'TAR FIN'!$A$1:$O$85,15,0))*(1-0.04)</f>
        <v>32.716799999999999</v>
      </c>
      <c r="W193" s="52">
        <f>IF(ISERROR(VLOOKUP($T$193,'TAR FIN'!$A$1:$O$85,15,0)),0,VLOOKUP($T$193,'TAR FIN'!$A$1:$O$85,15,0))</f>
        <v>0</v>
      </c>
      <c r="X193" s="52">
        <f>IF(ISERROR(VLOOKUP($U$193,'TAR FIN'!$A$1:$O$85,15,0)),0,VLOOKUP($U$193,'TAR FIN'!$A$1:$O$85,15,0))</f>
        <v>0</v>
      </c>
      <c r="Y193" s="52">
        <f ca="1">('TUSD BE'!$AM$10+'TUSD BF'!$AM$10+'TUSD CVA'!$AM$10)*1*(1-0.02)</f>
        <v>45.128757854832571</v>
      </c>
      <c r="Z193" s="52"/>
      <c r="AA193" s="52"/>
      <c r="AB193" s="6">
        <f>$K$193*$V$193</f>
        <v>2061.1583999999998</v>
      </c>
      <c r="AC193" s="6">
        <f>$M$193*$W$193</f>
        <v>0</v>
      </c>
      <c r="AD193" s="6">
        <f>$O$193*$X$193</f>
        <v>0</v>
      </c>
      <c r="AE193" s="6">
        <f ca="1">$K$193*$Y$193</f>
        <v>2843.1117448544519</v>
      </c>
      <c r="AF193" s="6">
        <f>$M$193*$Z$193</f>
        <v>0</v>
      </c>
      <c r="AG193" s="6">
        <f>$O$193*$AA$193</f>
        <v>0</v>
      </c>
    </row>
    <row r="194" spans="1:33" ht="11.25" customHeight="1" x14ac:dyDescent="0.3">
      <c r="A194" s="4" t="s">
        <v>21</v>
      </c>
      <c r="B194" s="4" t="s">
        <v>39</v>
      </c>
      <c r="C194" s="4" t="s">
        <v>40</v>
      </c>
      <c r="D194" s="4" t="s">
        <v>43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44531</v>
      </c>
      <c r="J194" s="6">
        <v>44</v>
      </c>
      <c r="K194" s="52">
        <v>44</v>
      </c>
      <c r="L194" s="6">
        <v>0</v>
      </c>
      <c r="M194" s="52">
        <v>0</v>
      </c>
      <c r="N194" s="6">
        <v>0</v>
      </c>
      <c r="O194" s="52">
        <v>0</v>
      </c>
      <c r="P194" s="6">
        <v>1</v>
      </c>
      <c r="Q194" s="4" t="s">
        <v>26</v>
      </c>
      <c r="R194" s="4">
        <v>0</v>
      </c>
      <c r="S194" s="6">
        <v>10</v>
      </c>
      <c r="T194" s="6">
        <v>0</v>
      </c>
      <c r="U194" s="6">
        <v>0</v>
      </c>
      <c r="V194" s="52">
        <f>IF(ISERROR(VLOOKUP($S$194,'TAR FIN'!$A$1:$O$85,15,0)),0,VLOOKUP($S$194,'TAR FIN'!$A$1:$O$85,15,0))*(1-0.04)</f>
        <v>32.716799999999999</v>
      </c>
      <c r="W194" s="52">
        <f>IF(ISERROR(VLOOKUP($T$194,'TAR FIN'!$A$1:$O$85,15,0)),0,VLOOKUP($T$194,'TAR FIN'!$A$1:$O$85,15,0))</f>
        <v>0</v>
      </c>
      <c r="X194" s="52">
        <f>IF(ISERROR(VLOOKUP($U$194,'TAR FIN'!$A$1:$O$85,15,0)),0,VLOOKUP($U$194,'TAR FIN'!$A$1:$O$85,15,0))</f>
        <v>0</v>
      </c>
      <c r="Y194" s="52">
        <f ca="1">('TUSD BE'!$AM$10+'TUSD BF'!$AM$10+'TUSD CVA'!$AM$10)*1*(1-0.02)</f>
        <v>45.128757854832571</v>
      </c>
      <c r="Z194" s="52"/>
      <c r="AA194" s="52"/>
      <c r="AB194" s="6">
        <f>$K$194*$V$194</f>
        <v>1439.5391999999999</v>
      </c>
      <c r="AC194" s="6">
        <f>$M$194*$W$194</f>
        <v>0</v>
      </c>
      <c r="AD194" s="6">
        <f>$O$194*$X$194</f>
        <v>0</v>
      </c>
      <c r="AE194" s="6">
        <f ca="1">$K$194*$Y$194</f>
        <v>1985.6653456126332</v>
      </c>
      <c r="AF194" s="6">
        <f>$M$194*$Z$194</f>
        <v>0</v>
      </c>
      <c r="AG194" s="6">
        <f>$O$194*$AA$194</f>
        <v>0</v>
      </c>
    </row>
    <row r="195" spans="1:33" ht="11.25" customHeight="1" x14ac:dyDescent="0.3">
      <c r="A195" s="4" t="s">
        <v>21</v>
      </c>
      <c r="B195" s="4" t="s">
        <v>39</v>
      </c>
      <c r="C195" s="4" t="s">
        <v>40</v>
      </c>
      <c r="D195" s="4" t="s">
        <v>43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44562</v>
      </c>
      <c r="J195" s="6">
        <v>99</v>
      </c>
      <c r="K195" s="52">
        <v>99</v>
      </c>
      <c r="L195" s="6">
        <v>0</v>
      </c>
      <c r="M195" s="52">
        <v>0</v>
      </c>
      <c r="N195" s="6">
        <v>0</v>
      </c>
      <c r="O195" s="52">
        <v>0</v>
      </c>
      <c r="P195" s="6">
        <v>1</v>
      </c>
      <c r="Q195" s="4" t="s">
        <v>26</v>
      </c>
      <c r="R195" s="4">
        <v>0</v>
      </c>
      <c r="S195" s="6">
        <v>10</v>
      </c>
      <c r="T195" s="6">
        <v>0</v>
      </c>
      <c r="U195" s="6">
        <v>0</v>
      </c>
      <c r="V195" s="52">
        <f>IF(ISERROR(VLOOKUP($S$195,'TAR FIN'!$A$1:$O$85,15,0)),0,VLOOKUP($S$195,'TAR FIN'!$A$1:$O$85,15,0))*(1-0.04)</f>
        <v>32.716799999999999</v>
      </c>
      <c r="W195" s="52">
        <f>IF(ISERROR(VLOOKUP($T$195,'TAR FIN'!$A$1:$O$85,15,0)),0,VLOOKUP($T$195,'TAR FIN'!$A$1:$O$85,15,0))</f>
        <v>0</v>
      </c>
      <c r="X195" s="52">
        <f>IF(ISERROR(VLOOKUP($U$195,'TAR FIN'!$A$1:$O$85,15,0)),0,VLOOKUP($U$195,'TAR FIN'!$A$1:$O$85,15,0))</f>
        <v>0</v>
      </c>
      <c r="Y195" s="52">
        <f ca="1">('TUSD BE'!$AM$10+'TUSD BF'!$AM$10+'TUSD CVA'!$AM$10)*1*(1-0.02)</f>
        <v>45.128757854832571</v>
      </c>
      <c r="Z195" s="52"/>
      <c r="AA195" s="52"/>
      <c r="AB195" s="6">
        <f>$K$195*$V$195</f>
        <v>3238.9632000000001</v>
      </c>
      <c r="AC195" s="6">
        <f>$M$195*$W$195</f>
        <v>0</v>
      </c>
      <c r="AD195" s="6">
        <f>$O$195*$X$195</f>
        <v>0</v>
      </c>
      <c r="AE195" s="6">
        <f ca="1">$K$195*$Y$195</f>
        <v>4467.7470276284248</v>
      </c>
      <c r="AF195" s="6">
        <f>$M$195*$Z$195</f>
        <v>0</v>
      </c>
      <c r="AG195" s="6">
        <f>$O$195*$AA$195</f>
        <v>0</v>
      </c>
    </row>
    <row r="196" spans="1:33" ht="11.25" customHeight="1" x14ac:dyDescent="0.3">
      <c r="A196" s="4" t="s">
        <v>21</v>
      </c>
      <c r="B196" s="4" t="s">
        <v>39</v>
      </c>
      <c r="C196" s="4" t="s">
        <v>40</v>
      </c>
      <c r="D196" s="4" t="s">
        <v>43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44593</v>
      </c>
      <c r="J196" s="6">
        <v>190</v>
      </c>
      <c r="K196" s="52">
        <v>190</v>
      </c>
      <c r="L196" s="6">
        <v>0</v>
      </c>
      <c r="M196" s="52">
        <v>0</v>
      </c>
      <c r="N196" s="6">
        <v>0</v>
      </c>
      <c r="O196" s="52">
        <v>0</v>
      </c>
      <c r="P196" s="6">
        <v>1</v>
      </c>
      <c r="Q196" s="4" t="s">
        <v>26</v>
      </c>
      <c r="R196" s="4">
        <v>0</v>
      </c>
      <c r="S196" s="6">
        <v>10</v>
      </c>
      <c r="T196" s="6">
        <v>0</v>
      </c>
      <c r="U196" s="6">
        <v>0</v>
      </c>
      <c r="V196" s="52">
        <f>IF(ISERROR(VLOOKUP($S$196,'TAR FIN'!$A$1:$O$85,15,0)),0,VLOOKUP($S$196,'TAR FIN'!$A$1:$O$85,15,0))*(1-0.04)</f>
        <v>32.716799999999999</v>
      </c>
      <c r="W196" s="52">
        <f>IF(ISERROR(VLOOKUP($T$196,'TAR FIN'!$A$1:$O$85,15,0)),0,VLOOKUP($T$196,'TAR FIN'!$A$1:$O$85,15,0))</f>
        <v>0</v>
      </c>
      <c r="X196" s="52">
        <f>IF(ISERROR(VLOOKUP($U$196,'TAR FIN'!$A$1:$O$85,15,0)),0,VLOOKUP($U$196,'TAR FIN'!$A$1:$O$85,15,0))</f>
        <v>0</v>
      </c>
      <c r="Y196" s="52">
        <f ca="1">('TUSD BE'!$AM$10+'TUSD BF'!$AM$10+'TUSD CVA'!$AM$10)*1*(1-0.02)</f>
        <v>45.128757854832571</v>
      </c>
      <c r="Z196" s="52"/>
      <c r="AA196" s="52"/>
      <c r="AB196" s="6">
        <f>$K$196*$V$196</f>
        <v>6216.192</v>
      </c>
      <c r="AC196" s="6">
        <f>$M$196*$W$196</f>
        <v>0</v>
      </c>
      <c r="AD196" s="6">
        <f>$O$196*$X$196</f>
        <v>0</v>
      </c>
      <c r="AE196" s="6">
        <f ca="1">$K$196*$Y$196</f>
        <v>8574.4639924181884</v>
      </c>
      <c r="AF196" s="6">
        <f>$M$196*$Z$196</f>
        <v>0</v>
      </c>
      <c r="AG196" s="6">
        <f>$O$196*$AA$196</f>
        <v>0</v>
      </c>
    </row>
    <row r="197" spans="1:33" ht="11.25" customHeight="1" x14ac:dyDescent="0.3">
      <c r="A197" s="4" t="s">
        <v>21</v>
      </c>
      <c r="B197" s="4" t="s">
        <v>39</v>
      </c>
      <c r="C197" s="4" t="s">
        <v>40</v>
      </c>
      <c r="D197" s="4" t="s">
        <v>43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44621</v>
      </c>
      <c r="J197" s="6">
        <v>204</v>
      </c>
      <c r="K197" s="52">
        <v>204</v>
      </c>
      <c r="L197" s="6">
        <v>0</v>
      </c>
      <c r="M197" s="52">
        <v>0</v>
      </c>
      <c r="N197" s="6">
        <v>0</v>
      </c>
      <c r="O197" s="52">
        <v>0</v>
      </c>
      <c r="P197" s="6">
        <v>1</v>
      </c>
      <c r="Q197" s="4" t="s">
        <v>26</v>
      </c>
      <c r="R197" s="4">
        <v>0</v>
      </c>
      <c r="S197" s="6">
        <v>10</v>
      </c>
      <c r="T197" s="6">
        <v>0</v>
      </c>
      <c r="U197" s="6">
        <v>0</v>
      </c>
      <c r="V197" s="52">
        <f>IF(ISERROR(VLOOKUP($S$197,'TAR FIN'!$A$1:$O$85,15,0)),0,VLOOKUP($S$197,'TAR FIN'!$A$1:$O$85,15,0))*(1-0.04)</f>
        <v>32.716799999999999</v>
      </c>
      <c r="W197" s="52">
        <f>IF(ISERROR(VLOOKUP($T$197,'TAR FIN'!$A$1:$O$85,15,0)),0,VLOOKUP($T$197,'TAR FIN'!$A$1:$O$85,15,0))</f>
        <v>0</v>
      </c>
      <c r="X197" s="52">
        <f>IF(ISERROR(VLOOKUP($U$197,'TAR FIN'!$A$1:$O$85,15,0)),0,VLOOKUP($U$197,'TAR FIN'!$A$1:$O$85,15,0))</f>
        <v>0</v>
      </c>
      <c r="Y197" s="52">
        <f ca="1">('TUSD BE'!$AM$10+'TUSD BF'!$AM$10+'TUSD CVA'!$AM$10)*1*(1-0.02)</f>
        <v>45.128757854832571</v>
      </c>
      <c r="Z197" s="52"/>
      <c r="AA197" s="52"/>
      <c r="AB197" s="6">
        <f>$K$197*$V$197</f>
        <v>6674.2272000000003</v>
      </c>
      <c r="AC197" s="6">
        <f>$M$197*$W$197</f>
        <v>0</v>
      </c>
      <c r="AD197" s="6">
        <f>$O$197*$X$197</f>
        <v>0</v>
      </c>
      <c r="AE197" s="6">
        <f ca="1">$K$197*$Y$197</f>
        <v>9206.2666023858437</v>
      </c>
      <c r="AF197" s="6">
        <f>$M$197*$Z$197</f>
        <v>0</v>
      </c>
      <c r="AG197" s="6">
        <f>$O$197*$AA$197</f>
        <v>0</v>
      </c>
    </row>
    <row r="198" spans="1:33" ht="11.25" customHeight="1" x14ac:dyDescent="0.3">
      <c r="A198" s="4" t="s">
        <v>21</v>
      </c>
      <c r="B198" s="4" t="s">
        <v>39</v>
      </c>
      <c r="C198" s="4" t="s">
        <v>40</v>
      </c>
      <c r="D198" s="4" t="s">
        <v>43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44652</v>
      </c>
      <c r="J198" s="6">
        <v>198</v>
      </c>
      <c r="K198" s="52">
        <v>198</v>
      </c>
      <c r="L198" s="6">
        <v>0</v>
      </c>
      <c r="M198" s="52">
        <v>0</v>
      </c>
      <c r="N198" s="6">
        <v>0</v>
      </c>
      <c r="O198" s="52">
        <v>0</v>
      </c>
      <c r="P198" s="6">
        <v>1</v>
      </c>
      <c r="Q198" s="4" t="s">
        <v>26</v>
      </c>
      <c r="R198" s="4">
        <v>0</v>
      </c>
      <c r="S198" s="6">
        <v>10</v>
      </c>
      <c r="T198" s="6">
        <v>0</v>
      </c>
      <c r="U198" s="6">
        <v>0</v>
      </c>
      <c r="V198" s="52">
        <f>IF(ISERROR(VLOOKUP($S$198,'TAR FIN'!$A$1:$O$85,15,0)),0,VLOOKUP($S$198,'TAR FIN'!$A$1:$O$85,15,0))*(1-0.04)</f>
        <v>32.716799999999999</v>
      </c>
      <c r="W198" s="52">
        <f>IF(ISERROR(VLOOKUP($T$198,'TAR FIN'!$A$1:$O$85,15,0)),0,VLOOKUP($T$198,'TAR FIN'!$A$1:$O$85,15,0))</f>
        <v>0</v>
      </c>
      <c r="X198" s="52">
        <f>IF(ISERROR(VLOOKUP($U$198,'TAR FIN'!$A$1:$O$85,15,0)),0,VLOOKUP($U$198,'TAR FIN'!$A$1:$O$85,15,0))</f>
        <v>0</v>
      </c>
      <c r="Y198" s="52">
        <f ca="1">('TUSD BE'!$AM$10+'TUSD BF'!$AM$10+'TUSD CVA'!$AM$10)*1*(1-0.02)</f>
        <v>45.128757854832571</v>
      </c>
      <c r="Z198" s="52"/>
      <c r="AA198" s="52"/>
      <c r="AB198" s="6">
        <f>$K$198*$V$198</f>
        <v>6477.9264000000003</v>
      </c>
      <c r="AC198" s="6">
        <f>$M$198*$W$198</f>
        <v>0</v>
      </c>
      <c r="AD198" s="6">
        <f>$O$198*$X$198</f>
        <v>0</v>
      </c>
      <c r="AE198" s="6">
        <f ca="1">$K$198*$Y$198</f>
        <v>8935.4940552568496</v>
      </c>
      <c r="AF198" s="6">
        <f>$M$198*$Z$198</f>
        <v>0</v>
      </c>
      <c r="AG198" s="6">
        <f>$O$198*$AA$198</f>
        <v>0</v>
      </c>
    </row>
    <row r="199" spans="1:33" ht="11.25" customHeight="1" x14ac:dyDescent="0.3">
      <c r="A199" s="4" t="s">
        <v>21</v>
      </c>
      <c r="B199" s="4" t="s">
        <v>39</v>
      </c>
      <c r="C199" s="4" t="s">
        <v>40</v>
      </c>
      <c r="D199" s="4" t="s">
        <v>43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44682</v>
      </c>
      <c r="J199" s="6">
        <v>193</v>
      </c>
      <c r="K199" s="52">
        <v>193</v>
      </c>
      <c r="L199" s="6">
        <v>0</v>
      </c>
      <c r="M199" s="52">
        <v>0</v>
      </c>
      <c r="N199" s="6">
        <v>0</v>
      </c>
      <c r="O199" s="52">
        <v>0</v>
      </c>
      <c r="P199" s="6">
        <v>1</v>
      </c>
      <c r="Q199" s="4" t="s">
        <v>26</v>
      </c>
      <c r="R199" s="4">
        <v>0</v>
      </c>
      <c r="S199" s="6">
        <v>10</v>
      </c>
      <c r="T199" s="6">
        <v>0</v>
      </c>
      <c r="U199" s="6">
        <v>0</v>
      </c>
      <c r="V199" s="52">
        <f>IF(ISERROR(VLOOKUP($S$199,'TAR FIN'!$A$1:$O$85,15,0)),0,VLOOKUP($S$199,'TAR FIN'!$A$1:$O$85,15,0))*(1-0.04)</f>
        <v>32.716799999999999</v>
      </c>
      <c r="W199" s="52">
        <f>IF(ISERROR(VLOOKUP($T$199,'TAR FIN'!$A$1:$O$85,15,0)),0,VLOOKUP($T$199,'TAR FIN'!$A$1:$O$85,15,0))</f>
        <v>0</v>
      </c>
      <c r="X199" s="52">
        <f>IF(ISERROR(VLOOKUP($U$199,'TAR FIN'!$A$1:$O$85,15,0)),0,VLOOKUP($U$199,'TAR FIN'!$A$1:$O$85,15,0))</f>
        <v>0</v>
      </c>
      <c r="Y199" s="52">
        <f ca="1">('TUSD BE'!$AM$10+'TUSD BF'!$AM$10+'TUSD CVA'!$AM$10)*1*(1-0.02)</f>
        <v>45.128757854832571</v>
      </c>
      <c r="Z199" s="52"/>
      <c r="AA199" s="52"/>
      <c r="AB199" s="6">
        <f>$K$199*$V$199</f>
        <v>6314.3423999999995</v>
      </c>
      <c r="AC199" s="6">
        <f>$M$199*$W$199</f>
        <v>0</v>
      </c>
      <c r="AD199" s="6">
        <f>$O$199*$X$199</f>
        <v>0</v>
      </c>
      <c r="AE199" s="6">
        <f ca="1">$K$199*$Y$199</f>
        <v>8709.8502659826863</v>
      </c>
      <c r="AF199" s="6">
        <f>$M$199*$Z$199</f>
        <v>0</v>
      </c>
      <c r="AG199" s="6">
        <f>$O$199*$AA$199</f>
        <v>0</v>
      </c>
    </row>
    <row r="200" spans="1:33" ht="11.25" customHeight="1" x14ac:dyDescent="0.3">
      <c r="A200" s="4" t="s">
        <v>21</v>
      </c>
      <c r="B200" s="4" t="s">
        <v>39</v>
      </c>
      <c r="C200" s="4" t="s">
        <v>40</v>
      </c>
      <c r="D200" s="4" t="s">
        <v>43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44713</v>
      </c>
      <c r="J200" s="6">
        <v>196</v>
      </c>
      <c r="K200" s="52">
        <v>196</v>
      </c>
      <c r="L200" s="6">
        <v>0</v>
      </c>
      <c r="M200" s="52">
        <v>0</v>
      </c>
      <c r="N200" s="6">
        <v>0</v>
      </c>
      <c r="O200" s="52">
        <v>0</v>
      </c>
      <c r="P200" s="6">
        <v>1</v>
      </c>
      <c r="Q200" s="4" t="s">
        <v>26</v>
      </c>
      <c r="R200" s="4">
        <v>0</v>
      </c>
      <c r="S200" s="6">
        <v>10</v>
      </c>
      <c r="T200" s="6">
        <v>0</v>
      </c>
      <c r="U200" s="6">
        <v>0</v>
      </c>
      <c r="V200" s="52">
        <f>IF(ISERROR(VLOOKUP($S$200,'TAR FIN'!$A$1:$O$85,15,0)),0,VLOOKUP($S$200,'TAR FIN'!$A$1:$O$85,15,0))*(1-0.04)</f>
        <v>32.716799999999999</v>
      </c>
      <c r="W200" s="52">
        <f>IF(ISERROR(VLOOKUP($T$200,'TAR FIN'!$A$1:$O$85,15,0)),0,VLOOKUP($T$200,'TAR FIN'!$A$1:$O$85,15,0))</f>
        <v>0</v>
      </c>
      <c r="X200" s="52">
        <f>IF(ISERROR(VLOOKUP($U$200,'TAR FIN'!$A$1:$O$85,15,0)),0,VLOOKUP($U$200,'TAR FIN'!$A$1:$O$85,15,0))</f>
        <v>0</v>
      </c>
      <c r="Y200" s="52">
        <f ca="1">('TUSD BE'!$AM$10+'TUSD BF'!$AM$10+'TUSD CVA'!$AM$10)*1*(1-0.02)</f>
        <v>45.128757854832571</v>
      </c>
      <c r="Z200" s="52"/>
      <c r="AA200" s="52"/>
      <c r="AB200" s="6">
        <f>$K$200*$V$200</f>
        <v>6412.4928</v>
      </c>
      <c r="AC200" s="6">
        <f>$M$200*$W$200</f>
        <v>0</v>
      </c>
      <c r="AD200" s="6">
        <f>$O$200*$X$200</f>
        <v>0</v>
      </c>
      <c r="AE200" s="6">
        <f ca="1">$K$200*$Y$200</f>
        <v>8845.2365395471843</v>
      </c>
      <c r="AF200" s="6">
        <f>$M$200*$Z$200</f>
        <v>0</v>
      </c>
      <c r="AG200" s="6">
        <f>$O$200*$AA$200</f>
        <v>0</v>
      </c>
    </row>
    <row r="201" spans="1:33" ht="11.25" customHeight="1" x14ac:dyDescent="0.3">
      <c r="A201" s="4" t="s">
        <v>21</v>
      </c>
      <c r="B201" s="4" t="s">
        <v>39</v>
      </c>
      <c r="C201" s="4" t="s">
        <v>40</v>
      </c>
      <c r="D201" s="4" t="s">
        <v>43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44743</v>
      </c>
      <c r="J201" s="6">
        <v>20</v>
      </c>
      <c r="K201" s="52">
        <v>20</v>
      </c>
      <c r="L201" s="6">
        <v>0</v>
      </c>
      <c r="M201" s="52">
        <v>0</v>
      </c>
      <c r="N201" s="6">
        <v>0</v>
      </c>
      <c r="O201" s="52">
        <v>0</v>
      </c>
      <c r="P201" s="6">
        <v>1</v>
      </c>
      <c r="Q201" s="4" t="s">
        <v>26</v>
      </c>
      <c r="R201" s="4">
        <v>0</v>
      </c>
      <c r="S201" s="6">
        <v>10</v>
      </c>
      <c r="T201" s="6">
        <v>0</v>
      </c>
      <c r="U201" s="6">
        <v>0</v>
      </c>
      <c r="V201" s="52">
        <f>IF(ISERROR(VLOOKUP($S$201,'TAR FIN'!$A$1:$O$85,15,0)),0,VLOOKUP($S$201,'TAR FIN'!$A$1:$O$85,15,0))*(1-0.04)</f>
        <v>32.716799999999999</v>
      </c>
      <c r="W201" s="52">
        <f>IF(ISERROR(VLOOKUP($T$201,'TAR FIN'!$A$1:$O$85,15,0)),0,VLOOKUP($T$201,'TAR FIN'!$A$1:$O$85,15,0))</f>
        <v>0</v>
      </c>
      <c r="X201" s="52">
        <f>IF(ISERROR(VLOOKUP($U$201,'TAR FIN'!$A$1:$O$85,15,0)),0,VLOOKUP($U$201,'TAR FIN'!$A$1:$O$85,15,0))</f>
        <v>0</v>
      </c>
      <c r="Y201" s="52">
        <f ca="1">('TUSD BE'!$AM$10+'TUSD BF'!$AM$10+'TUSD CVA'!$AM$10)*1*(1-0.02)</f>
        <v>45.128757854832571</v>
      </c>
      <c r="Z201" s="52"/>
      <c r="AA201" s="52"/>
      <c r="AB201" s="6">
        <f>$K$201*$V$201</f>
        <v>654.33600000000001</v>
      </c>
      <c r="AC201" s="6">
        <f>$M$201*$W$201</f>
        <v>0</v>
      </c>
      <c r="AD201" s="6">
        <f>$O$201*$X$201</f>
        <v>0</v>
      </c>
      <c r="AE201" s="6">
        <f ca="1">$K$201*$Y$201</f>
        <v>902.57515709665142</v>
      </c>
      <c r="AF201" s="6">
        <f>$M$201*$Z$201</f>
        <v>0</v>
      </c>
      <c r="AG201" s="6">
        <f>$O$201*$AA$201</f>
        <v>0</v>
      </c>
    </row>
    <row r="202" spans="1:33" ht="11.25" customHeight="1" x14ac:dyDescent="0.3">
      <c r="A202" s="4" t="s">
        <v>21</v>
      </c>
      <c r="B202" s="4" t="s">
        <v>39</v>
      </c>
      <c r="C202" s="4" t="s">
        <v>40</v>
      </c>
      <c r="D202" s="4" t="s">
        <v>43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44774</v>
      </c>
      <c r="J202" s="6">
        <v>198</v>
      </c>
      <c r="K202" s="52">
        <v>198</v>
      </c>
      <c r="L202" s="6">
        <v>0</v>
      </c>
      <c r="M202" s="52">
        <v>0</v>
      </c>
      <c r="N202" s="6">
        <v>0</v>
      </c>
      <c r="O202" s="52">
        <v>0</v>
      </c>
      <c r="P202" s="6">
        <v>1</v>
      </c>
      <c r="Q202" s="4" t="s">
        <v>26</v>
      </c>
      <c r="R202" s="4">
        <v>0</v>
      </c>
      <c r="S202" s="6">
        <v>10</v>
      </c>
      <c r="T202" s="6">
        <v>0</v>
      </c>
      <c r="U202" s="6">
        <v>0</v>
      </c>
      <c r="V202" s="52">
        <f>IF(ISERROR(VLOOKUP($S$202,'TAR FIN'!$A$1:$O$85,15,0)),0,VLOOKUP($S$202,'TAR FIN'!$A$1:$O$85,15,0))*(1-0.04)</f>
        <v>32.716799999999999</v>
      </c>
      <c r="W202" s="52">
        <f>IF(ISERROR(VLOOKUP($T$202,'TAR FIN'!$A$1:$O$85,15,0)),0,VLOOKUP($T$202,'TAR FIN'!$A$1:$O$85,15,0))</f>
        <v>0</v>
      </c>
      <c r="X202" s="52">
        <f>IF(ISERROR(VLOOKUP($U$202,'TAR FIN'!$A$1:$O$85,15,0)),0,VLOOKUP($U$202,'TAR FIN'!$A$1:$O$85,15,0))</f>
        <v>0</v>
      </c>
      <c r="Y202" s="52">
        <f ca="1">('TUSD BE'!$AM$10+'TUSD BF'!$AM$10+'TUSD CVA'!$AM$10)*1*(1-0.02)</f>
        <v>45.128757854832571</v>
      </c>
      <c r="Z202" s="52"/>
      <c r="AA202" s="52"/>
      <c r="AB202" s="6">
        <f>$K$202*$V$202</f>
        <v>6477.9264000000003</v>
      </c>
      <c r="AC202" s="6">
        <f>$M$202*$W$202</f>
        <v>0</v>
      </c>
      <c r="AD202" s="6">
        <f>$O$202*$X$202</f>
        <v>0</v>
      </c>
      <c r="AE202" s="6">
        <f ca="1">$K$202*$Y$202</f>
        <v>8935.4940552568496</v>
      </c>
      <c r="AF202" s="6">
        <f>$M$202*$Z$202</f>
        <v>0</v>
      </c>
      <c r="AG202" s="6">
        <f>$O$202*$AA$202</f>
        <v>0</v>
      </c>
    </row>
    <row r="203" spans="1:33" ht="11.25" customHeight="1" x14ac:dyDescent="0.3">
      <c r="A203" s="4" t="s">
        <v>21</v>
      </c>
      <c r="B203" s="4" t="s">
        <v>39</v>
      </c>
      <c r="C203" s="4" t="s">
        <v>40</v>
      </c>
      <c r="D203" s="4" t="s">
        <v>43</v>
      </c>
      <c r="E203" s="4" t="s">
        <v>25</v>
      </c>
      <c r="F203" s="4" t="s">
        <v>25</v>
      </c>
      <c r="G203" s="4" t="s">
        <v>25</v>
      </c>
      <c r="H203" s="4" t="s">
        <v>34</v>
      </c>
      <c r="I203" s="5">
        <v>44440</v>
      </c>
      <c r="J203" s="6">
        <v>0</v>
      </c>
      <c r="K203" s="52">
        <v>0</v>
      </c>
      <c r="L203" s="6">
        <v>0.20100000000000001</v>
      </c>
      <c r="M203" s="52">
        <v>0.20100000000000001</v>
      </c>
      <c r="N203" s="6">
        <v>0.20100000000000001</v>
      </c>
      <c r="O203" s="52">
        <v>0.20100000000000001</v>
      </c>
      <c r="P203" s="6">
        <v>0</v>
      </c>
      <c r="Q203" s="4" t="s">
        <v>26</v>
      </c>
      <c r="R203" s="4">
        <v>0</v>
      </c>
      <c r="S203" s="6">
        <v>0</v>
      </c>
      <c r="T203" s="6">
        <v>23</v>
      </c>
      <c r="U203" s="6">
        <v>25</v>
      </c>
      <c r="V203" s="52">
        <f>IF(ISERROR(VLOOKUP($S$203,'TAR FIN'!$A$1:$O$85,15,0)),0,VLOOKUP($S$203,'TAR FIN'!$A$1:$O$85,15,0))</f>
        <v>0</v>
      </c>
      <c r="W203" s="52">
        <f>IF(ISERROR(VLOOKUP($T$203,'TAR FIN'!$A$1:$O$85,15,0)),0,VLOOKUP($T$203,'TAR FIN'!$A$1:$O$85,15,0))*(1-0.04)</f>
        <v>2444.1023999999998</v>
      </c>
      <c r="X203" s="52">
        <f>IF(ISERROR(VLOOKUP($U$203,'TAR FIN'!$A$1:$O$85,15,0)),0,VLOOKUP($U$203,'TAR FIN'!$A$1:$O$85,15,0))*(1-0.04)</f>
        <v>214.1472</v>
      </c>
      <c r="Y203" s="52"/>
      <c r="Z203" s="52">
        <f ca="1">('TUSD BE'!$AM$11+'TUSD BF'!$AM$11+'TUSD CVA'!$AM$11)*1*(1-0.02)</f>
        <v>3526.001284466096</v>
      </c>
      <c r="AA203" s="52">
        <f>('TE BE'!$AB$5+'TE BF'!$AB$5+'TE CVA'!$AB$5)*1*(1-0.02)</f>
        <v>76.399196898794187</v>
      </c>
      <c r="AB203" s="6">
        <f>$K$203*$V$203</f>
        <v>0</v>
      </c>
      <c r="AC203" s="6">
        <f>$M$203*$W$203</f>
        <v>491.26458239999999</v>
      </c>
      <c r="AD203" s="6">
        <f>$O$203*$X$203</f>
        <v>43.043587200000005</v>
      </c>
      <c r="AE203" s="6">
        <f>$K$203*$Y$203</f>
        <v>0</v>
      </c>
      <c r="AF203" s="6">
        <f ca="1">$M$203*$Z$203</f>
        <v>708.72625817768528</v>
      </c>
      <c r="AG203" s="6">
        <f>$O$203*$AA$203</f>
        <v>15.356238576657633</v>
      </c>
    </row>
    <row r="204" spans="1:33" ht="11.25" customHeight="1" x14ac:dyDescent="0.3">
      <c r="A204" s="4" t="s">
        <v>21</v>
      </c>
      <c r="B204" s="4" t="s">
        <v>39</v>
      </c>
      <c r="C204" s="4" t="s">
        <v>40</v>
      </c>
      <c r="D204" s="4" t="s">
        <v>43</v>
      </c>
      <c r="E204" s="4" t="s">
        <v>25</v>
      </c>
      <c r="F204" s="4" t="s">
        <v>25</v>
      </c>
      <c r="G204" s="4" t="s">
        <v>25</v>
      </c>
      <c r="H204" s="4" t="s">
        <v>34</v>
      </c>
      <c r="I204" s="5">
        <v>44470</v>
      </c>
      <c r="J204" s="6">
        <v>0</v>
      </c>
      <c r="K204" s="52">
        <v>0</v>
      </c>
      <c r="L204" s="6">
        <v>0.20799999999999999</v>
      </c>
      <c r="M204" s="52">
        <v>0.20799999999999999</v>
      </c>
      <c r="N204" s="6">
        <v>0.20799999999999999</v>
      </c>
      <c r="O204" s="52">
        <v>0.20799999999999999</v>
      </c>
      <c r="P204" s="6">
        <v>0</v>
      </c>
      <c r="Q204" s="4" t="s">
        <v>26</v>
      </c>
      <c r="R204" s="4">
        <v>0</v>
      </c>
      <c r="S204" s="6">
        <v>0</v>
      </c>
      <c r="T204" s="6">
        <v>23</v>
      </c>
      <c r="U204" s="6">
        <v>25</v>
      </c>
      <c r="V204" s="52">
        <f>IF(ISERROR(VLOOKUP($S$204,'TAR FIN'!$A$1:$O$85,15,0)),0,VLOOKUP($S$204,'TAR FIN'!$A$1:$O$85,15,0))</f>
        <v>0</v>
      </c>
      <c r="W204" s="52">
        <f>IF(ISERROR(VLOOKUP($T$204,'TAR FIN'!$A$1:$O$85,15,0)),0,VLOOKUP($T$204,'TAR FIN'!$A$1:$O$85,15,0))*(1-0.04)</f>
        <v>2444.1023999999998</v>
      </c>
      <c r="X204" s="52">
        <f>IF(ISERROR(VLOOKUP($U$204,'TAR FIN'!$A$1:$O$85,15,0)),0,VLOOKUP($U$204,'TAR FIN'!$A$1:$O$85,15,0))*(1-0.04)</f>
        <v>214.1472</v>
      </c>
      <c r="Y204" s="52"/>
      <c r="Z204" s="52">
        <f ca="1">('TUSD BE'!$AM$11+'TUSD BF'!$AM$11+'TUSD CVA'!$AM$11)*1*(1-0.02)</f>
        <v>3526.001284466096</v>
      </c>
      <c r="AA204" s="52">
        <f>('TE BE'!$AB$5+'TE BF'!$AB$5+'TE CVA'!$AB$5)*1*(1-0.02)</f>
        <v>76.399196898794187</v>
      </c>
      <c r="AB204" s="6">
        <f>$K$204*$V$204</f>
        <v>0</v>
      </c>
      <c r="AC204" s="6">
        <f>$M$204*$W$204</f>
        <v>508.37329919999991</v>
      </c>
      <c r="AD204" s="6">
        <f>$O$204*$X$204</f>
        <v>44.5426176</v>
      </c>
      <c r="AE204" s="6">
        <f>$K$204*$Y$204</f>
        <v>0</v>
      </c>
      <c r="AF204" s="6">
        <f ca="1">$M$204*$Z$204</f>
        <v>733.40826716894787</v>
      </c>
      <c r="AG204" s="6">
        <f>$O$204*$AA$204</f>
        <v>15.891032954949191</v>
      </c>
    </row>
    <row r="205" spans="1:33" ht="11.25" customHeight="1" x14ac:dyDescent="0.3">
      <c r="A205" s="4" t="s">
        <v>21</v>
      </c>
      <c r="B205" s="4" t="s">
        <v>39</v>
      </c>
      <c r="C205" s="4" t="s">
        <v>40</v>
      </c>
      <c r="D205" s="4" t="s">
        <v>43</v>
      </c>
      <c r="E205" s="4" t="s">
        <v>25</v>
      </c>
      <c r="F205" s="4" t="s">
        <v>25</v>
      </c>
      <c r="G205" s="4" t="s">
        <v>25</v>
      </c>
      <c r="H205" s="4" t="s">
        <v>34</v>
      </c>
      <c r="I205" s="5">
        <v>44501</v>
      </c>
      <c r="J205" s="6">
        <v>0</v>
      </c>
      <c r="K205" s="52">
        <v>0</v>
      </c>
      <c r="L205" s="6">
        <v>0.245</v>
      </c>
      <c r="M205" s="52">
        <v>0.245</v>
      </c>
      <c r="N205" s="6">
        <v>0.245</v>
      </c>
      <c r="O205" s="52">
        <v>0.245</v>
      </c>
      <c r="P205" s="6">
        <v>0</v>
      </c>
      <c r="Q205" s="4" t="s">
        <v>26</v>
      </c>
      <c r="R205" s="4">
        <v>0</v>
      </c>
      <c r="S205" s="6">
        <v>0</v>
      </c>
      <c r="T205" s="6">
        <v>23</v>
      </c>
      <c r="U205" s="6">
        <v>25</v>
      </c>
      <c r="V205" s="52">
        <f>IF(ISERROR(VLOOKUP($S$205,'TAR FIN'!$A$1:$O$85,15,0)),0,VLOOKUP($S$205,'TAR FIN'!$A$1:$O$85,15,0))</f>
        <v>0</v>
      </c>
      <c r="W205" s="52">
        <f>IF(ISERROR(VLOOKUP($T$205,'TAR FIN'!$A$1:$O$85,15,0)),0,VLOOKUP($T$205,'TAR FIN'!$A$1:$O$85,15,0))*(1-0.04)</f>
        <v>2444.1023999999998</v>
      </c>
      <c r="X205" s="52">
        <f>IF(ISERROR(VLOOKUP($U$205,'TAR FIN'!$A$1:$O$85,15,0)),0,VLOOKUP($U$205,'TAR FIN'!$A$1:$O$85,15,0))*(1-0.04)</f>
        <v>214.1472</v>
      </c>
      <c r="Y205" s="52"/>
      <c r="Z205" s="52">
        <f ca="1">('TUSD BE'!$AM$11+'TUSD BF'!$AM$11+'TUSD CVA'!$AM$11)*1*(1-0.02)</f>
        <v>3526.001284466096</v>
      </c>
      <c r="AA205" s="52">
        <f>('TE BE'!$AB$5+'TE BF'!$AB$5+'TE CVA'!$AB$5)*1*(1-0.02)</f>
        <v>76.399196898794187</v>
      </c>
      <c r="AB205" s="6">
        <f>$K$205*$V$205</f>
        <v>0</v>
      </c>
      <c r="AC205" s="6">
        <f>$M$205*$W$205</f>
        <v>598.80508799999996</v>
      </c>
      <c r="AD205" s="6">
        <f>$O$205*$X$205</f>
        <v>52.466063999999996</v>
      </c>
      <c r="AE205" s="6">
        <f>$K$205*$Y$205</f>
        <v>0</v>
      </c>
      <c r="AF205" s="6">
        <f ca="1">$M$205*$Z$205</f>
        <v>863.87031469419355</v>
      </c>
      <c r="AG205" s="6">
        <f>$O$205*$AA$205</f>
        <v>18.717803240204574</v>
      </c>
    </row>
    <row r="206" spans="1:33" ht="11.25" customHeight="1" x14ac:dyDescent="0.3">
      <c r="A206" s="4" t="s">
        <v>21</v>
      </c>
      <c r="B206" s="4" t="s">
        <v>39</v>
      </c>
      <c r="C206" s="4" t="s">
        <v>40</v>
      </c>
      <c r="D206" s="4" t="s">
        <v>43</v>
      </c>
      <c r="E206" s="4" t="s">
        <v>25</v>
      </c>
      <c r="F206" s="4" t="s">
        <v>25</v>
      </c>
      <c r="G206" s="4" t="s">
        <v>25</v>
      </c>
      <c r="H206" s="4" t="s">
        <v>34</v>
      </c>
      <c r="I206" s="5">
        <v>44531</v>
      </c>
      <c r="J206" s="6">
        <v>0</v>
      </c>
      <c r="K206" s="52">
        <v>0</v>
      </c>
      <c r="L206" s="6">
        <v>0.20300000000000001</v>
      </c>
      <c r="M206" s="52">
        <v>0.20300000000000001</v>
      </c>
      <c r="N206" s="6">
        <v>0.20300000000000001</v>
      </c>
      <c r="O206" s="52">
        <v>0.20300000000000001</v>
      </c>
      <c r="P206" s="6">
        <v>0</v>
      </c>
      <c r="Q206" s="4" t="s">
        <v>26</v>
      </c>
      <c r="R206" s="4">
        <v>0</v>
      </c>
      <c r="S206" s="6">
        <v>0</v>
      </c>
      <c r="T206" s="6">
        <v>23</v>
      </c>
      <c r="U206" s="6">
        <v>25</v>
      </c>
      <c r="V206" s="52">
        <f>IF(ISERROR(VLOOKUP($S$206,'TAR FIN'!$A$1:$O$85,15,0)),0,VLOOKUP($S$206,'TAR FIN'!$A$1:$O$85,15,0))</f>
        <v>0</v>
      </c>
      <c r="W206" s="52">
        <f>IF(ISERROR(VLOOKUP($T$206,'TAR FIN'!$A$1:$O$85,15,0)),0,VLOOKUP($T$206,'TAR FIN'!$A$1:$O$85,15,0))*(1-0.04)</f>
        <v>2444.1023999999998</v>
      </c>
      <c r="X206" s="52">
        <f>IF(ISERROR(VLOOKUP($U$206,'TAR FIN'!$A$1:$O$85,15,0)),0,VLOOKUP($U$206,'TAR FIN'!$A$1:$O$85,15,0))*(1-0.04)</f>
        <v>214.1472</v>
      </c>
      <c r="Y206" s="52"/>
      <c r="Z206" s="52">
        <f ca="1">('TUSD BE'!$AM$11+'TUSD BF'!$AM$11+'TUSD CVA'!$AM$11)*1*(1-0.02)</f>
        <v>3526.001284466096</v>
      </c>
      <c r="AA206" s="52">
        <f>('TE BE'!$AB$5+'TE BF'!$AB$5+'TE CVA'!$AB$5)*1*(1-0.02)</f>
        <v>76.399196898794187</v>
      </c>
      <c r="AB206" s="6">
        <f>$K$206*$V$206</f>
        <v>0</v>
      </c>
      <c r="AC206" s="6">
        <f>$M$206*$W$206</f>
        <v>496.15278719999998</v>
      </c>
      <c r="AD206" s="6">
        <f>$O$206*$X$206</f>
        <v>43.471881600000003</v>
      </c>
      <c r="AE206" s="6">
        <f>$K$206*$Y$206</f>
        <v>0</v>
      </c>
      <c r="AF206" s="6">
        <f ca="1">$M$206*$Z$206</f>
        <v>715.77826074661755</v>
      </c>
      <c r="AG206" s="6">
        <f>$O$206*$AA$206</f>
        <v>15.50903697045522</v>
      </c>
    </row>
    <row r="207" spans="1:33" ht="11.25" customHeight="1" x14ac:dyDescent="0.3">
      <c r="A207" s="4" t="s">
        <v>21</v>
      </c>
      <c r="B207" s="4" t="s">
        <v>39</v>
      </c>
      <c r="C207" s="4" t="s">
        <v>40</v>
      </c>
      <c r="D207" s="4" t="s">
        <v>43</v>
      </c>
      <c r="E207" s="4" t="s">
        <v>25</v>
      </c>
      <c r="F207" s="4" t="s">
        <v>25</v>
      </c>
      <c r="G207" s="4" t="s">
        <v>25</v>
      </c>
      <c r="H207" s="4" t="s">
        <v>34</v>
      </c>
      <c r="I207" s="5">
        <v>44562</v>
      </c>
      <c r="J207" s="6">
        <v>0</v>
      </c>
      <c r="K207" s="52">
        <v>0</v>
      </c>
      <c r="L207" s="6">
        <v>0.16</v>
      </c>
      <c r="M207" s="52">
        <v>0.16</v>
      </c>
      <c r="N207" s="6">
        <v>0.16</v>
      </c>
      <c r="O207" s="52">
        <v>0.16</v>
      </c>
      <c r="P207" s="6">
        <v>0</v>
      </c>
      <c r="Q207" s="4" t="s">
        <v>26</v>
      </c>
      <c r="R207" s="4">
        <v>0</v>
      </c>
      <c r="S207" s="6">
        <v>0</v>
      </c>
      <c r="T207" s="6">
        <v>23</v>
      </c>
      <c r="U207" s="6">
        <v>25</v>
      </c>
      <c r="V207" s="52">
        <f>IF(ISERROR(VLOOKUP($S$207,'TAR FIN'!$A$1:$O$85,15,0)),0,VLOOKUP($S$207,'TAR FIN'!$A$1:$O$85,15,0))</f>
        <v>0</v>
      </c>
      <c r="W207" s="52">
        <f>IF(ISERROR(VLOOKUP($T$207,'TAR FIN'!$A$1:$O$85,15,0)),0,VLOOKUP($T$207,'TAR FIN'!$A$1:$O$85,15,0))*(1-0.04)</f>
        <v>2444.1023999999998</v>
      </c>
      <c r="X207" s="52">
        <f>IF(ISERROR(VLOOKUP($U$207,'TAR FIN'!$A$1:$O$85,15,0)),0,VLOOKUP($U$207,'TAR FIN'!$A$1:$O$85,15,0))*(1-0.04)</f>
        <v>214.1472</v>
      </c>
      <c r="Y207" s="52"/>
      <c r="Z207" s="52">
        <f ca="1">('TUSD BE'!$AM$11+'TUSD BF'!$AM$11+'TUSD CVA'!$AM$11)*1*(1-0.02)</f>
        <v>3526.001284466096</v>
      </c>
      <c r="AA207" s="52">
        <f>('TE BE'!$AB$5+'TE BF'!$AB$5+'TE CVA'!$AB$5)*1*(1-0.02)</f>
        <v>76.399196898794187</v>
      </c>
      <c r="AB207" s="6">
        <f>$K$207*$V$207</f>
        <v>0</v>
      </c>
      <c r="AC207" s="6">
        <f>$M$207*$W$207</f>
        <v>391.05638399999998</v>
      </c>
      <c r="AD207" s="6">
        <f>$O$207*$X$207</f>
        <v>34.263551999999997</v>
      </c>
      <c r="AE207" s="6">
        <f>$K$207*$Y$207</f>
        <v>0</v>
      </c>
      <c r="AF207" s="6">
        <f ca="1">$M$207*$Z$207</f>
        <v>564.16020551457541</v>
      </c>
      <c r="AG207" s="6">
        <f>$O$207*$AA$207</f>
        <v>12.22387150380707</v>
      </c>
    </row>
    <row r="208" spans="1:33" ht="11.25" customHeight="1" x14ac:dyDescent="0.3">
      <c r="A208" s="4" t="s">
        <v>21</v>
      </c>
      <c r="B208" s="4" t="s">
        <v>39</v>
      </c>
      <c r="C208" s="4" t="s">
        <v>40</v>
      </c>
      <c r="D208" s="4" t="s">
        <v>43</v>
      </c>
      <c r="E208" s="4" t="s">
        <v>25</v>
      </c>
      <c r="F208" s="4" t="s">
        <v>25</v>
      </c>
      <c r="G208" s="4" t="s">
        <v>25</v>
      </c>
      <c r="H208" s="4" t="s">
        <v>34</v>
      </c>
      <c r="I208" s="5">
        <v>44593</v>
      </c>
      <c r="J208" s="6">
        <v>0</v>
      </c>
      <c r="K208" s="52">
        <v>0</v>
      </c>
      <c r="L208" s="6">
        <v>0.64700000000000002</v>
      </c>
      <c r="M208" s="52">
        <v>0.64700000000000002</v>
      </c>
      <c r="N208" s="6">
        <v>0.64700000000000002</v>
      </c>
      <c r="O208" s="52">
        <v>0.64700000000000002</v>
      </c>
      <c r="P208" s="6">
        <v>0</v>
      </c>
      <c r="Q208" s="4" t="s">
        <v>26</v>
      </c>
      <c r="R208" s="4">
        <v>0</v>
      </c>
      <c r="S208" s="6">
        <v>0</v>
      </c>
      <c r="T208" s="6">
        <v>23</v>
      </c>
      <c r="U208" s="6">
        <v>25</v>
      </c>
      <c r="V208" s="52">
        <f>IF(ISERROR(VLOOKUP($S$208,'TAR FIN'!$A$1:$O$85,15,0)),0,VLOOKUP($S$208,'TAR FIN'!$A$1:$O$85,15,0))</f>
        <v>0</v>
      </c>
      <c r="W208" s="52">
        <f>IF(ISERROR(VLOOKUP($T$208,'TAR FIN'!$A$1:$O$85,15,0)),0,VLOOKUP($T$208,'TAR FIN'!$A$1:$O$85,15,0))*(1-0.04)</f>
        <v>2444.1023999999998</v>
      </c>
      <c r="X208" s="52">
        <f>IF(ISERROR(VLOOKUP($U$208,'TAR FIN'!$A$1:$O$85,15,0)),0,VLOOKUP($U$208,'TAR FIN'!$A$1:$O$85,15,0))*(1-0.04)</f>
        <v>214.1472</v>
      </c>
      <c r="Y208" s="52"/>
      <c r="Z208" s="52">
        <f ca="1">('TUSD BE'!$AM$11+'TUSD BF'!$AM$11+'TUSD CVA'!$AM$11)*1*(1-0.02)</f>
        <v>3526.001284466096</v>
      </c>
      <c r="AA208" s="52">
        <f>('TE BE'!$AB$5+'TE BF'!$AB$5+'TE CVA'!$AB$5)*1*(1-0.02)</f>
        <v>76.399196898794187</v>
      </c>
      <c r="AB208" s="6">
        <f>$K$208*$V$208</f>
        <v>0</v>
      </c>
      <c r="AC208" s="6">
        <f>$M$208*$W$208</f>
        <v>1581.3342527999998</v>
      </c>
      <c r="AD208" s="6">
        <f>$O$208*$X$208</f>
        <v>138.5532384</v>
      </c>
      <c r="AE208" s="6">
        <f>$K$208*$Y$208</f>
        <v>0</v>
      </c>
      <c r="AF208" s="6">
        <f ca="1">$M$208*$Z$208</f>
        <v>2281.3228310495642</v>
      </c>
      <c r="AG208" s="6">
        <f>$O$208*$AA$208</f>
        <v>49.430280393519844</v>
      </c>
    </row>
    <row r="209" spans="1:33" ht="11.25" customHeight="1" x14ac:dyDescent="0.3">
      <c r="A209" s="4" t="s">
        <v>21</v>
      </c>
      <c r="B209" s="4" t="s">
        <v>39</v>
      </c>
      <c r="C209" s="4" t="s">
        <v>40</v>
      </c>
      <c r="D209" s="4" t="s">
        <v>43</v>
      </c>
      <c r="E209" s="4" t="s">
        <v>25</v>
      </c>
      <c r="F209" s="4" t="s">
        <v>25</v>
      </c>
      <c r="G209" s="4" t="s">
        <v>25</v>
      </c>
      <c r="H209" s="4" t="s">
        <v>34</v>
      </c>
      <c r="I209" s="5">
        <v>44621</v>
      </c>
      <c r="J209" s="6">
        <v>0</v>
      </c>
      <c r="K209" s="52">
        <v>0</v>
      </c>
      <c r="L209" s="6">
        <v>0.501</v>
      </c>
      <c r="M209" s="52">
        <v>0.501</v>
      </c>
      <c r="N209" s="6">
        <v>0.501</v>
      </c>
      <c r="O209" s="52">
        <v>0.501</v>
      </c>
      <c r="P209" s="6">
        <v>0</v>
      </c>
      <c r="Q209" s="4" t="s">
        <v>26</v>
      </c>
      <c r="R209" s="4">
        <v>0</v>
      </c>
      <c r="S209" s="6">
        <v>0</v>
      </c>
      <c r="T209" s="6">
        <v>23</v>
      </c>
      <c r="U209" s="6">
        <v>25</v>
      </c>
      <c r="V209" s="52">
        <f>IF(ISERROR(VLOOKUP($S$209,'TAR FIN'!$A$1:$O$85,15,0)),0,VLOOKUP($S$209,'TAR FIN'!$A$1:$O$85,15,0))</f>
        <v>0</v>
      </c>
      <c r="W209" s="52">
        <f>IF(ISERROR(VLOOKUP($T$209,'TAR FIN'!$A$1:$O$85,15,0)),0,VLOOKUP($T$209,'TAR FIN'!$A$1:$O$85,15,0))*(1-0.04)</f>
        <v>2444.1023999999998</v>
      </c>
      <c r="X209" s="52">
        <f>IF(ISERROR(VLOOKUP($U$209,'TAR FIN'!$A$1:$O$85,15,0)),0,VLOOKUP($U$209,'TAR FIN'!$A$1:$O$85,15,0))*(1-0.04)</f>
        <v>214.1472</v>
      </c>
      <c r="Y209" s="52"/>
      <c r="Z209" s="52">
        <f ca="1">('TUSD BE'!$AM$11+'TUSD BF'!$AM$11+'TUSD CVA'!$AM$11)*1*(1-0.02)</f>
        <v>3526.001284466096</v>
      </c>
      <c r="AA209" s="52">
        <f>('TE BE'!$AB$5+'TE BF'!$AB$5+'TE CVA'!$AB$5)*1*(1-0.02)</f>
        <v>76.399196898794187</v>
      </c>
      <c r="AB209" s="6">
        <f>$K$209*$V$209</f>
        <v>0</v>
      </c>
      <c r="AC209" s="6">
        <f>$M$209*$W$209</f>
        <v>1224.4953023999999</v>
      </c>
      <c r="AD209" s="6">
        <f>$O$209*$X$209</f>
        <v>107.2877472</v>
      </c>
      <c r="AE209" s="6">
        <f>$K$209*$Y$209</f>
        <v>0</v>
      </c>
      <c r="AF209" s="6">
        <f ca="1">$M$209*$Z$209</f>
        <v>1766.526643517514</v>
      </c>
      <c r="AG209" s="6">
        <f>$O$209*$AA$209</f>
        <v>38.275997646295885</v>
      </c>
    </row>
    <row r="210" spans="1:33" ht="11.25" customHeight="1" x14ac:dyDescent="0.3">
      <c r="A210" s="4" t="s">
        <v>21</v>
      </c>
      <c r="B210" s="4" t="s">
        <v>39</v>
      </c>
      <c r="C210" s="4" t="s">
        <v>40</v>
      </c>
      <c r="D210" s="4" t="s">
        <v>43</v>
      </c>
      <c r="E210" s="4" t="s">
        <v>25</v>
      </c>
      <c r="F210" s="4" t="s">
        <v>25</v>
      </c>
      <c r="G210" s="4" t="s">
        <v>25</v>
      </c>
      <c r="H210" s="4" t="s">
        <v>34</v>
      </c>
      <c r="I210" s="5">
        <v>44652</v>
      </c>
      <c r="J210" s="6">
        <v>0</v>
      </c>
      <c r="K210" s="52">
        <v>0</v>
      </c>
      <c r="L210" s="6">
        <v>0.442</v>
      </c>
      <c r="M210" s="52">
        <v>0.442</v>
      </c>
      <c r="N210" s="6">
        <v>0.442</v>
      </c>
      <c r="O210" s="52">
        <v>0.442</v>
      </c>
      <c r="P210" s="6">
        <v>0</v>
      </c>
      <c r="Q210" s="4" t="s">
        <v>26</v>
      </c>
      <c r="R210" s="4">
        <v>0</v>
      </c>
      <c r="S210" s="6">
        <v>0</v>
      </c>
      <c r="T210" s="6">
        <v>23</v>
      </c>
      <c r="U210" s="6">
        <v>25</v>
      </c>
      <c r="V210" s="52">
        <f>IF(ISERROR(VLOOKUP($S$210,'TAR FIN'!$A$1:$O$85,15,0)),0,VLOOKUP($S$210,'TAR FIN'!$A$1:$O$85,15,0))</f>
        <v>0</v>
      </c>
      <c r="W210" s="52">
        <f>IF(ISERROR(VLOOKUP($T$210,'TAR FIN'!$A$1:$O$85,15,0)),0,VLOOKUP($T$210,'TAR FIN'!$A$1:$O$85,15,0))*(1-0.04)</f>
        <v>2444.1023999999998</v>
      </c>
      <c r="X210" s="52">
        <f>IF(ISERROR(VLOOKUP($U$210,'TAR FIN'!$A$1:$O$85,15,0)),0,VLOOKUP($U$210,'TAR FIN'!$A$1:$O$85,15,0))*(1-0.04)</f>
        <v>214.1472</v>
      </c>
      <c r="Y210" s="52"/>
      <c r="Z210" s="52">
        <f ca="1">('TUSD BE'!$AM$11+'TUSD BF'!$AM$11+'TUSD CVA'!$AM$11)*1*(1-0.02)</f>
        <v>3526.001284466096</v>
      </c>
      <c r="AA210" s="52">
        <f>('TE BE'!$AB$5+'TE BF'!$AB$5+'TE CVA'!$AB$5)*1*(1-0.02)</f>
        <v>76.399196898794187</v>
      </c>
      <c r="AB210" s="6">
        <f>$K$210*$V$210</f>
        <v>0</v>
      </c>
      <c r="AC210" s="6">
        <f>$M$210*$W$210</f>
        <v>1080.2932607999999</v>
      </c>
      <c r="AD210" s="6">
        <f>$O$210*$X$210</f>
        <v>94.653062399999996</v>
      </c>
      <c r="AE210" s="6">
        <f>$K$210*$Y$210</f>
        <v>0</v>
      </c>
      <c r="AF210" s="6">
        <f ca="1">$M$210*$Z$210</f>
        <v>1558.4925677340145</v>
      </c>
      <c r="AG210" s="6">
        <f>$O$210*$AA$210</f>
        <v>33.768445029267028</v>
      </c>
    </row>
    <row r="211" spans="1:33" ht="11.25" customHeight="1" x14ac:dyDescent="0.3">
      <c r="A211" s="4" t="s">
        <v>21</v>
      </c>
      <c r="B211" s="4" t="s">
        <v>39</v>
      </c>
      <c r="C211" s="4" t="s">
        <v>40</v>
      </c>
      <c r="D211" s="4" t="s">
        <v>43</v>
      </c>
      <c r="E211" s="4" t="s">
        <v>25</v>
      </c>
      <c r="F211" s="4" t="s">
        <v>25</v>
      </c>
      <c r="G211" s="4" t="s">
        <v>25</v>
      </c>
      <c r="H211" s="4" t="s">
        <v>34</v>
      </c>
      <c r="I211" s="5">
        <v>44682</v>
      </c>
      <c r="J211" s="6">
        <v>0</v>
      </c>
      <c r="K211" s="52">
        <v>0</v>
      </c>
      <c r="L211" s="6">
        <v>0.17</v>
      </c>
      <c r="M211" s="52">
        <v>0.17</v>
      </c>
      <c r="N211" s="6">
        <v>0.17</v>
      </c>
      <c r="O211" s="52">
        <v>0.17</v>
      </c>
      <c r="P211" s="6">
        <v>0</v>
      </c>
      <c r="Q211" s="4" t="s">
        <v>26</v>
      </c>
      <c r="R211" s="4">
        <v>0</v>
      </c>
      <c r="S211" s="6">
        <v>0</v>
      </c>
      <c r="T211" s="6">
        <v>23</v>
      </c>
      <c r="U211" s="6">
        <v>25</v>
      </c>
      <c r="V211" s="52">
        <f>IF(ISERROR(VLOOKUP($S$211,'TAR FIN'!$A$1:$O$85,15,0)),0,VLOOKUP($S$211,'TAR FIN'!$A$1:$O$85,15,0))</f>
        <v>0</v>
      </c>
      <c r="W211" s="52">
        <f>IF(ISERROR(VLOOKUP($T$211,'TAR FIN'!$A$1:$O$85,15,0)),0,VLOOKUP($T$211,'TAR FIN'!$A$1:$O$85,15,0))*(1-0.04)</f>
        <v>2444.1023999999998</v>
      </c>
      <c r="X211" s="52">
        <f>IF(ISERROR(VLOOKUP($U$211,'TAR FIN'!$A$1:$O$85,15,0)),0,VLOOKUP($U$211,'TAR FIN'!$A$1:$O$85,15,0))*(1-0.04)</f>
        <v>214.1472</v>
      </c>
      <c r="Y211" s="52"/>
      <c r="Z211" s="52">
        <f ca="1">('TUSD BE'!$AM$11+'TUSD BF'!$AM$11+'TUSD CVA'!$AM$11)*1*(1-0.02)</f>
        <v>3526.001284466096</v>
      </c>
      <c r="AA211" s="52">
        <f>('TE BE'!$AB$5+'TE BF'!$AB$5+'TE CVA'!$AB$5)*1*(1-0.02)</f>
        <v>76.399196898794187</v>
      </c>
      <c r="AB211" s="6">
        <f>$K$211*$V$211</f>
        <v>0</v>
      </c>
      <c r="AC211" s="6">
        <f>$M$211*$W$211</f>
        <v>415.49740800000001</v>
      </c>
      <c r="AD211" s="6">
        <f>$O$211*$X$211</f>
        <v>36.405024000000004</v>
      </c>
      <c r="AE211" s="6">
        <f>$K$211*$Y$211</f>
        <v>0</v>
      </c>
      <c r="AF211" s="6">
        <f ca="1">$M$211*$Z$211</f>
        <v>599.4202183592364</v>
      </c>
      <c r="AG211" s="6">
        <f>$O$211*$AA$211</f>
        <v>12.987863472795013</v>
      </c>
    </row>
    <row r="212" spans="1:33" ht="11.25" customHeight="1" x14ac:dyDescent="0.3">
      <c r="A212" s="4" t="s">
        <v>21</v>
      </c>
      <c r="B212" s="4" t="s">
        <v>39</v>
      </c>
      <c r="C212" s="4" t="s">
        <v>40</v>
      </c>
      <c r="D212" s="4" t="s">
        <v>43</v>
      </c>
      <c r="E212" s="4" t="s">
        <v>25</v>
      </c>
      <c r="F212" s="4" t="s">
        <v>25</v>
      </c>
      <c r="G212" s="4" t="s">
        <v>25</v>
      </c>
      <c r="H212" s="4" t="s">
        <v>34</v>
      </c>
      <c r="I212" s="5">
        <v>44713</v>
      </c>
      <c r="J212" s="6">
        <v>0</v>
      </c>
      <c r="K212" s="52">
        <v>0</v>
      </c>
      <c r="L212" s="6">
        <v>0.159</v>
      </c>
      <c r="M212" s="52">
        <v>0.159</v>
      </c>
      <c r="N212" s="6">
        <v>0.159</v>
      </c>
      <c r="O212" s="52">
        <v>0.159</v>
      </c>
      <c r="P212" s="6">
        <v>0</v>
      </c>
      <c r="Q212" s="4" t="s">
        <v>26</v>
      </c>
      <c r="R212" s="4">
        <v>0</v>
      </c>
      <c r="S212" s="6">
        <v>0</v>
      </c>
      <c r="T212" s="6">
        <v>23</v>
      </c>
      <c r="U212" s="6">
        <v>25</v>
      </c>
      <c r="V212" s="52">
        <f>IF(ISERROR(VLOOKUP($S$212,'TAR FIN'!$A$1:$O$85,15,0)),0,VLOOKUP($S$212,'TAR FIN'!$A$1:$O$85,15,0))</f>
        <v>0</v>
      </c>
      <c r="W212" s="52">
        <f>IF(ISERROR(VLOOKUP($T$212,'TAR FIN'!$A$1:$O$85,15,0)),0,VLOOKUP($T$212,'TAR FIN'!$A$1:$O$85,15,0))*(1-0.04)</f>
        <v>2444.1023999999998</v>
      </c>
      <c r="X212" s="52">
        <f>IF(ISERROR(VLOOKUP($U$212,'TAR FIN'!$A$1:$O$85,15,0)),0,VLOOKUP($U$212,'TAR FIN'!$A$1:$O$85,15,0))*(1-0.04)</f>
        <v>214.1472</v>
      </c>
      <c r="Y212" s="52"/>
      <c r="Z212" s="52">
        <f ca="1">('TUSD BE'!$AM$11+'TUSD BF'!$AM$11+'TUSD CVA'!$AM$11)*1*(1-0.02)</f>
        <v>3526.001284466096</v>
      </c>
      <c r="AA212" s="52">
        <f>('TE BE'!$AB$5+'TE BF'!$AB$5+'TE CVA'!$AB$5)*1*(1-0.02)</f>
        <v>76.399196898794187</v>
      </c>
      <c r="AB212" s="6">
        <f>$K$212*$V$212</f>
        <v>0</v>
      </c>
      <c r="AC212" s="6">
        <f>$M$212*$W$212</f>
        <v>388.61228159999996</v>
      </c>
      <c r="AD212" s="6">
        <f>$O$212*$X$212</f>
        <v>34.049404799999998</v>
      </c>
      <c r="AE212" s="6">
        <f>$K$212*$Y$212</f>
        <v>0</v>
      </c>
      <c r="AF212" s="6">
        <f ca="1">$M$212*$Z$212</f>
        <v>560.63420423010928</v>
      </c>
      <c r="AG212" s="6">
        <f>$O$212*$AA$212</f>
        <v>12.147472306908275</v>
      </c>
    </row>
    <row r="213" spans="1:33" ht="11.25" customHeight="1" x14ac:dyDescent="0.3">
      <c r="A213" s="4" t="s">
        <v>21</v>
      </c>
      <c r="B213" s="4" t="s">
        <v>39</v>
      </c>
      <c r="C213" s="4" t="s">
        <v>40</v>
      </c>
      <c r="D213" s="4" t="s">
        <v>43</v>
      </c>
      <c r="E213" s="4" t="s">
        <v>25</v>
      </c>
      <c r="F213" s="4" t="s">
        <v>25</v>
      </c>
      <c r="G213" s="4" t="s">
        <v>25</v>
      </c>
      <c r="H213" s="4" t="s">
        <v>34</v>
      </c>
      <c r="I213" s="5">
        <v>44743</v>
      </c>
      <c r="J213" s="6">
        <v>0</v>
      </c>
      <c r="K213" s="52">
        <v>0</v>
      </c>
      <c r="L213" s="6">
        <v>0.14599999999999999</v>
      </c>
      <c r="M213" s="52">
        <v>0.14599999999999999</v>
      </c>
      <c r="N213" s="6">
        <v>0.14599999999999999</v>
      </c>
      <c r="O213" s="52">
        <v>0.14599999999999999</v>
      </c>
      <c r="P213" s="6">
        <v>0</v>
      </c>
      <c r="Q213" s="4" t="s">
        <v>26</v>
      </c>
      <c r="R213" s="4">
        <v>0</v>
      </c>
      <c r="S213" s="6">
        <v>0</v>
      </c>
      <c r="T213" s="6">
        <v>23</v>
      </c>
      <c r="U213" s="6">
        <v>25</v>
      </c>
      <c r="V213" s="52">
        <f>IF(ISERROR(VLOOKUP($S$213,'TAR FIN'!$A$1:$O$85,15,0)),0,VLOOKUP($S$213,'TAR FIN'!$A$1:$O$85,15,0))</f>
        <v>0</v>
      </c>
      <c r="W213" s="52">
        <f>IF(ISERROR(VLOOKUP($T$213,'TAR FIN'!$A$1:$O$85,15,0)),0,VLOOKUP($T$213,'TAR FIN'!$A$1:$O$85,15,0))*(1-0.04)</f>
        <v>2444.1023999999998</v>
      </c>
      <c r="X213" s="52">
        <f>IF(ISERROR(VLOOKUP($U$213,'TAR FIN'!$A$1:$O$85,15,0)),0,VLOOKUP($U$213,'TAR FIN'!$A$1:$O$85,15,0))*(1-0.04)</f>
        <v>214.1472</v>
      </c>
      <c r="Y213" s="52"/>
      <c r="Z213" s="52">
        <f ca="1">('TUSD BE'!$AM$11+'TUSD BF'!$AM$11+'TUSD CVA'!$AM$11)*1*(1-0.02)</f>
        <v>3526.001284466096</v>
      </c>
      <c r="AA213" s="52">
        <f>('TE BE'!$AB$5+'TE BF'!$AB$5+'TE CVA'!$AB$5)*1*(1-0.02)</f>
        <v>76.399196898794187</v>
      </c>
      <c r="AB213" s="6">
        <f>$K$213*$V$213</f>
        <v>0</v>
      </c>
      <c r="AC213" s="6">
        <f>$M$213*$W$213</f>
        <v>356.83895039999993</v>
      </c>
      <c r="AD213" s="6">
        <f>$O$213*$X$213</f>
        <v>31.265491199999996</v>
      </c>
      <c r="AE213" s="6">
        <f>$K$213*$Y$213</f>
        <v>0</v>
      </c>
      <c r="AF213" s="6">
        <f ca="1">$M$213*$Z$213</f>
        <v>514.79618753205</v>
      </c>
      <c r="AG213" s="6">
        <f>$O$213*$AA$213</f>
        <v>11.154282747223951</v>
      </c>
    </row>
    <row r="214" spans="1:33" ht="11.25" customHeight="1" x14ac:dyDescent="0.3">
      <c r="A214" s="4" t="s">
        <v>21</v>
      </c>
      <c r="B214" s="4" t="s">
        <v>39</v>
      </c>
      <c r="C214" s="4" t="s">
        <v>40</v>
      </c>
      <c r="D214" s="4" t="s">
        <v>43</v>
      </c>
      <c r="E214" s="4" t="s">
        <v>25</v>
      </c>
      <c r="F214" s="4" t="s">
        <v>25</v>
      </c>
      <c r="G214" s="4" t="s">
        <v>25</v>
      </c>
      <c r="H214" s="4" t="s">
        <v>34</v>
      </c>
      <c r="I214" s="5">
        <v>44774</v>
      </c>
      <c r="J214" s="6">
        <v>0</v>
      </c>
      <c r="K214" s="52">
        <v>0</v>
      </c>
      <c r="L214" s="6">
        <v>0.14099999999999999</v>
      </c>
      <c r="M214" s="52">
        <v>0.14099999999999999</v>
      </c>
      <c r="N214" s="6">
        <v>0.14099999999999999</v>
      </c>
      <c r="O214" s="52">
        <v>0.14099999999999999</v>
      </c>
      <c r="P214" s="6">
        <v>0</v>
      </c>
      <c r="Q214" s="4" t="s">
        <v>26</v>
      </c>
      <c r="R214" s="4">
        <v>0</v>
      </c>
      <c r="S214" s="6">
        <v>0</v>
      </c>
      <c r="T214" s="6">
        <v>23</v>
      </c>
      <c r="U214" s="6">
        <v>25</v>
      </c>
      <c r="V214" s="52">
        <f>IF(ISERROR(VLOOKUP($S$214,'TAR FIN'!$A$1:$O$85,15,0)),0,VLOOKUP($S$214,'TAR FIN'!$A$1:$O$85,15,0))</f>
        <v>0</v>
      </c>
      <c r="W214" s="52">
        <f>IF(ISERROR(VLOOKUP($T$214,'TAR FIN'!$A$1:$O$85,15,0)),0,VLOOKUP($T$214,'TAR FIN'!$A$1:$O$85,15,0))*(1-0.04)</f>
        <v>2444.1023999999998</v>
      </c>
      <c r="X214" s="52">
        <f>IF(ISERROR(VLOOKUP($U$214,'TAR FIN'!$A$1:$O$85,15,0)),0,VLOOKUP($U$214,'TAR FIN'!$A$1:$O$85,15,0))*(1-0.04)</f>
        <v>214.1472</v>
      </c>
      <c r="Y214" s="52"/>
      <c r="Z214" s="52">
        <f ca="1">('TUSD BE'!$AM$11+'TUSD BF'!$AM$11+'TUSD CVA'!$AM$11)*1*(1-0.02)</f>
        <v>3526.001284466096</v>
      </c>
      <c r="AA214" s="52">
        <f>('TE BE'!$AB$5+'TE BF'!$AB$5+'TE CVA'!$AB$5)*1*(1-0.02)</f>
        <v>76.399196898794187</v>
      </c>
      <c r="AB214" s="6">
        <f>$K$214*$V$214</f>
        <v>0</v>
      </c>
      <c r="AC214" s="6">
        <f>$M$214*$W$214</f>
        <v>344.61843839999995</v>
      </c>
      <c r="AD214" s="6">
        <f>$O$214*$X$214</f>
        <v>30.194755199999996</v>
      </c>
      <c r="AE214" s="6">
        <f>$K$214*$Y$214</f>
        <v>0</v>
      </c>
      <c r="AF214" s="6">
        <f ca="1">$M$214*$Z$214</f>
        <v>497.1661811097195</v>
      </c>
      <c r="AG214" s="6">
        <f>$O$214*$AA$214</f>
        <v>10.77228676272998</v>
      </c>
    </row>
    <row r="215" spans="1:33" ht="11.25" customHeight="1" x14ac:dyDescent="0.3">
      <c r="A215" s="4" t="s">
        <v>21</v>
      </c>
      <c r="B215" s="4" t="s">
        <v>39</v>
      </c>
      <c r="C215" s="4" t="s">
        <v>40</v>
      </c>
      <c r="D215" s="4" t="s">
        <v>48</v>
      </c>
      <c r="E215" s="4" t="s">
        <v>49</v>
      </c>
      <c r="F215" s="4" t="s">
        <v>25</v>
      </c>
      <c r="G215" s="4" t="s">
        <v>25</v>
      </c>
      <c r="H215" s="4" t="s">
        <v>35</v>
      </c>
      <c r="I215" s="5">
        <v>44440</v>
      </c>
      <c r="J215" s="6">
        <v>0</v>
      </c>
      <c r="K215" s="52">
        <v>0</v>
      </c>
      <c r="L215" s="6">
        <v>138.11699999999999</v>
      </c>
      <c r="M215" s="52">
        <v>138.11699999999999</v>
      </c>
      <c r="N215" s="6">
        <v>138.11699999999999</v>
      </c>
      <c r="O215" s="52">
        <v>138.11699999999999</v>
      </c>
      <c r="P215" s="6">
        <v>0</v>
      </c>
      <c r="Q215" s="4" t="s">
        <v>26</v>
      </c>
      <c r="R215" s="4">
        <v>0</v>
      </c>
      <c r="S215" s="6">
        <v>0</v>
      </c>
      <c r="T215" s="6">
        <v>6</v>
      </c>
      <c r="U215" s="6">
        <v>50</v>
      </c>
      <c r="V215" s="52">
        <f>IF(ISERROR(VLOOKUP($S$215,'TAR FIN'!$A$1:$O$85,15,0)),0,VLOOKUP($S$215,'TAR FIN'!$A$1:$O$85,15,0))</f>
        <v>0</v>
      </c>
      <c r="W215" s="52">
        <f>IF(ISERROR(VLOOKUP($T$215,'TAR FIN'!$A$1:$O$85,15,0)),0,VLOOKUP($T$215,'TAR FIN'!$A$1:$O$85,15,0))*(1-0.06)</f>
        <v>63.440599999999989</v>
      </c>
      <c r="X215" s="52">
        <f>IF(ISERROR(VLOOKUP($U$215,'TAR FIN'!$A$1:$O$85,15,0)),0,VLOOKUP($U$215,'TAR FIN'!$A$1:$O$85,15,0))*(1-0.06)</f>
        <v>209.68579999999997</v>
      </c>
      <c r="Y215" s="52"/>
      <c r="Z215" s="52">
        <f ca="1">('TUSD BE'!$AM$12+'TUSD BF'!$AM$12+'TUSD CVA'!$AM$12)*1*(1-0.03)</f>
        <v>88.678761146834248</v>
      </c>
      <c r="AA215" s="52">
        <f>('TE BE'!$AB$6+'TE BF'!$AB$6+'TE CVA'!$AB$6)*1*(1-0.03)</f>
        <v>75.619613256969757</v>
      </c>
      <c r="AB215" s="6">
        <f>$K$215*$V$215</f>
        <v>0</v>
      </c>
      <c r="AC215" s="6">
        <f>$M$215*$W$215</f>
        <v>8762.2253501999985</v>
      </c>
      <c r="AD215" s="6">
        <f>$O$215*$X$215</f>
        <v>28961.173638599994</v>
      </c>
      <c r="AE215" s="6">
        <f>$K$215*$Y$215</f>
        <v>0</v>
      </c>
      <c r="AF215" s="6">
        <f ca="1">$M$215*$Z$215</f>
        <v>12248.044453317305</v>
      </c>
      <c r="AG215" s="6">
        <f>$O$215*$AA$215</f>
        <v>10444.35412421289</v>
      </c>
    </row>
    <row r="216" spans="1:33" ht="11.25" customHeight="1" x14ac:dyDescent="0.3">
      <c r="A216" s="4" t="s">
        <v>21</v>
      </c>
      <c r="B216" s="4" t="s">
        <v>39</v>
      </c>
      <c r="C216" s="4" t="s">
        <v>40</v>
      </c>
      <c r="D216" s="4" t="s">
        <v>48</v>
      </c>
      <c r="E216" s="4" t="s">
        <v>49</v>
      </c>
      <c r="F216" s="4" t="s">
        <v>25</v>
      </c>
      <c r="G216" s="4" t="s">
        <v>25</v>
      </c>
      <c r="H216" s="4" t="s">
        <v>35</v>
      </c>
      <c r="I216" s="5">
        <v>44470</v>
      </c>
      <c r="J216" s="6">
        <v>0</v>
      </c>
      <c r="K216" s="52">
        <v>0</v>
      </c>
      <c r="L216" s="6">
        <v>152.06100000000001</v>
      </c>
      <c r="M216" s="52">
        <v>152.06100000000001</v>
      </c>
      <c r="N216" s="6">
        <v>152.06100000000001</v>
      </c>
      <c r="O216" s="52">
        <v>152.06100000000001</v>
      </c>
      <c r="P216" s="6">
        <v>0</v>
      </c>
      <c r="Q216" s="4" t="s">
        <v>26</v>
      </c>
      <c r="R216" s="4">
        <v>0</v>
      </c>
      <c r="S216" s="6">
        <v>0</v>
      </c>
      <c r="T216" s="6">
        <v>6</v>
      </c>
      <c r="U216" s="6">
        <v>50</v>
      </c>
      <c r="V216" s="52">
        <f>IF(ISERROR(VLOOKUP($S$216,'TAR FIN'!$A$1:$O$85,15,0)),0,VLOOKUP($S$216,'TAR FIN'!$A$1:$O$85,15,0))</f>
        <v>0</v>
      </c>
      <c r="W216" s="52">
        <f>IF(ISERROR(VLOOKUP($T$216,'TAR FIN'!$A$1:$O$85,15,0)),0,VLOOKUP($T$216,'TAR FIN'!$A$1:$O$85,15,0))*(1-0.06)</f>
        <v>63.440599999999989</v>
      </c>
      <c r="X216" s="52">
        <f>IF(ISERROR(VLOOKUP($U$216,'TAR FIN'!$A$1:$O$85,15,0)),0,VLOOKUP($U$216,'TAR FIN'!$A$1:$O$85,15,0))*(1-0.06)</f>
        <v>209.68579999999997</v>
      </c>
      <c r="Y216" s="52"/>
      <c r="Z216" s="52">
        <f ca="1">('TUSD BE'!$AM$12+'TUSD BF'!$AM$12+'TUSD CVA'!$AM$12)*1*(1-0.03)</f>
        <v>88.678761146834248</v>
      </c>
      <c r="AA216" s="52">
        <f>('TE BE'!$AB$6+'TE BF'!$AB$6+'TE CVA'!$AB$6)*1*(1-0.03)</f>
        <v>75.619613256969757</v>
      </c>
      <c r="AB216" s="6">
        <f>$K$216*$V$216</f>
        <v>0</v>
      </c>
      <c r="AC216" s="6">
        <f>$M$216*$W$216</f>
        <v>9646.8410765999979</v>
      </c>
      <c r="AD216" s="6">
        <f>$O$216*$X$216</f>
        <v>31885.032433799995</v>
      </c>
      <c r="AE216" s="6">
        <f>$K$216*$Y$216</f>
        <v>0</v>
      </c>
      <c r="AF216" s="6">
        <f ca="1">$M$216*$Z$216</f>
        <v>13484.581098748764</v>
      </c>
      <c r="AG216" s="6">
        <f>$O$216*$AA$216</f>
        <v>11498.794011468079</v>
      </c>
    </row>
    <row r="217" spans="1:33" ht="11.25" customHeight="1" x14ac:dyDescent="0.3">
      <c r="A217" s="4" t="s">
        <v>21</v>
      </c>
      <c r="B217" s="4" t="s">
        <v>39</v>
      </c>
      <c r="C217" s="4" t="s">
        <v>40</v>
      </c>
      <c r="D217" s="4" t="s">
        <v>48</v>
      </c>
      <c r="E217" s="4" t="s">
        <v>49</v>
      </c>
      <c r="F217" s="4" t="s">
        <v>25</v>
      </c>
      <c r="G217" s="4" t="s">
        <v>25</v>
      </c>
      <c r="H217" s="4" t="s">
        <v>35</v>
      </c>
      <c r="I217" s="5">
        <v>44501</v>
      </c>
      <c r="J217" s="6">
        <v>0</v>
      </c>
      <c r="K217" s="52">
        <v>0</v>
      </c>
      <c r="L217" s="6">
        <v>155.066</v>
      </c>
      <c r="M217" s="52">
        <v>155.066</v>
      </c>
      <c r="N217" s="6">
        <v>155.066</v>
      </c>
      <c r="O217" s="52">
        <v>155.066</v>
      </c>
      <c r="P217" s="6">
        <v>0</v>
      </c>
      <c r="Q217" s="4" t="s">
        <v>26</v>
      </c>
      <c r="R217" s="4">
        <v>0</v>
      </c>
      <c r="S217" s="6">
        <v>0</v>
      </c>
      <c r="T217" s="6">
        <v>6</v>
      </c>
      <c r="U217" s="6">
        <v>50</v>
      </c>
      <c r="V217" s="52">
        <f>IF(ISERROR(VLOOKUP($S$217,'TAR FIN'!$A$1:$O$85,15,0)),0,VLOOKUP($S$217,'TAR FIN'!$A$1:$O$85,15,0))</f>
        <v>0</v>
      </c>
      <c r="W217" s="52">
        <f>IF(ISERROR(VLOOKUP($T$217,'TAR FIN'!$A$1:$O$85,15,0)),0,VLOOKUP($T$217,'TAR FIN'!$A$1:$O$85,15,0))*(1-0.06)</f>
        <v>63.440599999999989</v>
      </c>
      <c r="X217" s="52">
        <f>IF(ISERROR(VLOOKUP($U$217,'TAR FIN'!$A$1:$O$85,15,0)),0,VLOOKUP($U$217,'TAR FIN'!$A$1:$O$85,15,0))*(1-0.06)</f>
        <v>209.68579999999997</v>
      </c>
      <c r="Y217" s="52"/>
      <c r="Z217" s="52">
        <f ca="1">('TUSD BE'!$AM$12+'TUSD BF'!$AM$12+'TUSD CVA'!$AM$12)*1*(1-0.03)</f>
        <v>88.678761146834248</v>
      </c>
      <c r="AA217" s="52">
        <f>('TE BE'!$AB$6+'TE BF'!$AB$6+'TE CVA'!$AB$6)*1*(1-0.03)</f>
        <v>75.619613256969757</v>
      </c>
      <c r="AB217" s="6">
        <f>$K$217*$V$217</f>
        <v>0</v>
      </c>
      <c r="AC217" s="6">
        <f>$M$217*$W$217</f>
        <v>9837.4800795999981</v>
      </c>
      <c r="AD217" s="6">
        <f>$O$217*$X$217</f>
        <v>32515.138262799996</v>
      </c>
      <c r="AE217" s="6">
        <f>$K$217*$Y$217</f>
        <v>0</v>
      </c>
      <c r="AF217" s="6">
        <f ca="1">$M$217*$Z$217</f>
        <v>13751.060775995</v>
      </c>
      <c r="AG217" s="6">
        <f>$O$217*$AA$217</f>
        <v>11726.030949305272</v>
      </c>
    </row>
    <row r="218" spans="1:33" ht="11.25" customHeight="1" x14ac:dyDescent="0.3">
      <c r="A218" s="4" t="s">
        <v>21</v>
      </c>
      <c r="B218" s="4" t="s">
        <v>39</v>
      </c>
      <c r="C218" s="4" t="s">
        <v>40</v>
      </c>
      <c r="D218" s="4" t="s">
        <v>48</v>
      </c>
      <c r="E218" s="4" t="s">
        <v>49</v>
      </c>
      <c r="F218" s="4" t="s">
        <v>25</v>
      </c>
      <c r="G218" s="4" t="s">
        <v>25</v>
      </c>
      <c r="H218" s="4" t="s">
        <v>35</v>
      </c>
      <c r="I218" s="5">
        <v>44531</v>
      </c>
      <c r="J218" s="6">
        <v>0</v>
      </c>
      <c r="K218" s="52">
        <v>0</v>
      </c>
      <c r="L218" s="6">
        <v>180.202</v>
      </c>
      <c r="M218" s="52">
        <v>180.202</v>
      </c>
      <c r="N218" s="6">
        <v>180.202</v>
      </c>
      <c r="O218" s="52">
        <v>180.202</v>
      </c>
      <c r="P218" s="6">
        <v>0</v>
      </c>
      <c r="Q218" s="4" t="s">
        <v>26</v>
      </c>
      <c r="R218" s="4">
        <v>0</v>
      </c>
      <c r="S218" s="6">
        <v>0</v>
      </c>
      <c r="T218" s="6">
        <v>6</v>
      </c>
      <c r="U218" s="6">
        <v>50</v>
      </c>
      <c r="V218" s="52">
        <f>IF(ISERROR(VLOOKUP($S$218,'TAR FIN'!$A$1:$O$85,15,0)),0,VLOOKUP($S$218,'TAR FIN'!$A$1:$O$85,15,0))</f>
        <v>0</v>
      </c>
      <c r="W218" s="52">
        <f>IF(ISERROR(VLOOKUP($T$218,'TAR FIN'!$A$1:$O$85,15,0)),0,VLOOKUP($T$218,'TAR FIN'!$A$1:$O$85,15,0))*(1-0.06)</f>
        <v>63.440599999999989</v>
      </c>
      <c r="X218" s="52">
        <f>IF(ISERROR(VLOOKUP($U$218,'TAR FIN'!$A$1:$O$85,15,0)),0,VLOOKUP($U$218,'TAR FIN'!$A$1:$O$85,15,0))*(1-0.06)</f>
        <v>209.68579999999997</v>
      </c>
      <c r="Y218" s="52"/>
      <c r="Z218" s="52">
        <f ca="1">('TUSD BE'!$AM$12+'TUSD BF'!$AM$12+'TUSD CVA'!$AM$12)*1*(1-0.03)</f>
        <v>88.678761146834248</v>
      </c>
      <c r="AA218" s="52">
        <f>('TE BE'!$AB$6+'TE BF'!$AB$6+'TE CVA'!$AB$6)*1*(1-0.03)</f>
        <v>75.619613256969757</v>
      </c>
      <c r="AB218" s="6">
        <f>$K$218*$V$218</f>
        <v>0</v>
      </c>
      <c r="AC218" s="6">
        <f>$M$218*$W$218</f>
        <v>11432.123001199998</v>
      </c>
      <c r="AD218" s="6">
        <f>$O$218*$X$218</f>
        <v>37785.800531599998</v>
      </c>
      <c r="AE218" s="6">
        <f>$K$218*$Y$218</f>
        <v>0</v>
      </c>
      <c r="AF218" s="6">
        <f ca="1">$M$218*$Z$218</f>
        <v>15980.090116181826</v>
      </c>
      <c r="AG218" s="6">
        <f>$O$218*$AA$218</f>
        <v>13626.805548132465</v>
      </c>
    </row>
    <row r="219" spans="1:33" ht="11.25" customHeight="1" x14ac:dyDescent="0.3">
      <c r="A219" s="4" t="s">
        <v>21</v>
      </c>
      <c r="B219" s="4" t="s">
        <v>39</v>
      </c>
      <c r="C219" s="4" t="s">
        <v>40</v>
      </c>
      <c r="D219" s="4" t="s">
        <v>48</v>
      </c>
      <c r="E219" s="4" t="s">
        <v>49</v>
      </c>
      <c r="F219" s="4" t="s">
        <v>25</v>
      </c>
      <c r="G219" s="4" t="s">
        <v>25</v>
      </c>
      <c r="H219" s="4" t="s">
        <v>35</v>
      </c>
      <c r="I219" s="5">
        <v>44562</v>
      </c>
      <c r="J219" s="6">
        <v>0</v>
      </c>
      <c r="K219" s="52">
        <v>0</v>
      </c>
      <c r="L219" s="6">
        <v>222.1</v>
      </c>
      <c r="M219" s="52">
        <v>222.1</v>
      </c>
      <c r="N219" s="6">
        <v>222.1</v>
      </c>
      <c r="O219" s="52">
        <v>222.1</v>
      </c>
      <c r="P219" s="6">
        <v>0</v>
      </c>
      <c r="Q219" s="4" t="s">
        <v>26</v>
      </c>
      <c r="R219" s="4">
        <v>0</v>
      </c>
      <c r="S219" s="6">
        <v>0</v>
      </c>
      <c r="T219" s="6">
        <v>6</v>
      </c>
      <c r="U219" s="6">
        <v>50</v>
      </c>
      <c r="V219" s="52">
        <f>IF(ISERROR(VLOOKUP($S$219,'TAR FIN'!$A$1:$O$85,15,0)),0,VLOOKUP($S$219,'TAR FIN'!$A$1:$O$85,15,0))</f>
        <v>0</v>
      </c>
      <c r="W219" s="52">
        <f>IF(ISERROR(VLOOKUP($T$219,'TAR FIN'!$A$1:$O$85,15,0)),0,VLOOKUP($T$219,'TAR FIN'!$A$1:$O$85,15,0))*(1-0.06)</f>
        <v>63.440599999999989</v>
      </c>
      <c r="X219" s="52">
        <f>IF(ISERROR(VLOOKUP($U$219,'TAR FIN'!$A$1:$O$85,15,0)),0,VLOOKUP($U$219,'TAR FIN'!$A$1:$O$85,15,0))*(1-0.06)</f>
        <v>209.68579999999997</v>
      </c>
      <c r="Y219" s="52"/>
      <c r="Z219" s="52">
        <f ca="1">('TUSD BE'!$AM$12+'TUSD BF'!$AM$12+'TUSD CVA'!$AM$12)*1*(1-0.03)</f>
        <v>88.678761146834248</v>
      </c>
      <c r="AA219" s="52">
        <f>('TE BE'!$AB$6+'TE BF'!$AB$6+'TE CVA'!$AB$6)*1*(1-0.03)</f>
        <v>75.619613256969757</v>
      </c>
      <c r="AB219" s="6">
        <f>$K$219*$V$219</f>
        <v>0</v>
      </c>
      <c r="AC219" s="6">
        <f>$M$219*$W$219</f>
        <v>14090.157259999998</v>
      </c>
      <c r="AD219" s="6">
        <f>$O$219*$X$219</f>
        <v>46571.216179999996</v>
      </c>
      <c r="AE219" s="6">
        <f>$K$219*$Y$219</f>
        <v>0</v>
      </c>
      <c r="AF219" s="6">
        <f ca="1">$M$219*$Z$219</f>
        <v>19695.552850711887</v>
      </c>
      <c r="AG219" s="6">
        <f>$O$219*$AA$219</f>
        <v>16795.116104372981</v>
      </c>
    </row>
    <row r="220" spans="1:33" ht="11.25" customHeight="1" x14ac:dyDescent="0.3">
      <c r="A220" s="4" t="s">
        <v>21</v>
      </c>
      <c r="B220" s="4" t="s">
        <v>39</v>
      </c>
      <c r="C220" s="4" t="s">
        <v>40</v>
      </c>
      <c r="D220" s="4" t="s">
        <v>48</v>
      </c>
      <c r="E220" s="4" t="s">
        <v>49</v>
      </c>
      <c r="F220" s="4" t="s">
        <v>25</v>
      </c>
      <c r="G220" s="4" t="s">
        <v>25</v>
      </c>
      <c r="H220" s="4" t="s">
        <v>35</v>
      </c>
      <c r="I220" s="5">
        <v>44593</v>
      </c>
      <c r="J220" s="6">
        <v>0</v>
      </c>
      <c r="K220" s="52">
        <v>0</v>
      </c>
      <c r="L220" s="6">
        <v>190.614</v>
      </c>
      <c r="M220" s="52">
        <v>190.614</v>
      </c>
      <c r="N220" s="6">
        <v>190.614</v>
      </c>
      <c r="O220" s="52">
        <v>190.614</v>
      </c>
      <c r="P220" s="6">
        <v>0</v>
      </c>
      <c r="Q220" s="4" t="s">
        <v>26</v>
      </c>
      <c r="R220" s="4">
        <v>0</v>
      </c>
      <c r="S220" s="6">
        <v>0</v>
      </c>
      <c r="T220" s="6">
        <v>6</v>
      </c>
      <c r="U220" s="6">
        <v>50</v>
      </c>
      <c r="V220" s="52">
        <f>IF(ISERROR(VLOOKUP($S$220,'TAR FIN'!$A$1:$O$85,15,0)),0,VLOOKUP($S$220,'TAR FIN'!$A$1:$O$85,15,0))</f>
        <v>0</v>
      </c>
      <c r="W220" s="52">
        <f>IF(ISERROR(VLOOKUP($T$220,'TAR FIN'!$A$1:$O$85,15,0)),0,VLOOKUP($T$220,'TAR FIN'!$A$1:$O$85,15,0))*(1-0.06)</f>
        <v>63.440599999999989</v>
      </c>
      <c r="X220" s="52">
        <f>IF(ISERROR(VLOOKUP($U$220,'TAR FIN'!$A$1:$O$85,15,0)),0,VLOOKUP($U$220,'TAR FIN'!$A$1:$O$85,15,0))*(1-0.06)</f>
        <v>209.68579999999997</v>
      </c>
      <c r="Y220" s="52"/>
      <c r="Z220" s="52">
        <f ca="1">('TUSD BE'!$AM$12+'TUSD BF'!$AM$12+'TUSD CVA'!$AM$12)*1*(1-0.03)</f>
        <v>88.678761146834248</v>
      </c>
      <c r="AA220" s="52">
        <f>('TE BE'!$AB$6+'TE BF'!$AB$6+'TE CVA'!$AB$6)*1*(1-0.03)</f>
        <v>75.619613256969757</v>
      </c>
      <c r="AB220" s="6">
        <f>$K$220*$V$220</f>
        <v>0</v>
      </c>
      <c r="AC220" s="6">
        <f>$M$220*$W$220</f>
        <v>12092.666528399997</v>
      </c>
      <c r="AD220" s="6">
        <f>$O$220*$X$220</f>
        <v>39969.049081199999</v>
      </c>
      <c r="AE220" s="6">
        <f>$K$220*$Y$220</f>
        <v>0</v>
      </c>
      <c r="AF220" s="6">
        <f ca="1">$M$220*$Z$220</f>
        <v>16903.413377242665</v>
      </c>
      <c r="AG220" s="6">
        <f>$O$220*$AA$220</f>
        <v>14414.156961364033</v>
      </c>
    </row>
    <row r="221" spans="1:33" ht="11.25" customHeight="1" x14ac:dyDescent="0.3">
      <c r="A221" s="4" t="s">
        <v>21</v>
      </c>
      <c r="B221" s="4" t="s">
        <v>39</v>
      </c>
      <c r="C221" s="4" t="s">
        <v>40</v>
      </c>
      <c r="D221" s="4" t="s">
        <v>48</v>
      </c>
      <c r="E221" s="4" t="s">
        <v>49</v>
      </c>
      <c r="F221" s="4" t="s">
        <v>25</v>
      </c>
      <c r="G221" s="4" t="s">
        <v>25</v>
      </c>
      <c r="H221" s="4" t="s">
        <v>35</v>
      </c>
      <c r="I221" s="5">
        <v>44621</v>
      </c>
      <c r="J221" s="6">
        <v>0</v>
      </c>
      <c r="K221" s="52">
        <v>0</v>
      </c>
      <c r="L221" s="6">
        <v>182.78899999999999</v>
      </c>
      <c r="M221" s="52">
        <v>182.78899999999999</v>
      </c>
      <c r="N221" s="6">
        <v>182.78899999999999</v>
      </c>
      <c r="O221" s="52">
        <v>182.78899999999999</v>
      </c>
      <c r="P221" s="6">
        <v>0</v>
      </c>
      <c r="Q221" s="4" t="s">
        <v>26</v>
      </c>
      <c r="R221" s="4">
        <v>0</v>
      </c>
      <c r="S221" s="6">
        <v>0</v>
      </c>
      <c r="T221" s="6">
        <v>6</v>
      </c>
      <c r="U221" s="6">
        <v>50</v>
      </c>
      <c r="V221" s="52">
        <f>IF(ISERROR(VLOOKUP($S$221,'TAR FIN'!$A$1:$O$85,15,0)),0,VLOOKUP($S$221,'TAR FIN'!$A$1:$O$85,15,0))</f>
        <v>0</v>
      </c>
      <c r="W221" s="52">
        <f>IF(ISERROR(VLOOKUP($T$221,'TAR FIN'!$A$1:$O$85,15,0)),0,VLOOKUP($T$221,'TAR FIN'!$A$1:$O$85,15,0))*(1-0.06)</f>
        <v>63.440599999999989</v>
      </c>
      <c r="X221" s="52">
        <f>IF(ISERROR(VLOOKUP($U$221,'TAR FIN'!$A$1:$O$85,15,0)),0,VLOOKUP($U$221,'TAR FIN'!$A$1:$O$85,15,0))*(1-0.06)</f>
        <v>209.68579999999997</v>
      </c>
      <c r="Y221" s="52"/>
      <c r="Z221" s="52">
        <f ca="1">('TUSD BE'!$AM$12+'TUSD BF'!$AM$12+'TUSD CVA'!$AM$12)*1*(1-0.03)</f>
        <v>88.678761146834248</v>
      </c>
      <c r="AA221" s="52">
        <f>('TE BE'!$AB$6+'TE BF'!$AB$6+'TE CVA'!$AB$6)*1*(1-0.03)</f>
        <v>75.619613256969757</v>
      </c>
      <c r="AB221" s="6">
        <f>$K$221*$V$221</f>
        <v>0</v>
      </c>
      <c r="AC221" s="6">
        <f>$M$221*$W$221</f>
        <v>11596.243833399998</v>
      </c>
      <c r="AD221" s="6">
        <f>$O$221*$X$221</f>
        <v>38328.257696199995</v>
      </c>
      <c r="AE221" s="6">
        <f>$K$221*$Y$221</f>
        <v>0</v>
      </c>
      <c r="AF221" s="6">
        <f ca="1">$M$221*$Z$221</f>
        <v>16209.502071268684</v>
      </c>
      <c r="AG221" s="6">
        <f>$O$221*$AA$221</f>
        <v>13822.433487628245</v>
      </c>
    </row>
    <row r="222" spans="1:33" ht="11.25" customHeight="1" x14ac:dyDescent="0.3">
      <c r="A222" s="4" t="s">
        <v>21</v>
      </c>
      <c r="B222" s="4" t="s">
        <v>39</v>
      </c>
      <c r="C222" s="4" t="s">
        <v>40</v>
      </c>
      <c r="D222" s="4" t="s">
        <v>48</v>
      </c>
      <c r="E222" s="4" t="s">
        <v>49</v>
      </c>
      <c r="F222" s="4" t="s">
        <v>25</v>
      </c>
      <c r="G222" s="4" t="s">
        <v>25</v>
      </c>
      <c r="H222" s="4" t="s">
        <v>35</v>
      </c>
      <c r="I222" s="5">
        <v>44652</v>
      </c>
      <c r="J222" s="6">
        <v>0</v>
      </c>
      <c r="K222" s="52">
        <v>0</v>
      </c>
      <c r="L222" s="6">
        <v>182.22300000000001</v>
      </c>
      <c r="M222" s="52">
        <v>182.22300000000001</v>
      </c>
      <c r="N222" s="6">
        <v>182.22300000000001</v>
      </c>
      <c r="O222" s="52">
        <v>182.22300000000001</v>
      </c>
      <c r="P222" s="6">
        <v>0</v>
      </c>
      <c r="Q222" s="4" t="s">
        <v>26</v>
      </c>
      <c r="R222" s="4">
        <v>0</v>
      </c>
      <c r="S222" s="6">
        <v>0</v>
      </c>
      <c r="T222" s="6">
        <v>6</v>
      </c>
      <c r="U222" s="6">
        <v>50</v>
      </c>
      <c r="V222" s="52">
        <f>IF(ISERROR(VLOOKUP($S$222,'TAR FIN'!$A$1:$O$85,15,0)),0,VLOOKUP($S$222,'TAR FIN'!$A$1:$O$85,15,0))</f>
        <v>0</v>
      </c>
      <c r="W222" s="52">
        <f>IF(ISERROR(VLOOKUP($T$222,'TAR FIN'!$A$1:$O$85,15,0)),0,VLOOKUP($T$222,'TAR FIN'!$A$1:$O$85,15,0))*(1-0.06)</f>
        <v>63.440599999999989</v>
      </c>
      <c r="X222" s="52">
        <f>IF(ISERROR(VLOOKUP($U$222,'TAR FIN'!$A$1:$O$85,15,0)),0,VLOOKUP($U$222,'TAR FIN'!$A$1:$O$85,15,0))*(1-0.06)</f>
        <v>209.68579999999997</v>
      </c>
      <c r="Y222" s="52"/>
      <c r="Z222" s="52">
        <f ca="1">('TUSD BE'!$AM$12+'TUSD BF'!$AM$12+'TUSD CVA'!$AM$12)*1*(1-0.03)</f>
        <v>88.678761146834248</v>
      </c>
      <c r="AA222" s="52">
        <f>('TE BE'!$AB$6+'TE BF'!$AB$6+'TE CVA'!$AB$6)*1*(1-0.03)</f>
        <v>75.619613256969757</v>
      </c>
      <c r="AB222" s="6">
        <f>$K$222*$V$222</f>
        <v>0</v>
      </c>
      <c r="AC222" s="6">
        <f>$M$222*$W$222</f>
        <v>11560.336453799999</v>
      </c>
      <c r="AD222" s="6">
        <f>$O$222*$X$222</f>
        <v>38209.575533399999</v>
      </c>
      <c r="AE222" s="6">
        <f>$K$222*$Y$222</f>
        <v>0</v>
      </c>
      <c r="AF222" s="6">
        <f ca="1">$M$222*$Z$222</f>
        <v>16159.309892459578</v>
      </c>
      <c r="AG222" s="6">
        <f>$O$222*$AA$222</f>
        <v>13779.6327865248</v>
      </c>
    </row>
    <row r="223" spans="1:33" ht="11.25" customHeight="1" x14ac:dyDescent="0.3">
      <c r="A223" s="4" t="s">
        <v>21</v>
      </c>
      <c r="B223" s="4" t="s">
        <v>39</v>
      </c>
      <c r="C223" s="4" t="s">
        <v>40</v>
      </c>
      <c r="D223" s="4" t="s">
        <v>48</v>
      </c>
      <c r="E223" s="4" t="s">
        <v>49</v>
      </c>
      <c r="F223" s="4" t="s">
        <v>25</v>
      </c>
      <c r="G223" s="4" t="s">
        <v>25</v>
      </c>
      <c r="H223" s="4" t="s">
        <v>35</v>
      </c>
      <c r="I223" s="5">
        <v>44682</v>
      </c>
      <c r="J223" s="6">
        <v>0</v>
      </c>
      <c r="K223" s="52">
        <v>0</v>
      </c>
      <c r="L223" s="6">
        <v>172.721</v>
      </c>
      <c r="M223" s="52">
        <v>172.721</v>
      </c>
      <c r="N223" s="6">
        <v>172.721</v>
      </c>
      <c r="O223" s="52">
        <v>172.721</v>
      </c>
      <c r="P223" s="6">
        <v>0</v>
      </c>
      <c r="Q223" s="4" t="s">
        <v>26</v>
      </c>
      <c r="R223" s="4">
        <v>0</v>
      </c>
      <c r="S223" s="6">
        <v>0</v>
      </c>
      <c r="T223" s="6">
        <v>6</v>
      </c>
      <c r="U223" s="6">
        <v>50</v>
      </c>
      <c r="V223" s="52">
        <f>IF(ISERROR(VLOOKUP($S$223,'TAR FIN'!$A$1:$O$85,15,0)),0,VLOOKUP($S$223,'TAR FIN'!$A$1:$O$85,15,0))</f>
        <v>0</v>
      </c>
      <c r="W223" s="52">
        <f>IF(ISERROR(VLOOKUP($T$223,'TAR FIN'!$A$1:$O$85,15,0)),0,VLOOKUP($T$223,'TAR FIN'!$A$1:$O$85,15,0))*(1-0.06)</f>
        <v>63.440599999999989</v>
      </c>
      <c r="X223" s="52">
        <f>IF(ISERROR(VLOOKUP($U$223,'TAR FIN'!$A$1:$O$85,15,0)),0,VLOOKUP($U$223,'TAR FIN'!$A$1:$O$85,15,0))*(1-0.06)</f>
        <v>209.68579999999997</v>
      </c>
      <c r="Y223" s="52"/>
      <c r="Z223" s="52">
        <f ca="1">('TUSD BE'!$AM$12+'TUSD BF'!$AM$12+'TUSD CVA'!$AM$12)*1*(1-0.03)</f>
        <v>88.678761146834248</v>
      </c>
      <c r="AA223" s="52">
        <f>('TE BE'!$AB$6+'TE BF'!$AB$6+'TE CVA'!$AB$6)*1*(1-0.03)</f>
        <v>75.619613256969757</v>
      </c>
      <c r="AB223" s="6">
        <f>$K$223*$V$223</f>
        <v>0</v>
      </c>
      <c r="AC223" s="6">
        <f>$M$223*$W$223</f>
        <v>10957.523872599999</v>
      </c>
      <c r="AD223" s="6">
        <f>$O$223*$X$223</f>
        <v>36217.141061799994</v>
      </c>
      <c r="AE223" s="6">
        <f>$K$223*$Y$223</f>
        <v>0</v>
      </c>
      <c r="AF223" s="6">
        <f ca="1">$M$223*$Z$223</f>
        <v>15316.684304042359</v>
      </c>
      <c r="AG223" s="6">
        <f>$O$223*$AA$223</f>
        <v>13061.095221357074</v>
      </c>
    </row>
    <row r="224" spans="1:33" ht="11.25" customHeight="1" x14ac:dyDescent="0.3">
      <c r="A224" s="4" t="s">
        <v>21</v>
      </c>
      <c r="B224" s="4" t="s">
        <v>39</v>
      </c>
      <c r="C224" s="4" t="s">
        <v>40</v>
      </c>
      <c r="D224" s="4" t="s">
        <v>48</v>
      </c>
      <c r="E224" s="4" t="s">
        <v>49</v>
      </c>
      <c r="F224" s="4" t="s">
        <v>25</v>
      </c>
      <c r="G224" s="4" t="s">
        <v>25</v>
      </c>
      <c r="H224" s="4" t="s">
        <v>35</v>
      </c>
      <c r="I224" s="5">
        <v>44713</v>
      </c>
      <c r="J224" s="6">
        <v>0</v>
      </c>
      <c r="K224" s="52">
        <v>0</v>
      </c>
      <c r="L224" s="6">
        <v>150.96</v>
      </c>
      <c r="M224" s="52">
        <v>150.96</v>
      </c>
      <c r="N224" s="6">
        <v>150.96</v>
      </c>
      <c r="O224" s="52">
        <v>150.96</v>
      </c>
      <c r="P224" s="6">
        <v>0</v>
      </c>
      <c r="Q224" s="4" t="s">
        <v>26</v>
      </c>
      <c r="R224" s="4">
        <v>0</v>
      </c>
      <c r="S224" s="6">
        <v>0</v>
      </c>
      <c r="T224" s="6">
        <v>6</v>
      </c>
      <c r="U224" s="6">
        <v>50</v>
      </c>
      <c r="V224" s="52">
        <f>IF(ISERROR(VLOOKUP($S$224,'TAR FIN'!$A$1:$O$85,15,0)),0,VLOOKUP($S$224,'TAR FIN'!$A$1:$O$85,15,0))</f>
        <v>0</v>
      </c>
      <c r="W224" s="52">
        <f>IF(ISERROR(VLOOKUP($T$224,'TAR FIN'!$A$1:$O$85,15,0)),0,VLOOKUP($T$224,'TAR FIN'!$A$1:$O$85,15,0))*(1-0.06)</f>
        <v>63.440599999999989</v>
      </c>
      <c r="X224" s="52">
        <f>IF(ISERROR(VLOOKUP($U$224,'TAR FIN'!$A$1:$O$85,15,0)),0,VLOOKUP($U$224,'TAR FIN'!$A$1:$O$85,15,0))*(1-0.06)</f>
        <v>209.68579999999997</v>
      </c>
      <c r="Y224" s="52"/>
      <c r="Z224" s="52">
        <f ca="1">('TUSD BE'!$AM$12+'TUSD BF'!$AM$12+'TUSD CVA'!$AM$12)*1*(1-0.03)</f>
        <v>88.678761146834248</v>
      </c>
      <c r="AA224" s="52">
        <f>('TE BE'!$AB$6+'TE BF'!$AB$6+'TE CVA'!$AB$6)*1*(1-0.03)</f>
        <v>75.619613256969757</v>
      </c>
      <c r="AB224" s="6">
        <f>$K$224*$V$224</f>
        <v>0</v>
      </c>
      <c r="AC224" s="6">
        <f>$M$224*$W$224</f>
        <v>9576.9929759999995</v>
      </c>
      <c r="AD224" s="6">
        <f>$O$224*$X$224</f>
        <v>31654.168367999999</v>
      </c>
      <c r="AE224" s="6">
        <f>$K$224*$Y$224</f>
        <v>0</v>
      </c>
      <c r="AF224" s="6">
        <f ca="1">$M$224*$Z$224</f>
        <v>13386.945782726099</v>
      </c>
      <c r="AG224" s="6">
        <f>$O$224*$AA$224</f>
        <v>11415.536817272156</v>
      </c>
    </row>
    <row r="225" spans="1:33" ht="11.25" customHeight="1" x14ac:dyDescent="0.3">
      <c r="A225" s="4" t="s">
        <v>21</v>
      </c>
      <c r="B225" s="4" t="s">
        <v>39</v>
      </c>
      <c r="C225" s="4" t="s">
        <v>40</v>
      </c>
      <c r="D225" s="4" t="s">
        <v>48</v>
      </c>
      <c r="E225" s="4" t="s">
        <v>49</v>
      </c>
      <c r="F225" s="4" t="s">
        <v>25</v>
      </c>
      <c r="G225" s="4" t="s">
        <v>25</v>
      </c>
      <c r="H225" s="4" t="s">
        <v>35</v>
      </c>
      <c r="I225" s="5">
        <v>44743</v>
      </c>
      <c r="J225" s="6">
        <v>0</v>
      </c>
      <c r="K225" s="52">
        <v>0</v>
      </c>
      <c r="L225" s="6">
        <v>167.42699999999999</v>
      </c>
      <c r="M225" s="52">
        <v>167.42699999999999</v>
      </c>
      <c r="N225" s="6">
        <v>167.42699999999999</v>
      </c>
      <c r="O225" s="52">
        <v>167.42699999999999</v>
      </c>
      <c r="P225" s="6">
        <v>0</v>
      </c>
      <c r="Q225" s="4" t="s">
        <v>26</v>
      </c>
      <c r="R225" s="4">
        <v>0</v>
      </c>
      <c r="S225" s="6">
        <v>0</v>
      </c>
      <c r="T225" s="6">
        <v>6</v>
      </c>
      <c r="U225" s="6">
        <v>50</v>
      </c>
      <c r="V225" s="52">
        <f>IF(ISERROR(VLOOKUP($S$225,'TAR FIN'!$A$1:$O$85,15,0)),0,VLOOKUP($S$225,'TAR FIN'!$A$1:$O$85,15,0))</f>
        <v>0</v>
      </c>
      <c r="W225" s="52">
        <f>IF(ISERROR(VLOOKUP($T$225,'TAR FIN'!$A$1:$O$85,15,0)),0,VLOOKUP($T$225,'TAR FIN'!$A$1:$O$85,15,0))*(1-0.06)</f>
        <v>63.440599999999989</v>
      </c>
      <c r="X225" s="52">
        <f>IF(ISERROR(VLOOKUP($U$225,'TAR FIN'!$A$1:$O$85,15,0)),0,VLOOKUP($U$225,'TAR FIN'!$A$1:$O$85,15,0))*(1-0.06)</f>
        <v>209.68579999999997</v>
      </c>
      <c r="Y225" s="52"/>
      <c r="Z225" s="52">
        <f ca="1">('TUSD BE'!$AM$12+'TUSD BF'!$AM$12+'TUSD CVA'!$AM$12)*1*(1-0.03)</f>
        <v>88.678761146834248</v>
      </c>
      <c r="AA225" s="52">
        <f>('TE BE'!$AB$6+'TE BF'!$AB$6+'TE CVA'!$AB$6)*1*(1-0.03)</f>
        <v>75.619613256969757</v>
      </c>
      <c r="AB225" s="6">
        <f>$K$225*$V$225</f>
        <v>0</v>
      </c>
      <c r="AC225" s="6">
        <f>$M$225*$W$225</f>
        <v>10621.669336199997</v>
      </c>
      <c r="AD225" s="6">
        <f>$O$225*$X$225</f>
        <v>35107.064436599991</v>
      </c>
      <c r="AE225" s="6">
        <f>$K$225*$Y$225</f>
        <v>0</v>
      </c>
      <c r="AF225" s="6">
        <f ca="1">$M$225*$Z$225</f>
        <v>14847.218942531017</v>
      </c>
      <c r="AG225" s="6">
        <f>$O$225*$AA$225</f>
        <v>12660.764988774676</v>
      </c>
    </row>
    <row r="226" spans="1:33" ht="11.25" customHeight="1" x14ac:dyDescent="0.3">
      <c r="A226" s="4" t="s">
        <v>21</v>
      </c>
      <c r="B226" s="4" t="s">
        <v>39</v>
      </c>
      <c r="C226" s="4" t="s">
        <v>40</v>
      </c>
      <c r="D226" s="4" t="s">
        <v>48</v>
      </c>
      <c r="E226" s="4" t="s">
        <v>49</v>
      </c>
      <c r="F226" s="4" t="s">
        <v>25</v>
      </c>
      <c r="G226" s="4" t="s">
        <v>25</v>
      </c>
      <c r="H226" s="4" t="s">
        <v>35</v>
      </c>
      <c r="I226" s="5">
        <v>44774</v>
      </c>
      <c r="J226" s="6">
        <v>0</v>
      </c>
      <c r="K226" s="52">
        <v>0</v>
      </c>
      <c r="L226" s="6">
        <v>161.76599999999999</v>
      </c>
      <c r="M226" s="52">
        <v>161.76599999999999</v>
      </c>
      <c r="N226" s="6">
        <v>161.76599999999999</v>
      </c>
      <c r="O226" s="52">
        <v>161.76599999999999</v>
      </c>
      <c r="P226" s="6">
        <v>0</v>
      </c>
      <c r="Q226" s="4" t="s">
        <v>26</v>
      </c>
      <c r="R226" s="4">
        <v>0</v>
      </c>
      <c r="S226" s="6">
        <v>0</v>
      </c>
      <c r="T226" s="6">
        <v>6</v>
      </c>
      <c r="U226" s="6">
        <v>50</v>
      </c>
      <c r="V226" s="52">
        <f>IF(ISERROR(VLOOKUP($S$226,'TAR FIN'!$A$1:$O$85,15,0)),0,VLOOKUP($S$226,'TAR FIN'!$A$1:$O$85,15,0))</f>
        <v>0</v>
      </c>
      <c r="W226" s="52">
        <f>IF(ISERROR(VLOOKUP($T$226,'TAR FIN'!$A$1:$O$85,15,0)),0,VLOOKUP($T$226,'TAR FIN'!$A$1:$O$85,15,0))*(1-0.06)</f>
        <v>63.440599999999989</v>
      </c>
      <c r="X226" s="52">
        <f>IF(ISERROR(VLOOKUP($U$226,'TAR FIN'!$A$1:$O$85,15,0)),0,VLOOKUP($U$226,'TAR FIN'!$A$1:$O$85,15,0))*(1-0.06)</f>
        <v>209.68579999999997</v>
      </c>
      <c r="Y226" s="52"/>
      <c r="Z226" s="52">
        <f ca="1">('TUSD BE'!$AM$12+'TUSD BF'!$AM$12+'TUSD CVA'!$AM$12)*1*(1-0.03)</f>
        <v>88.678761146834248</v>
      </c>
      <c r="AA226" s="52">
        <f>('TE BE'!$AB$6+'TE BF'!$AB$6+'TE CVA'!$AB$6)*1*(1-0.03)</f>
        <v>75.619613256969757</v>
      </c>
      <c r="AB226" s="6">
        <f>$K$226*$V$226</f>
        <v>0</v>
      </c>
      <c r="AC226" s="6">
        <f>$M$226*$W$226</f>
        <v>10262.532099599997</v>
      </c>
      <c r="AD226" s="6">
        <f>$O$226*$X$226</f>
        <v>33920.033122799992</v>
      </c>
      <c r="AE226" s="6">
        <f>$K$226*$Y$226</f>
        <v>0</v>
      </c>
      <c r="AF226" s="6">
        <f ca="1">$M$226*$Z$226</f>
        <v>14345.208475678788</v>
      </c>
      <c r="AG226" s="6">
        <f>$O$226*$AA$226</f>
        <v>12232.682358126969</v>
      </c>
    </row>
    <row r="227" spans="1:33" ht="11.25" customHeight="1" x14ac:dyDescent="0.3">
      <c r="A227" s="4" t="s">
        <v>21</v>
      </c>
      <c r="B227" s="4" t="s">
        <v>39</v>
      </c>
      <c r="C227" s="4" t="s">
        <v>40</v>
      </c>
      <c r="D227" s="4" t="s">
        <v>48</v>
      </c>
      <c r="E227" s="4" t="s">
        <v>49</v>
      </c>
      <c r="F227" s="4" t="s">
        <v>25</v>
      </c>
      <c r="G227" s="4" t="s">
        <v>25</v>
      </c>
      <c r="H227" s="4" t="s">
        <v>25</v>
      </c>
      <c r="I227" s="5">
        <v>44440</v>
      </c>
      <c r="J227" s="6">
        <v>325</v>
      </c>
      <c r="K227" s="53">
        <v>325</v>
      </c>
      <c r="L227" s="6">
        <v>0</v>
      </c>
      <c r="M227" s="52">
        <v>0</v>
      </c>
      <c r="N227" s="6">
        <v>0</v>
      </c>
      <c r="O227" s="52">
        <v>0</v>
      </c>
      <c r="P227" s="6">
        <v>2</v>
      </c>
      <c r="Q227" s="4" t="s">
        <v>26</v>
      </c>
      <c r="R227" s="4">
        <v>0</v>
      </c>
      <c r="S227" s="6">
        <v>10</v>
      </c>
      <c r="T227" s="6">
        <v>0</v>
      </c>
      <c r="U227" s="6">
        <v>0</v>
      </c>
      <c r="V227" s="52">
        <f>IF(ISERROR(VLOOKUP($S$227,'TAR FIN'!$A$1:$O$85,15,0)),0,VLOOKUP($S$227,'TAR FIN'!$A$1:$O$85,15,0))*(1-0.06)</f>
        <v>32.035199999999996</v>
      </c>
      <c r="W227" s="52">
        <f>IF(ISERROR(VLOOKUP($T$227,'TAR FIN'!$A$1:$O$85,15,0)),0,VLOOKUP($T$227,'TAR FIN'!$A$1:$O$85,15,0))</f>
        <v>0</v>
      </c>
      <c r="X227" s="52">
        <f>IF(ISERROR(VLOOKUP($U$227,'TAR FIN'!$A$1:$O$85,15,0)),0,VLOOKUP($U$227,'TAR FIN'!$A$1:$O$85,15,0))</f>
        <v>0</v>
      </c>
      <c r="Y227" s="52">
        <f ca="1">('TUSD BE'!$AM$10+'TUSD BF'!$AM$10+'TUSD CVA'!$AM$10)*1*(1-0.03)</f>
        <v>44.668260325701624</v>
      </c>
      <c r="Z227" s="52"/>
      <c r="AA227" s="52"/>
      <c r="AB227" s="6">
        <f>$K$227*$V$227</f>
        <v>10411.439999999999</v>
      </c>
      <c r="AC227" s="6">
        <f>$M$227*$W$227</f>
        <v>0</v>
      </c>
      <c r="AD227" s="6">
        <f>$O$227*$X$227</f>
        <v>0</v>
      </c>
      <c r="AE227" s="6">
        <f ca="1">$K$227*$Y$227</f>
        <v>14517.184605853028</v>
      </c>
      <c r="AF227" s="6">
        <f>$M$227*$Z$227</f>
        <v>0</v>
      </c>
      <c r="AG227" s="6">
        <f>$O$227*$AA$227</f>
        <v>0</v>
      </c>
    </row>
    <row r="228" spans="1:33" ht="11.25" customHeight="1" x14ac:dyDescent="0.3">
      <c r="A228" s="4" t="s">
        <v>21</v>
      </c>
      <c r="B228" s="4" t="s">
        <v>39</v>
      </c>
      <c r="C228" s="4" t="s">
        <v>40</v>
      </c>
      <c r="D228" s="4" t="s">
        <v>48</v>
      </c>
      <c r="E228" s="4" t="s">
        <v>49</v>
      </c>
      <c r="F228" s="4" t="s">
        <v>25</v>
      </c>
      <c r="G228" s="4" t="s">
        <v>25</v>
      </c>
      <c r="H228" s="4" t="s">
        <v>25</v>
      </c>
      <c r="I228" s="5">
        <v>44470</v>
      </c>
      <c r="J228" s="6">
        <v>333</v>
      </c>
      <c r="K228" s="53">
        <v>333</v>
      </c>
      <c r="L228" s="6">
        <v>0</v>
      </c>
      <c r="M228" s="52">
        <v>0</v>
      </c>
      <c r="N228" s="6">
        <v>0</v>
      </c>
      <c r="O228" s="52">
        <v>0</v>
      </c>
      <c r="P228" s="6">
        <v>2</v>
      </c>
      <c r="Q228" s="4" t="s">
        <v>26</v>
      </c>
      <c r="R228" s="4">
        <v>0</v>
      </c>
      <c r="S228" s="6">
        <v>10</v>
      </c>
      <c r="T228" s="6">
        <v>0</v>
      </c>
      <c r="U228" s="6">
        <v>0</v>
      </c>
      <c r="V228" s="52">
        <f>IF(ISERROR(VLOOKUP($S$228,'TAR FIN'!$A$1:$O$85,15,0)),0,VLOOKUP($S$228,'TAR FIN'!$A$1:$O$85,15,0))*(1-0.06)</f>
        <v>32.035199999999996</v>
      </c>
      <c r="W228" s="52">
        <f>IF(ISERROR(VLOOKUP($T$228,'TAR FIN'!$A$1:$O$85,15,0)),0,VLOOKUP($T$228,'TAR FIN'!$A$1:$O$85,15,0))</f>
        <v>0</v>
      </c>
      <c r="X228" s="52">
        <f>IF(ISERROR(VLOOKUP($U$228,'TAR FIN'!$A$1:$O$85,15,0)),0,VLOOKUP($U$228,'TAR FIN'!$A$1:$O$85,15,0))</f>
        <v>0</v>
      </c>
      <c r="Y228" s="52">
        <f ca="1">('TUSD BE'!$AM$10+'TUSD BF'!$AM$10+'TUSD CVA'!$AM$10)*1*(1-0.03)</f>
        <v>44.668260325701624</v>
      </c>
      <c r="Z228" s="52"/>
      <c r="AA228" s="52"/>
      <c r="AB228" s="6">
        <f>$K$228*$V$228</f>
        <v>10667.721599999999</v>
      </c>
      <c r="AC228" s="6">
        <f>$M$228*$W$228</f>
        <v>0</v>
      </c>
      <c r="AD228" s="6">
        <f>$O$228*$X$228</f>
        <v>0</v>
      </c>
      <c r="AE228" s="6">
        <f ca="1">$K$228*$Y$228</f>
        <v>14874.530688458641</v>
      </c>
      <c r="AF228" s="6">
        <f>$M$228*$Z$228</f>
        <v>0</v>
      </c>
      <c r="AG228" s="6">
        <f>$O$228*$AA$228</f>
        <v>0</v>
      </c>
    </row>
    <row r="229" spans="1:33" ht="11.25" customHeight="1" x14ac:dyDescent="0.3">
      <c r="A229" s="4" t="s">
        <v>21</v>
      </c>
      <c r="B229" s="4" t="s">
        <v>39</v>
      </c>
      <c r="C229" s="4" t="s">
        <v>40</v>
      </c>
      <c r="D229" s="4" t="s">
        <v>48</v>
      </c>
      <c r="E229" s="4" t="s">
        <v>49</v>
      </c>
      <c r="F229" s="4" t="s">
        <v>25</v>
      </c>
      <c r="G229" s="4" t="s">
        <v>25</v>
      </c>
      <c r="H229" s="4" t="s">
        <v>25</v>
      </c>
      <c r="I229" s="5">
        <v>44501</v>
      </c>
      <c r="J229" s="6">
        <v>330</v>
      </c>
      <c r="K229" s="53">
        <v>330</v>
      </c>
      <c r="L229" s="6">
        <v>0</v>
      </c>
      <c r="M229" s="52">
        <v>0</v>
      </c>
      <c r="N229" s="6">
        <v>0</v>
      </c>
      <c r="O229" s="52">
        <v>0</v>
      </c>
      <c r="P229" s="6">
        <v>2</v>
      </c>
      <c r="Q229" s="4" t="s">
        <v>26</v>
      </c>
      <c r="R229" s="4">
        <v>0</v>
      </c>
      <c r="S229" s="6">
        <v>10</v>
      </c>
      <c r="T229" s="6">
        <v>0</v>
      </c>
      <c r="U229" s="6">
        <v>0</v>
      </c>
      <c r="V229" s="52">
        <f>IF(ISERROR(VLOOKUP($S$229,'TAR FIN'!$A$1:$O$85,15,0)),0,VLOOKUP($S$229,'TAR FIN'!$A$1:$O$85,15,0))*(1-0.06)</f>
        <v>32.035199999999996</v>
      </c>
      <c r="W229" s="52">
        <f>IF(ISERROR(VLOOKUP($T$229,'TAR FIN'!$A$1:$O$85,15,0)),0,VLOOKUP($T$229,'TAR FIN'!$A$1:$O$85,15,0))</f>
        <v>0</v>
      </c>
      <c r="X229" s="52">
        <f>IF(ISERROR(VLOOKUP($U$229,'TAR FIN'!$A$1:$O$85,15,0)),0,VLOOKUP($U$229,'TAR FIN'!$A$1:$O$85,15,0))</f>
        <v>0</v>
      </c>
      <c r="Y229" s="52">
        <f ca="1">('TUSD BE'!$AM$10+'TUSD BF'!$AM$10+'TUSD CVA'!$AM$10)*1*(1-0.03)</f>
        <v>44.668260325701624</v>
      </c>
      <c r="Z229" s="52"/>
      <c r="AA229" s="52"/>
      <c r="AB229" s="6">
        <f>$K$229*$V$229</f>
        <v>10571.615999999998</v>
      </c>
      <c r="AC229" s="6">
        <f>$M$229*$W$229</f>
        <v>0</v>
      </c>
      <c r="AD229" s="6">
        <f>$O$229*$X$229</f>
        <v>0</v>
      </c>
      <c r="AE229" s="6">
        <f ca="1">$K$229*$Y$229</f>
        <v>14740.525907481537</v>
      </c>
      <c r="AF229" s="6">
        <f>$M$229*$Z$229</f>
        <v>0</v>
      </c>
      <c r="AG229" s="6">
        <f>$O$229*$AA$229</f>
        <v>0</v>
      </c>
    </row>
    <row r="230" spans="1:33" ht="11.25" customHeight="1" x14ac:dyDescent="0.3">
      <c r="A230" s="4" t="s">
        <v>21</v>
      </c>
      <c r="B230" s="4" t="s">
        <v>39</v>
      </c>
      <c r="C230" s="4" t="s">
        <v>40</v>
      </c>
      <c r="D230" s="4" t="s">
        <v>48</v>
      </c>
      <c r="E230" s="4" t="s">
        <v>49</v>
      </c>
      <c r="F230" s="4" t="s">
        <v>25</v>
      </c>
      <c r="G230" s="4" t="s">
        <v>25</v>
      </c>
      <c r="H230" s="4" t="s">
        <v>25</v>
      </c>
      <c r="I230" s="5">
        <v>44531</v>
      </c>
      <c r="J230" s="6">
        <v>381</v>
      </c>
      <c r="K230" s="53">
        <v>381</v>
      </c>
      <c r="L230" s="6">
        <v>0</v>
      </c>
      <c r="M230" s="52">
        <v>0</v>
      </c>
      <c r="N230" s="6">
        <v>0</v>
      </c>
      <c r="O230" s="52">
        <v>0</v>
      </c>
      <c r="P230" s="6">
        <v>2</v>
      </c>
      <c r="Q230" s="4" t="s">
        <v>26</v>
      </c>
      <c r="R230" s="4">
        <v>0</v>
      </c>
      <c r="S230" s="6">
        <v>10</v>
      </c>
      <c r="T230" s="6">
        <v>0</v>
      </c>
      <c r="U230" s="6">
        <v>0</v>
      </c>
      <c r="V230" s="52">
        <f>IF(ISERROR(VLOOKUP($S$230,'TAR FIN'!$A$1:$O$85,15,0)),0,VLOOKUP($S$230,'TAR FIN'!$A$1:$O$85,15,0))*(1-0.06)</f>
        <v>32.035199999999996</v>
      </c>
      <c r="W230" s="52">
        <f>IF(ISERROR(VLOOKUP($T$230,'TAR FIN'!$A$1:$O$85,15,0)),0,VLOOKUP($T$230,'TAR FIN'!$A$1:$O$85,15,0))</f>
        <v>0</v>
      </c>
      <c r="X230" s="52">
        <f>IF(ISERROR(VLOOKUP($U$230,'TAR FIN'!$A$1:$O$85,15,0)),0,VLOOKUP($U$230,'TAR FIN'!$A$1:$O$85,15,0))</f>
        <v>0</v>
      </c>
      <c r="Y230" s="52">
        <f ca="1">('TUSD BE'!$AM$10+'TUSD BF'!$AM$10+'TUSD CVA'!$AM$10)*1*(1-0.03)</f>
        <v>44.668260325701624</v>
      </c>
      <c r="Z230" s="52"/>
      <c r="AA230" s="52"/>
      <c r="AB230" s="6">
        <f>$K$230*$V$230</f>
        <v>12205.411199999999</v>
      </c>
      <c r="AC230" s="6">
        <f>$M$230*$W$230</f>
        <v>0</v>
      </c>
      <c r="AD230" s="6">
        <f>$O$230*$X$230</f>
        <v>0</v>
      </c>
      <c r="AE230" s="6">
        <f ca="1">$K$230*$Y$230</f>
        <v>17018.607184092318</v>
      </c>
      <c r="AF230" s="6">
        <f>$M$230*$Z$230</f>
        <v>0</v>
      </c>
      <c r="AG230" s="6">
        <f>$O$230*$AA$230</f>
        <v>0</v>
      </c>
    </row>
    <row r="231" spans="1:33" ht="11.25" customHeight="1" x14ac:dyDescent="0.3">
      <c r="A231" s="4" t="s">
        <v>21</v>
      </c>
      <c r="B231" s="4" t="s">
        <v>39</v>
      </c>
      <c r="C231" s="4" t="s">
        <v>40</v>
      </c>
      <c r="D231" s="4" t="s">
        <v>48</v>
      </c>
      <c r="E231" s="4" t="s">
        <v>49</v>
      </c>
      <c r="F231" s="4" t="s">
        <v>25</v>
      </c>
      <c r="G231" s="4" t="s">
        <v>25</v>
      </c>
      <c r="H231" s="4" t="s">
        <v>25</v>
      </c>
      <c r="I231" s="5">
        <v>44562</v>
      </c>
      <c r="J231" s="6">
        <v>381</v>
      </c>
      <c r="K231" s="53">
        <v>381</v>
      </c>
      <c r="L231" s="6">
        <v>0</v>
      </c>
      <c r="M231" s="52">
        <v>0</v>
      </c>
      <c r="N231" s="6">
        <v>0</v>
      </c>
      <c r="O231" s="52">
        <v>0</v>
      </c>
      <c r="P231" s="6">
        <v>2</v>
      </c>
      <c r="Q231" s="4" t="s">
        <v>26</v>
      </c>
      <c r="R231" s="4">
        <v>0</v>
      </c>
      <c r="S231" s="6">
        <v>10</v>
      </c>
      <c r="T231" s="6">
        <v>0</v>
      </c>
      <c r="U231" s="6">
        <v>0</v>
      </c>
      <c r="V231" s="52">
        <f>IF(ISERROR(VLOOKUP($S$231,'TAR FIN'!$A$1:$O$85,15,0)),0,VLOOKUP($S$231,'TAR FIN'!$A$1:$O$85,15,0))*(1-0.06)</f>
        <v>32.035199999999996</v>
      </c>
      <c r="W231" s="52">
        <f>IF(ISERROR(VLOOKUP($T$231,'TAR FIN'!$A$1:$O$85,15,0)),0,VLOOKUP($T$231,'TAR FIN'!$A$1:$O$85,15,0))</f>
        <v>0</v>
      </c>
      <c r="X231" s="52">
        <f>IF(ISERROR(VLOOKUP($U$231,'TAR FIN'!$A$1:$O$85,15,0)),0,VLOOKUP($U$231,'TAR FIN'!$A$1:$O$85,15,0))</f>
        <v>0</v>
      </c>
      <c r="Y231" s="52">
        <f ca="1">('TUSD BE'!$AM$10+'TUSD BF'!$AM$10+'TUSD CVA'!$AM$10)*1*(1-0.03)</f>
        <v>44.668260325701624</v>
      </c>
      <c r="Z231" s="52"/>
      <c r="AA231" s="52"/>
      <c r="AB231" s="6">
        <f>$K$231*$V$231</f>
        <v>12205.411199999999</v>
      </c>
      <c r="AC231" s="6">
        <f>$M$231*$W$231</f>
        <v>0</v>
      </c>
      <c r="AD231" s="6">
        <f>$O$231*$X$231</f>
        <v>0</v>
      </c>
      <c r="AE231" s="6">
        <f ca="1">$K$231*$Y$231</f>
        <v>17018.607184092318</v>
      </c>
      <c r="AF231" s="6">
        <f>$M$231*$Z$231</f>
        <v>0</v>
      </c>
      <c r="AG231" s="6">
        <f>$O$231*$AA$231</f>
        <v>0</v>
      </c>
    </row>
    <row r="232" spans="1:33" ht="11.25" customHeight="1" x14ac:dyDescent="0.3">
      <c r="A232" s="4" t="s">
        <v>21</v>
      </c>
      <c r="B232" s="4" t="s">
        <v>39</v>
      </c>
      <c r="C232" s="4" t="s">
        <v>40</v>
      </c>
      <c r="D232" s="4" t="s">
        <v>48</v>
      </c>
      <c r="E232" s="4" t="s">
        <v>49</v>
      </c>
      <c r="F232" s="4" t="s">
        <v>25</v>
      </c>
      <c r="G232" s="4" t="s">
        <v>25</v>
      </c>
      <c r="H232" s="4" t="s">
        <v>25</v>
      </c>
      <c r="I232" s="5">
        <v>44593</v>
      </c>
      <c r="J232" s="6">
        <v>392</v>
      </c>
      <c r="K232" s="53">
        <v>392</v>
      </c>
      <c r="L232" s="6">
        <v>0</v>
      </c>
      <c r="M232" s="52">
        <v>0</v>
      </c>
      <c r="N232" s="6">
        <v>0</v>
      </c>
      <c r="O232" s="52">
        <v>0</v>
      </c>
      <c r="P232" s="6">
        <v>2</v>
      </c>
      <c r="Q232" s="4" t="s">
        <v>26</v>
      </c>
      <c r="R232" s="4">
        <v>0</v>
      </c>
      <c r="S232" s="6">
        <v>10</v>
      </c>
      <c r="T232" s="6">
        <v>0</v>
      </c>
      <c r="U232" s="6">
        <v>0</v>
      </c>
      <c r="V232" s="52">
        <f>IF(ISERROR(VLOOKUP($S$232,'TAR FIN'!$A$1:$O$85,15,0)),0,VLOOKUP($S$232,'TAR FIN'!$A$1:$O$85,15,0))*(1-0.06)</f>
        <v>32.035199999999996</v>
      </c>
      <c r="W232" s="52">
        <f>IF(ISERROR(VLOOKUP($T$232,'TAR FIN'!$A$1:$O$85,15,0)),0,VLOOKUP($T$232,'TAR FIN'!$A$1:$O$85,15,0))</f>
        <v>0</v>
      </c>
      <c r="X232" s="52">
        <f>IF(ISERROR(VLOOKUP($U$232,'TAR FIN'!$A$1:$O$85,15,0)),0,VLOOKUP($U$232,'TAR FIN'!$A$1:$O$85,15,0))</f>
        <v>0</v>
      </c>
      <c r="Y232" s="52">
        <f ca="1">('TUSD BE'!$AM$10+'TUSD BF'!$AM$10+'TUSD CVA'!$AM$10)*1*(1-0.03)</f>
        <v>44.668260325701624</v>
      </c>
      <c r="Z232" s="52"/>
      <c r="AA232" s="52"/>
      <c r="AB232" s="6">
        <f>$K$232*$V$232</f>
        <v>12557.798399999998</v>
      </c>
      <c r="AC232" s="6">
        <f>$M$232*$W$232</f>
        <v>0</v>
      </c>
      <c r="AD232" s="6">
        <f>$O$232*$X$232</f>
        <v>0</v>
      </c>
      <c r="AE232" s="6">
        <f ca="1">$K$232*$Y$232</f>
        <v>17509.958047675038</v>
      </c>
      <c r="AF232" s="6">
        <f>$M$232*$Z$232</f>
        <v>0</v>
      </c>
      <c r="AG232" s="6">
        <f>$O$232*$AA$232</f>
        <v>0</v>
      </c>
    </row>
    <row r="233" spans="1:33" ht="11.25" customHeight="1" x14ac:dyDescent="0.3">
      <c r="A233" s="4" t="s">
        <v>21</v>
      </c>
      <c r="B233" s="4" t="s">
        <v>39</v>
      </c>
      <c r="C233" s="4" t="s">
        <v>40</v>
      </c>
      <c r="D233" s="4" t="s">
        <v>48</v>
      </c>
      <c r="E233" s="4" t="s">
        <v>49</v>
      </c>
      <c r="F233" s="4" t="s">
        <v>25</v>
      </c>
      <c r="G233" s="4" t="s">
        <v>25</v>
      </c>
      <c r="H233" s="4" t="s">
        <v>25</v>
      </c>
      <c r="I233" s="5">
        <v>44621</v>
      </c>
      <c r="J233" s="6">
        <v>379</v>
      </c>
      <c r="K233" s="53">
        <v>379</v>
      </c>
      <c r="L233" s="6">
        <v>0</v>
      </c>
      <c r="M233" s="52">
        <v>0</v>
      </c>
      <c r="N233" s="6">
        <v>0</v>
      </c>
      <c r="O233" s="52">
        <v>0</v>
      </c>
      <c r="P233" s="6">
        <v>2</v>
      </c>
      <c r="Q233" s="4" t="s">
        <v>26</v>
      </c>
      <c r="R233" s="4">
        <v>0</v>
      </c>
      <c r="S233" s="6">
        <v>10</v>
      </c>
      <c r="T233" s="6">
        <v>0</v>
      </c>
      <c r="U233" s="6">
        <v>0</v>
      </c>
      <c r="V233" s="52">
        <f>IF(ISERROR(VLOOKUP($S$233,'TAR FIN'!$A$1:$O$85,15,0)),0,VLOOKUP($S$233,'TAR FIN'!$A$1:$O$85,15,0))*(1-0.06)</f>
        <v>32.035199999999996</v>
      </c>
      <c r="W233" s="52">
        <f>IF(ISERROR(VLOOKUP($T$233,'TAR FIN'!$A$1:$O$85,15,0)),0,VLOOKUP($T$233,'TAR FIN'!$A$1:$O$85,15,0))</f>
        <v>0</v>
      </c>
      <c r="X233" s="52">
        <f>IF(ISERROR(VLOOKUP($U$233,'TAR FIN'!$A$1:$O$85,15,0)),0,VLOOKUP($U$233,'TAR FIN'!$A$1:$O$85,15,0))</f>
        <v>0</v>
      </c>
      <c r="Y233" s="52">
        <f ca="1">('TUSD BE'!$AM$10+'TUSD BF'!$AM$10+'TUSD CVA'!$AM$10)*1*(1-0.03)</f>
        <v>44.668260325701624</v>
      </c>
      <c r="Z233" s="52"/>
      <c r="AA233" s="52"/>
      <c r="AB233" s="6">
        <f>$K$233*$V$233</f>
        <v>12141.340799999998</v>
      </c>
      <c r="AC233" s="6">
        <f>$M$233*$W$233</f>
        <v>0</v>
      </c>
      <c r="AD233" s="6">
        <f>$O$233*$X$233</f>
        <v>0</v>
      </c>
      <c r="AE233" s="6">
        <f ca="1">$K$233*$Y$233</f>
        <v>16929.270663440915</v>
      </c>
      <c r="AF233" s="6">
        <f>$M$233*$Z$233</f>
        <v>0</v>
      </c>
      <c r="AG233" s="6">
        <f>$O$233*$AA$233</f>
        <v>0</v>
      </c>
    </row>
    <row r="234" spans="1:33" ht="11.25" customHeight="1" x14ac:dyDescent="0.3">
      <c r="A234" s="4" t="s">
        <v>21</v>
      </c>
      <c r="B234" s="4" t="s">
        <v>39</v>
      </c>
      <c r="C234" s="4" t="s">
        <v>40</v>
      </c>
      <c r="D234" s="4" t="s">
        <v>48</v>
      </c>
      <c r="E234" s="4" t="s">
        <v>49</v>
      </c>
      <c r="F234" s="4" t="s">
        <v>25</v>
      </c>
      <c r="G234" s="4" t="s">
        <v>25</v>
      </c>
      <c r="H234" s="4" t="s">
        <v>25</v>
      </c>
      <c r="I234" s="5">
        <v>44652</v>
      </c>
      <c r="J234" s="6">
        <v>374</v>
      </c>
      <c r="K234" s="53">
        <v>374</v>
      </c>
      <c r="L234" s="6">
        <v>0</v>
      </c>
      <c r="M234" s="52">
        <v>0</v>
      </c>
      <c r="N234" s="6">
        <v>0</v>
      </c>
      <c r="O234" s="52">
        <v>0</v>
      </c>
      <c r="P234" s="6">
        <v>2</v>
      </c>
      <c r="Q234" s="4" t="s">
        <v>26</v>
      </c>
      <c r="R234" s="4">
        <v>0</v>
      </c>
      <c r="S234" s="6">
        <v>10</v>
      </c>
      <c r="T234" s="6">
        <v>0</v>
      </c>
      <c r="U234" s="6">
        <v>0</v>
      </c>
      <c r="V234" s="52">
        <f>IF(ISERROR(VLOOKUP($S$234,'TAR FIN'!$A$1:$O$85,15,0)),0,VLOOKUP($S$234,'TAR FIN'!$A$1:$O$85,15,0))*(1-0.06)</f>
        <v>32.035199999999996</v>
      </c>
      <c r="W234" s="52">
        <f>IF(ISERROR(VLOOKUP($T$234,'TAR FIN'!$A$1:$O$85,15,0)),0,VLOOKUP($T$234,'TAR FIN'!$A$1:$O$85,15,0))</f>
        <v>0</v>
      </c>
      <c r="X234" s="52">
        <f>IF(ISERROR(VLOOKUP($U$234,'TAR FIN'!$A$1:$O$85,15,0)),0,VLOOKUP($U$234,'TAR FIN'!$A$1:$O$85,15,0))</f>
        <v>0</v>
      </c>
      <c r="Y234" s="52">
        <f ca="1">('TUSD BE'!$AM$10+'TUSD BF'!$AM$10+'TUSD CVA'!$AM$10)*1*(1-0.03)</f>
        <v>44.668260325701624</v>
      </c>
      <c r="Z234" s="52"/>
      <c r="AA234" s="52"/>
      <c r="AB234" s="6">
        <f>$K$234*$V$234</f>
        <v>11981.164799999999</v>
      </c>
      <c r="AC234" s="6">
        <f>$M$234*$W$234</f>
        <v>0</v>
      </c>
      <c r="AD234" s="6">
        <f>$O$234*$X$234</f>
        <v>0</v>
      </c>
      <c r="AE234" s="6">
        <f ca="1">$K$234*$Y$234</f>
        <v>16705.929361812407</v>
      </c>
      <c r="AF234" s="6">
        <f>$M$234*$Z$234</f>
        <v>0</v>
      </c>
      <c r="AG234" s="6">
        <f>$O$234*$AA$234</f>
        <v>0</v>
      </c>
    </row>
    <row r="235" spans="1:33" ht="11.25" customHeight="1" x14ac:dyDescent="0.3">
      <c r="A235" s="4" t="s">
        <v>21</v>
      </c>
      <c r="B235" s="4" t="s">
        <v>39</v>
      </c>
      <c r="C235" s="4" t="s">
        <v>40</v>
      </c>
      <c r="D235" s="4" t="s">
        <v>48</v>
      </c>
      <c r="E235" s="4" t="s">
        <v>49</v>
      </c>
      <c r="F235" s="4" t="s">
        <v>25</v>
      </c>
      <c r="G235" s="4" t="s">
        <v>25</v>
      </c>
      <c r="H235" s="4" t="s">
        <v>25</v>
      </c>
      <c r="I235" s="5">
        <v>44682</v>
      </c>
      <c r="J235" s="6">
        <v>382</v>
      </c>
      <c r="K235" s="53">
        <v>382</v>
      </c>
      <c r="L235" s="6">
        <v>0</v>
      </c>
      <c r="M235" s="52">
        <v>0</v>
      </c>
      <c r="N235" s="6">
        <v>0</v>
      </c>
      <c r="O235" s="52">
        <v>0</v>
      </c>
      <c r="P235" s="6">
        <v>2</v>
      </c>
      <c r="Q235" s="4" t="s">
        <v>26</v>
      </c>
      <c r="R235" s="4">
        <v>0</v>
      </c>
      <c r="S235" s="6">
        <v>10</v>
      </c>
      <c r="T235" s="6">
        <v>0</v>
      </c>
      <c r="U235" s="6">
        <v>0</v>
      </c>
      <c r="V235" s="52">
        <f>IF(ISERROR(VLOOKUP($S$235,'TAR FIN'!$A$1:$O$85,15,0)),0,VLOOKUP($S$235,'TAR FIN'!$A$1:$O$85,15,0))*(1-0.06)</f>
        <v>32.035199999999996</v>
      </c>
      <c r="W235" s="52">
        <f>IF(ISERROR(VLOOKUP($T$235,'TAR FIN'!$A$1:$O$85,15,0)),0,VLOOKUP($T$235,'TAR FIN'!$A$1:$O$85,15,0))</f>
        <v>0</v>
      </c>
      <c r="X235" s="52">
        <f>IF(ISERROR(VLOOKUP($U$235,'TAR FIN'!$A$1:$O$85,15,0)),0,VLOOKUP($U$235,'TAR FIN'!$A$1:$O$85,15,0))</f>
        <v>0</v>
      </c>
      <c r="Y235" s="52">
        <f ca="1">('TUSD BE'!$AM$10+'TUSD BF'!$AM$10+'TUSD CVA'!$AM$10)*1*(1-0.03)</f>
        <v>44.668260325701624</v>
      </c>
      <c r="Z235" s="52"/>
      <c r="AA235" s="52"/>
      <c r="AB235" s="6">
        <f>$K$235*$V$235</f>
        <v>12237.446399999999</v>
      </c>
      <c r="AC235" s="6">
        <f>$M$235*$W$235</f>
        <v>0</v>
      </c>
      <c r="AD235" s="6">
        <f>$O$235*$X$235</f>
        <v>0</v>
      </c>
      <c r="AE235" s="6">
        <f ca="1">$K$235*$Y$235</f>
        <v>17063.275444418021</v>
      </c>
      <c r="AF235" s="6">
        <f>$M$235*$Z$235</f>
        <v>0</v>
      </c>
      <c r="AG235" s="6">
        <f>$O$235*$AA$235</f>
        <v>0</v>
      </c>
    </row>
    <row r="236" spans="1:33" ht="11.25" customHeight="1" x14ac:dyDescent="0.3">
      <c r="A236" s="4" t="s">
        <v>21</v>
      </c>
      <c r="B236" s="4" t="s">
        <v>39</v>
      </c>
      <c r="C236" s="4" t="s">
        <v>40</v>
      </c>
      <c r="D236" s="4" t="s">
        <v>48</v>
      </c>
      <c r="E236" s="4" t="s">
        <v>49</v>
      </c>
      <c r="F236" s="4" t="s">
        <v>25</v>
      </c>
      <c r="G236" s="4" t="s">
        <v>25</v>
      </c>
      <c r="H236" s="4" t="s">
        <v>25</v>
      </c>
      <c r="I236" s="5">
        <v>44713</v>
      </c>
      <c r="J236" s="6">
        <v>365</v>
      </c>
      <c r="K236" s="53">
        <v>365</v>
      </c>
      <c r="L236" s="6">
        <v>0</v>
      </c>
      <c r="M236" s="52">
        <v>0</v>
      </c>
      <c r="N236" s="6">
        <v>0</v>
      </c>
      <c r="O236" s="52">
        <v>0</v>
      </c>
      <c r="P236" s="6">
        <v>2</v>
      </c>
      <c r="Q236" s="4" t="s">
        <v>26</v>
      </c>
      <c r="R236" s="4">
        <v>0</v>
      </c>
      <c r="S236" s="6">
        <v>10</v>
      </c>
      <c r="T236" s="6">
        <v>0</v>
      </c>
      <c r="U236" s="6">
        <v>0</v>
      </c>
      <c r="V236" s="52">
        <f>IF(ISERROR(VLOOKUP($S$236,'TAR FIN'!$A$1:$O$85,15,0)),0,VLOOKUP($S$236,'TAR FIN'!$A$1:$O$85,15,0))*(1-0.06)</f>
        <v>32.035199999999996</v>
      </c>
      <c r="W236" s="52">
        <f>IF(ISERROR(VLOOKUP($T$236,'TAR FIN'!$A$1:$O$85,15,0)),0,VLOOKUP($T$236,'TAR FIN'!$A$1:$O$85,15,0))</f>
        <v>0</v>
      </c>
      <c r="X236" s="52">
        <f>IF(ISERROR(VLOOKUP($U$236,'TAR FIN'!$A$1:$O$85,15,0)),0,VLOOKUP($U$236,'TAR FIN'!$A$1:$O$85,15,0))</f>
        <v>0</v>
      </c>
      <c r="Y236" s="52">
        <f ca="1">('TUSD BE'!$AM$10+'TUSD BF'!$AM$10+'TUSD CVA'!$AM$10)*1*(1-0.03)</f>
        <v>44.668260325701624</v>
      </c>
      <c r="Z236" s="52"/>
      <c r="AA236" s="52"/>
      <c r="AB236" s="6">
        <f>$K$236*$V$236</f>
        <v>11692.847999999998</v>
      </c>
      <c r="AC236" s="6">
        <f>$M$236*$W$236</f>
        <v>0</v>
      </c>
      <c r="AD236" s="6">
        <f>$O$236*$X$236</f>
        <v>0</v>
      </c>
      <c r="AE236" s="6">
        <f ca="1">$K$236*$Y$236</f>
        <v>16303.915018881093</v>
      </c>
      <c r="AF236" s="6">
        <f>$M$236*$Z$236</f>
        <v>0</v>
      </c>
      <c r="AG236" s="6">
        <f>$O$236*$AA$236</f>
        <v>0</v>
      </c>
    </row>
    <row r="237" spans="1:33" ht="11.25" customHeight="1" x14ac:dyDescent="0.3">
      <c r="A237" s="4" t="s">
        <v>21</v>
      </c>
      <c r="B237" s="4" t="s">
        <v>39</v>
      </c>
      <c r="C237" s="4" t="s">
        <v>40</v>
      </c>
      <c r="D237" s="4" t="s">
        <v>48</v>
      </c>
      <c r="E237" s="4" t="s">
        <v>49</v>
      </c>
      <c r="F237" s="4" t="s">
        <v>25</v>
      </c>
      <c r="G237" s="4" t="s">
        <v>25</v>
      </c>
      <c r="H237" s="4" t="s">
        <v>25</v>
      </c>
      <c r="I237" s="5">
        <v>44743</v>
      </c>
      <c r="J237" s="6">
        <v>372</v>
      </c>
      <c r="K237" s="53">
        <v>372</v>
      </c>
      <c r="L237" s="6">
        <v>0</v>
      </c>
      <c r="M237" s="52">
        <v>0</v>
      </c>
      <c r="N237" s="6">
        <v>0</v>
      </c>
      <c r="O237" s="52">
        <v>0</v>
      </c>
      <c r="P237" s="6">
        <v>2</v>
      </c>
      <c r="Q237" s="4" t="s">
        <v>26</v>
      </c>
      <c r="R237" s="4">
        <v>0</v>
      </c>
      <c r="S237" s="6">
        <v>10</v>
      </c>
      <c r="T237" s="6">
        <v>0</v>
      </c>
      <c r="U237" s="6">
        <v>0</v>
      </c>
      <c r="V237" s="52">
        <f>IF(ISERROR(VLOOKUP($S$237,'TAR FIN'!$A$1:$O$85,15,0)),0,VLOOKUP($S$237,'TAR FIN'!$A$1:$O$85,15,0))*(1-0.06)</f>
        <v>32.035199999999996</v>
      </c>
      <c r="W237" s="52">
        <f>IF(ISERROR(VLOOKUP($T$237,'TAR FIN'!$A$1:$O$85,15,0)),0,VLOOKUP($T$237,'TAR FIN'!$A$1:$O$85,15,0))</f>
        <v>0</v>
      </c>
      <c r="X237" s="52">
        <f>IF(ISERROR(VLOOKUP($U$237,'TAR FIN'!$A$1:$O$85,15,0)),0,VLOOKUP($U$237,'TAR FIN'!$A$1:$O$85,15,0))</f>
        <v>0</v>
      </c>
      <c r="Y237" s="52">
        <f ca="1">('TUSD BE'!$AM$10+'TUSD BF'!$AM$10+'TUSD CVA'!$AM$10)*1*(1-0.03)</f>
        <v>44.668260325701624</v>
      </c>
      <c r="Z237" s="52"/>
      <c r="AA237" s="52"/>
      <c r="AB237" s="6">
        <f>$K$237*$V$237</f>
        <v>11917.094399999998</v>
      </c>
      <c r="AC237" s="6">
        <f>$M$237*$W$237</f>
        <v>0</v>
      </c>
      <c r="AD237" s="6">
        <f>$O$237*$X$237</f>
        <v>0</v>
      </c>
      <c r="AE237" s="6">
        <f ca="1">$K$237*$Y$237</f>
        <v>16616.592841161004</v>
      </c>
      <c r="AF237" s="6">
        <f>$M$237*$Z$237</f>
        <v>0</v>
      </c>
      <c r="AG237" s="6">
        <f>$O$237*$AA$237</f>
        <v>0</v>
      </c>
    </row>
    <row r="238" spans="1:33" ht="11.25" customHeight="1" x14ac:dyDescent="0.3">
      <c r="A238" s="4" t="s">
        <v>21</v>
      </c>
      <c r="B238" s="4" t="s">
        <v>39</v>
      </c>
      <c r="C238" s="4" t="s">
        <v>40</v>
      </c>
      <c r="D238" s="4" t="s">
        <v>48</v>
      </c>
      <c r="E238" s="4" t="s">
        <v>49</v>
      </c>
      <c r="F238" s="4" t="s">
        <v>25</v>
      </c>
      <c r="G238" s="4" t="s">
        <v>25</v>
      </c>
      <c r="H238" s="4" t="s">
        <v>25</v>
      </c>
      <c r="I238" s="5">
        <v>44774</v>
      </c>
      <c r="J238" s="6">
        <v>424</v>
      </c>
      <c r="K238" s="53">
        <v>424</v>
      </c>
      <c r="L238" s="6">
        <v>0</v>
      </c>
      <c r="M238" s="52">
        <v>0</v>
      </c>
      <c r="N238" s="6">
        <v>0</v>
      </c>
      <c r="O238" s="52">
        <v>0</v>
      </c>
      <c r="P238" s="6">
        <v>2</v>
      </c>
      <c r="Q238" s="4" t="s">
        <v>26</v>
      </c>
      <c r="R238" s="4">
        <v>0</v>
      </c>
      <c r="S238" s="6">
        <v>10</v>
      </c>
      <c r="T238" s="6">
        <v>0</v>
      </c>
      <c r="U238" s="6">
        <v>0</v>
      </c>
      <c r="V238" s="52">
        <f>IF(ISERROR(VLOOKUP($S$238,'TAR FIN'!$A$1:$O$85,15,0)),0,VLOOKUP($S$238,'TAR FIN'!$A$1:$O$85,15,0))*(1-0.06)</f>
        <v>32.035199999999996</v>
      </c>
      <c r="W238" s="52">
        <f>IF(ISERROR(VLOOKUP($T$238,'TAR FIN'!$A$1:$O$85,15,0)),0,VLOOKUP($T$238,'TAR FIN'!$A$1:$O$85,15,0))</f>
        <v>0</v>
      </c>
      <c r="X238" s="52">
        <f>IF(ISERROR(VLOOKUP($U$238,'TAR FIN'!$A$1:$O$85,15,0)),0,VLOOKUP($U$238,'TAR FIN'!$A$1:$O$85,15,0))</f>
        <v>0</v>
      </c>
      <c r="Y238" s="52">
        <f ca="1">('TUSD BE'!$AM$10+'TUSD BF'!$AM$10+'TUSD CVA'!$AM$10)*1*(1-0.03)</f>
        <v>44.668260325701624</v>
      </c>
      <c r="Z238" s="52"/>
      <c r="AA238" s="52"/>
      <c r="AB238" s="6">
        <f>$K$238*$V$238</f>
        <v>13582.924799999999</v>
      </c>
      <c r="AC238" s="6">
        <f>$M$238*$W$238</f>
        <v>0</v>
      </c>
      <c r="AD238" s="6">
        <f>$O$238*$X$238</f>
        <v>0</v>
      </c>
      <c r="AE238" s="6">
        <f ca="1">$K$238*$Y$238</f>
        <v>18939.342378097488</v>
      </c>
      <c r="AF238" s="6">
        <f>$M$238*$Z$238</f>
        <v>0</v>
      </c>
      <c r="AG238" s="6">
        <f>$O$238*$AA$238</f>
        <v>0</v>
      </c>
    </row>
    <row r="239" spans="1:33" ht="11.25" customHeight="1" x14ac:dyDescent="0.3">
      <c r="A239" s="4" t="s">
        <v>21</v>
      </c>
      <c r="B239" s="4" t="s">
        <v>39</v>
      </c>
      <c r="C239" s="4" t="s">
        <v>40</v>
      </c>
      <c r="D239" s="4" t="s">
        <v>48</v>
      </c>
      <c r="E239" s="4" t="s">
        <v>49</v>
      </c>
      <c r="F239" s="4" t="s">
        <v>25</v>
      </c>
      <c r="G239" s="4" t="s">
        <v>25</v>
      </c>
      <c r="H239" s="4" t="s">
        <v>34</v>
      </c>
      <c r="I239" s="5">
        <v>44440</v>
      </c>
      <c r="J239" s="6">
        <v>0</v>
      </c>
      <c r="K239" s="52">
        <v>0</v>
      </c>
      <c r="L239" s="6">
        <v>14.760999999999999</v>
      </c>
      <c r="M239" s="52">
        <v>14.760999999999999</v>
      </c>
      <c r="N239" s="6">
        <v>14.760999999999999</v>
      </c>
      <c r="O239" s="52">
        <v>14.760999999999999</v>
      </c>
      <c r="P239" s="6">
        <v>0</v>
      </c>
      <c r="Q239" s="4" t="s">
        <v>26</v>
      </c>
      <c r="R239" s="4">
        <v>0</v>
      </c>
      <c r="S239" s="6">
        <v>0</v>
      </c>
      <c r="T239" s="6">
        <v>23</v>
      </c>
      <c r="U239" s="6">
        <v>25</v>
      </c>
      <c r="V239" s="52">
        <f>IF(ISERROR(VLOOKUP($S$239,'TAR FIN'!$A$1:$O$85,15,0)),0,VLOOKUP($S$239,'TAR FIN'!$A$1:$O$85,15,0))</f>
        <v>0</v>
      </c>
      <c r="W239" s="52">
        <f>IF(ISERROR(VLOOKUP($T$239,'TAR FIN'!$A$1:$O$85,15,0)),0,VLOOKUP($T$239,'TAR FIN'!$A$1:$O$85,15,0))*(1-0.06)</f>
        <v>2393.1835999999998</v>
      </c>
      <c r="X239" s="52">
        <f>IF(ISERROR(VLOOKUP($U$239,'TAR FIN'!$A$1:$O$85,15,0)),0,VLOOKUP($U$239,'TAR FIN'!$A$1:$O$85,15,0))*(1-0.06)</f>
        <v>209.68579999999997</v>
      </c>
      <c r="Y239" s="52"/>
      <c r="Z239" s="52">
        <f ca="1">('TUSD BE'!$AM$11+'TUSD BF'!$AM$11+'TUSD CVA'!$AM$11)*1*(1-0.03)</f>
        <v>3490.0216795225642</v>
      </c>
      <c r="AA239" s="52">
        <f>('TE BE'!$AB$5+'TE BF'!$AB$5+'TE CVA'!$AB$5)*1*(1-0.03)</f>
        <v>75.619613256969757</v>
      </c>
      <c r="AB239" s="6">
        <f>$K$239*$V$239</f>
        <v>0</v>
      </c>
      <c r="AC239" s="6">
        <f>$M$239*$W$239</f>
        <v>35325.783119599997</v>
      </c>
      <c r="AD239" s="6">
        <f>$O$239*$X$239</f>
        <v>3095.1720937999994</v>
      </c>
      <c r="AE239" s="6">
        <f>$K$239*$Y$239</f>
        <v>0</v>
      </c>
      <c r="AF239" s="6">
        <f ca="1">$M$239*$Z$239</f>
        <v>51516.210011432566</v>
      </c>
      <c r="AG239" s="6">
        <f>$O$239*$AA$239</f>
        <v>1116.2211112861305</v>
      </c>
    </row>
    <row r="240" spans="1:33" ht="11.25" customHeight="1" x14ac:dyDescent="0.3">
      <c r="A240" s="4" t="s">
        <v>21</v>
      </c>
      <c r="B240" s="4" t="s">
        <v>39</v>
      </c>
      <c r="C240" s="4" t="s">
        <v>40</v>
      </c>
      <c r="D240" s="4" t="s">
        <v>48</v>
      </c>
      <c r="E240" s="4" t="s">
        <v>49</v>
      </c>
      <c r="F240" s="4" t="s">
        <v>25</v>
      </c>
      <c r="G240" s="4" t="s">
        <v>25</v>
      </c>
      <c r="H240" s="4" t="s">
        <v>34</v>
      </c>
      <c r="I240" s="5">
        <v>44470</v>
      </c>
      <c r="J240" s="6">
        <v>0</v>
      </c>
      <c r="K240" s="52">
        <v>0</v>
      </c>
      <c r="L240" s="6">
        <v>15.125</v>
      </c>
      <c r="M240" s="52">
        <v>15.125</v>
      </c>
      <c r="N240" s="6">
        <v>15.125</v>
      </c>
      <c r="O240" s="52">
        <v>15.125</v>
      </c>
      <c r="P240" s="6">
        <v>0</v>
      </c>
      <c r="Q240" s="4" t="s">
        <v>26</v>
      </c>
      <c r="R240" s="4">
        <v>0</v>
      </c>
      <c r="S240" s="6">
        <v>0</v>
      </c>
      <c r="T240" s="6">
        <v>23</v>
      </c>
      <c r="U240" s="6">
        <v>25</v>
      </c>
      <c r="V240" s="52">
        <f>IF(ISERROR(VLOOKUP($S$240,'TAR FIN'!$A$1:$O$85,15,0)),0,VLOOKUP($S$240,'TAR FIN'!$A$1:$O$85,15,0))</f>
        <v>0</v>
      </c>
      <c r="W240" s="52">
        <f>IF(ISERROR(VLOOKUP($T$240,'TAR FIN'!$A$1:$O$85,15,0)),0,VLOOKUP($T$240,'TAR FIN'!$A$1:$O$85,15,0))*(1-0.06)</f>
        <v>2393.1835999999998</v>
      </c>
      <c r="X240" s="52">
        <f>IF(ISERROR(VLOOKUP($U$240,'TAR FIN'!$A$1:$O$85,15,0)),0,VLOOKUP($U$240,'TAR FIN'!$A$1:$O$85,15,0))*(1-0.06)</f>
        <v>209.68579999999997</v>
      </c>
      <c r="Y240" s="52"/>
      <c r="Z240" s="52">
        <f ca="1">('TUSD BE'!$AM$11+'TUSD BF'!$AM$11+'TUSD CVA'!$AM$11)*1*(1-0.03)</f>
        <v>3490.0216795225642</v>
      </c>
      <c r="AA240" s="52">
        <f>('TE BE'!$AB$5+'TE BF'!$AB$5+'TE CVA'!$AB$5)*1*(1-0.03)</f>
        <v>75.619613256969757</v>
      </c>
      <c r="AB240" s="6">
        <f>$K$240*$V$240</f>
        <v>0</v>
      </c>
      <c r="AC240" s="6">
        <f>$M$240*$W$240</f>
        <v>36196.901949999999</v>
      </c>
      <c r="AD240" s="6">
        <f>$O$240*$X$240</f>
        <v>3171.4977249999997</v>
      </c>
      <c r="AE240" s="6">
        <f>$K$240*$Y$240</f>
        <v>0</v>
      </c>
      <c r="AF240" s="6">
        <f ca="1">$M$240*$Z$240</f>
        <v>52786.577902778787</v>
      </c>
      <c r="AG240" s="6">
        <f>$O$240*$AA$240</f>
        <v>1143.7466505116677</v>
      </c>
    </row>
    <row r="241" spans="1:33" ht="11.25" customHeight="1" x14ac:dyDescent="0.3">
      <c r="A241" s="4" t="s">
        <v>21</v>
      </c>
      <c r="B241" s="4" t="s">
        <v>39</v>
      </c>
      <c r="C241" s="4" t="s">
        <v>40</v>
      </c>
      <c r="D241" s="4" t="s">
        <v>48</v>
      </c>
      <c r="E241" s="4" t="s">
        <v>49</v>
      </c>
      <c r="F241" s="4" t="s">
        <v>25</v>
      </c>
      <c r="G241" s="4" t="s">
        <v>25</v>
      </c>
      <c r="H241" s="4" t="s">
        <v>34</v>
      </c>
      <c r="I241" s="5">
        <v>44501</v>
      </c>
      <c r="J241" s="6">
        <v>0</v>
      </c>
      <c r="K241" s="52">
        <v>0</v>
      </c>
      <c r="L241" s="6">
        <v>13.497</v>
      </c>
      <c r="M241" s="52">
        <v>13.497</v>
      </c>
      <c r="N241" s="6">
        <v>13.497</v>
      </c>
      <c r="O241" s="52">
        <v>13.497</v>
      </c>
      <c r="P241" s="6">
        <v>0</v>
      </c>
      <c r="Q241" s="4" t="s">
        <v>26</v>
      </c>
      <c r="R241" s="4">
        <v>0</v>
      </c>
      <c r="S241" s="6">
        <v>0</v>
      </c>
      <c r="T241" s="6">
        <v>23</v>
      </c>
      <c r="U241" s="6">
        <v>25</v>
      </c>
      <c r="V241" s="52">
        <f>IF(ISERROR(VLOOKUP($S$241,'TAR FIN'!$A$1:$O$85,15,0)),0,VLOOKUP($S$241,'TAR FIN'!$A$1:$O$85,15,0))</f>
        <v>0</v>
      </c>
      <c r="W241" s="52">
        <f>IF(ISERROR(VLOOKUP($T$241,'TAR FIN'!$A$1:$O$85,15,0)),0,VLOOKUP($T$241,'TAR FIN'!$A$1:$O$85,15,0))*(1-0.06)</f>
        <v>2393.1835999999998</v>
      </c>
      <c r="X241" s="52">
        <f>IF(ISERROR(VLOOKUP($U$241,'TAR FIN'!$A$1:$O$85,15,0)),0,VLOOKUP($U$241,'TAR FIN'!$A$1:$O$85,15,0))*(1-0.06)</f>
        <v>209.68579999999997</v>
      </c>
      <c r="Y241" s="52"/>
      <c r="Z241" s="52">
        <f ca="1">('TUSD BE'!$AM$11+'TUSD BF'!$AM$11+'TUSD CVA'!$AM$11)*1*(1-0.03)</f>
        <v>3490.0216795225642</v>
      </c>
      <c r="AA241" s="52">
        <f>('TE BE'!$AB$5+'TE BF'!$AB$5+'TE CVA'!$AB$5)*1*(1-0.03)</f>
        <v>75.619613256969757</v>
      </c>
      <c r="AB241" s="6">
        <f>$K$241*$V$241</f>
        <v>0</v>
      </c>
      <c r="AC241" s="6">
        <f>$M$241*$W$241</f>
        <v>32300.799049199999</v>
      </c>
      <c r="AD241" s="6">
        <f>$O$241*$X$241</f>
        <v>2830.1292425999995</v>
      </c>
      <c r="AE241" s="6">
        <f>$K$241*$Y$241</f>
        <v>0</v>
      </c>
      <c r="AF241" s="6">
        <f ca="1">$M$241*$Z$241</f>
        <v>47104.82260851605</v>
      </c>
      <c r="AG241" s="6">
        <f>$O$241*$AA$241</f>
        <v>1020.6379201293208</v>
      </c>
    </row>
    <row r="242" spans="1:33" ht="11.25" customHeight="1" x14ac:dyDescent="0.3">
      <c r="A242" s="4" t="s">
        <v>21</v>
      </c>
      <c r="B242" s="4" t="s">
        <v>39</v>
      </c>
      <c r="C242" s="4" t="s">
        <v>40</v>
      </c>
      <c r="D242" s="4" t="s">
        <v>48</v>
      </c>
      <c r="E242" s="4" t="s">
        <v>49</v>
      </c>
      <c r="F242" s="4" t="s">
        <v>25</v>
      </c>
      <c r="G242" s="4" t="s">
        <v>25</v>
      </c>
      <c r="H242" s="4" t="s">
        <v>34</v>
      </c>
      <c r="I242" s="5">
        <v>44531</v>
      </c>
      <c r="J242" s="6">
        <v>0</v>
      </c>
      <c r="K242" s="52">
        <v>0</v>
      </c>
      <c r="L242" s="6">
        <v>19.161000000000001</v>
      </c>
      <c r="M242" s="52">
        <v>19.161000000000001</v>
      </c>
      <c r="N242" s="6">
        <v>19.161000000000001</v>
      </c>
      <c r="O242" s="52">
        <v>19.161000000000001</v>
      </c>
      <c r="P242" s="6">
        <v>0</v>
      </c>
      <c r="Q242" s="4" t="s">
        <v>26</v>
      </c>
      <c r="R242" s="4">
        <v>0</v>
      </c>
      <c r="S242" s="6">
        <v>0</v>
      </c>
      <c r="T242" s="6">
        <v>23</v>
      </c>
      <c r="U242" s="6">
        <v>25</v>
      </c>
      <c r="V242" s="52">
        <f>IF(ISERROR(VLOOKUP($S$242,'TAR FIN'!$A$1:$O$85,15,0)),0,VLOOKUP($S$242,'TAR FIN'!$A$1:$O$85,15,0))</f>
        <v>0</v>
      </c>
      <c r="W242" s="52">
        <f>IF(ISERROR(VLOOKUP($T$242,'TAR FIN'!$A$1:$O$85,15,0)),0,VLOOKUP($T$242,'TAR FIN'!$A$1:$O$85,15,0))*(1-0.06)</f>
        <v>2393.1835999999998</v>
      </c>
      <c r="X242" s="52">
        <f>IF(ISERROR(VLOOKUP($U$242,'TAR FIN'!$A$1:$O$85,15,0)),0,VLOOKUP($U$242,'TAR FIN'!$A$1:$O$85,15,0))*(1-0.06)</f>
        <v>209.68579999999997</v>
      </c>
      <c r="Y242" s="52"/>
      <c r="Z242" s="52">
        <f ca="1">('TUSD BE'!$AM$11+'TUSD BF'!$AM$11+'TUSD CVA'!$AM$11)*1*(1-0.03)</f>
        <v>3490.0216795225642</v>
      </c>
      <c r="AA242" s="52">
        <f>('TE BE'!$AB$5+'TE BF'!$AB$5+'TE CVA'!$AB$5)*1*(1-0.03)</f>
        <v>75.619613256969757</v>
      </c>
      <c r="AB242" s="6">
        <f>$K$242*$V$242</f>
        <v>0</v>
      </c>
      <c r="AC242" s="6">
        <f>$M$242*$W$242</f>
        <v>45855.790959600003</v>
      </c>
      <c r="AD242" s="6">
        <f>$O$242*$X$242</f>
        <v>4017.7896137999996</v>
      </c>
      <c r="AE242" s="6">
        <f>$K$242*$Y$242</f>
        <v>0</v>
      </c>
      <c r="AF242" s="6">
        <f ca="1">$M$242*$Z$242</f>
        <v>66872.305401331862</v>
      </c>
      <c r="AG242" s="6">
        <f>$O$242*$AA$242</f>
        <v>1448.9474096167976</v>
      </c>
    </row>
    <row r="243" spans="1:33" ht="11.25" customHeight="1" x14ac:dyDescent="0.3">
      <c r="A243" s="4" t="s">
        <v>21</v>
      </c>
      <c r="B243" s="4" t="s">
        <v>39</v>
      </c>
      <c r="C243" s="4" t="s">
        <v>40</v>
      </c>
      <c r="D243" s="4" t="s">
        <v>48</v>
      </c>
      <c r="E243" s="4" t="s">
        <v>49</v>
      </c>
      <c r="F243" s="4" t="s">
        <v>25</v>
      </c>
      <c r="G243" s="4" t="s">
        <v>25</v>
      </c>
      <c r="H243" s="4" t="s">
        <v>34</v>
      </c>
      <c r="I243" s="5">
        <v>44562</v>
      </c>
      <c r="J243" s="6">
        <v>0</v>
      </c>
      <c r="K243" s="52">
        <v>0</v>
      </c>
      <c r="L243" s="6">
        <v>22.17</v>
      </c>
      <c r="M243" s="52">
        <v>22.17</v>
      </c>
      <c r="N243" s="6">
        <v>22.17</v>
      </c>
      <c r="O243" s="52">
        <v>22.17</v>
      </c>
      <c r="P243" s="6">
        <v>0</v>
      </c>
      <c r="Q243" s="4" t="s">
        <v>26</v>
      </c>
      <c r="R243" s="4">
        <v>0</v>
      </c>
      <c r="S243" s="6">
        <v>0</v>
      </c>
      <c r="T243" s="6">
        <v>23</v>
      </c>
      <c r="U243" s="6">
        <v>25</v>
      </c>
      <c r="V243" s="52">
        <f>IF(ISERROR(VLOOKUP($S$243,'TAR FIN'!$A$1:$O$85,15,0)),0,VLOOKUP($S$243,'TAR FIN'!$A$1:$O$85,15,0))</f>
        <v>0</v>
      </c>
      <c r="W243" s="52">
        <f>IF(ISERROR(VLOOKUP($T$243,'TAR FIN'!$A$1:$O$85,15,0)),0,VLOOKUP($T$243,'TAR FIN'!$A$1:$O$85,15,0))*(1-0.06)</f>
        <v>2393.1835999999998</v>
      </c>
      <c r="X243" s="52">
        <f>IF(ISERROR(VLOOKUP($U$243,'TAR FIN'!$A$1:$O$85,15,0)),0,VLOOKUP($U$243,'TAR FIN'!$A$1:$O$85,15,0))*(1-0.06)</f>
        <v>209.68579999999997</v>
      </c>
      <c r="Y243" s="52"/>
      <c r="Z243" s="52">
        <f ca="1">('TUSD BE'!$AM$11+'TUSD BF'!$AM$11+'TUSD CVA'!$AM$11)*1*(1-0.03)</f>
        <v>3490.0216795225642</v>
      </c>
      <c r="AA243" s="52">
        <f>('TE BE'!$AB$5+'TE BF'!$AB$5+'TE CVA'!$AB$5)*1*(1-0.03)</f>
        <v>75.619613256969757</v>
      </c>
      <c r="AB243" s="6">
        <f>$K$243*$V$243</f>
        <v>0</v>
      </c>
      <c r="AC243" s="6">
        <f>$M$243*$W$243</f>
        <v>53056.880411999999</v>
      </c>
      <c r="AD243" s="6">
        <f>$O$243*$X$243</f>
        <v>4648.7341859999997</v>
      </c>
      <c r="AE243" s="6">
        <f>$K$243*$Y$243</f>
        <v>0</v>
      </c>
      <c r="AF243" s="6">
        <f ca="1">$M$243*$Z$243</f>
        <v>77373.780635015253</v>
      </c>
      <c r="AG243" s="6">
        <f>$O$243*$AA$243</f>
        <v>1676.4868259070197</v>
      </c>
    </row>
    <row r="244" spans="1:33" ht="11.25" customHeight="1" x14ac:dyDescent="0.3">
      <c r="A244" s="4" t="s">
        <v>21</v>
      </c>
      <c r="B244" s="4" t="s">
        <v>39</v>
      </c>
      <c r="C244" s="4" t="s">
        <v>40</v>
      </c>
      <c r="D244" s="4" t="s">
        <v>48</v>
      </c>
      <c r="E244" s="4" t="s">
        <v>49</v>
      </c>
      <c r="F244" s="4" t="s">
        <v>25</v>
      </c>
      <c r="G244" s="4" t="s">
        <v>25</v>
      </c>
      <c r="H244" s="4" t="s">
        <v>34</v>
      </c>
      <c r="I244" s="5">
        <v>44593</v>
      </c>
      <c r="J244" s="6">
        <v>0</v>
      </c>
      <c r="K244" s="52">
        <v>0</v>
      </c>
      <c r="L244" s="6">
        <v>21.122</v>
      </c>
      <c r="M244" s="52">
        <v>21.122</v>
      </c>
      <c r="N244" s="6">
        <v>21.122</v>
      </c>
      <c r="O244" s="52">
        <v>21.122</v>
      </c>
      <c r="P244" s="6">
        <v>0</v>
      </c>
      <c r="Q244" s="4" t="s">
        <v>26</v>
      </c>
      <c r="R244" s="4">
        <v>0</v>
      </c>
      <c r="S244" s="6">
        <v>0</v>
      </c>
      <c r="T244" s="6">
        <v>23</v>
      </c>
      <c r="U244" s="6">
        <v>25</v>
      </c>
      <c r="V244" s="52">
        <f>IF(ISERROR(VLOOKUP($S$244,'TAR FIN'!$A$1:$O$85,15,0)),0,VLOOKUP($S$244,'TAR FIN'!$A$1:$O$85,15,0))</f>
        <v>0</v>
      </c>
      <c r="W244" s="52">
        <f>IF(ISERROR(VLOOKUP($T$244,'TAR FIN'!$A$1:$O$85,15,0)),0,VLOOKUP($T$244,'TAR FIN'!$A$1:$O$85,15,0))*(1-0.06)</f>
        <v>2393.1835999999998</v>
      </c>
      <c r="X244" s="52">
        <f>IF(ISERROR(VLOOKUP($U$244,'TAR FIN'!$A$1:$O$85,15,0)),0,VLOOKUP($U$244,'TAR FIN'!$A$1:$O$85,15,0))*(1-0.06)</f>
        <v>209.68579999999997</v>
      </c>
      <c r="Y244" s="52"/>
      <c r="Z244" s="52">
        <f ca="1">('TUSD BE'!$AM$11+'TUSD BF'!$AM$11+'TUSD CVA'!$AM$11)*1*(1-0.03)</f>
        <v>3490.0216795225642</v>
      </c>
      <c r="AA244" s="52">
        <f>('TE BE'!$AB$5+'TE BF'!$AB$5+'TE CVA'!$AB$5)*1*(1-0.03)</f>
        <v>75.619613256969757</v>
      </c>
      <c r="AB244" s="6">
        <f>$K$244*$V$244</f>
        <v>0</v>
      </c>
      <c r="AC244" s="6">
        <f>$M$244*$W$244</f>
        <v>50548.823999199994</v>
      </c>
      <c r="AD244" s="6">
        <f>$O$244*$X$244</f>
        <v>4428.9834675999991</v>
      </c>
      <c r="AE244" s="6">
        <f>$K$244*$Y$244</f>
        <v>0</v>
      </c>
      <c r="AF244" s="6">
        <f ca="1">$M$244*$Z$244</f>
        <v>73716.237914875601</v>
      </c>
      <c r="AG244" s="6">
        <f>$O$244*$AA$244</f>
        <v>1597.2374712137153</v>
      </c>
    </row>
    <row r="245" spans="1:33" ht="11.25" customHeight="1" x14ac:dyDescent="0.3">
      <c r="A245" s="4" t="s">
        <v>21</v>
      </c>
      <c r="B245" s="4" t="s">
        <v>39</v>
      </c>
      <c r="C245" s="4" t="s">
        <v>40</v>
      </c>
      <c r="D245" s="4" t="s">
        <v>48</v>
      </c>
      <c r="E245" s="4" t="s">
        <v>49</v>
      </c>
      <c r="F245" s="4" t="s">
        <v>25</v>
      </c>
      <c r="G245" s="4" t="s">
        <v>25</v>
      </c>
      <c r="H245" s="4" t="s">
        <v>34</v>
      </c>
      <c r="I245" s="5">
        <v>44621</v>
      </c>
      <c r="J245" s="6">
        <v>0</v>
      </c>
      <c r="K245" s="52">
        <v>0</v>
      </c>
      <c r="L245" s="6">
        <v>19.91</v>
      </c>
      <c r="M245" s="52">
        <v>19.91</v>
      </c>
      <c r="N245" s="6">
        <v>19.91</v>
      </c>
      <c r="O245" s="52">
        <v>19.91</v>
      </c>
      <c r="P245" s="6">
        <v>0</v>
      </c>
      <c r="Q245" s="4" t="s">
        <v>26</v>
      </c>
      <c r="R245" s="4">
        <v>0</v>
      </c>
      <c r="S245" s="6">
        <v>0</v>
      </c>
      <c r="T245" s="6">
        <v>23</v>
      </c>
      <c r="U245" s="6">
        <v>25</v>
      </c>
      <c r="V245" s="52">
        <f>IF(ISERROR(VLOOKUP($S$245,'TAR FIN'!$A$1:$O$85,15,0)),0,VLOOKUP($S$245,'TAR FIN'!$A$1:$O$85,15,0))</f>
        <v>0</v>
      </c>
      <c r="W245" s="52">
        <f>IF(ISERROR(VLOOKUP($T$245,'TAR FIN'!$A$1:$O$85,15,0)),0,VLOOKUP($T$245,'TAR FIN'!$A$1:$O$85,15,0))*(1-0.06)</f>
        <v>2393.1835999999998</v>
      </c>
      <c r="X245" s="52">
        <f>IF(ISERROR(VLOOKUP($U$245,'TAR FIN'!$A$1:$O$85,15,0)),0,VLOOKUP($U$245,'TAR FIN'!$A$1:$O$85,15,0))*(1-0.06)</f>
        <v>209.68579999999997</v>
      </c>
      <c r="Y245" s="52"/>
      <c r="Z245" s="52">
        <f ca="1">('TUSD BE'!$AM$11+'TUSD BF'!$AM$11+'TUSD CVA'!$AM$11)*1*(1-0.03)</f>
        <v>3490.0216795225642</v>
      </c>
      <c r="AA245" s="52">
        <f>('TE BE'!$AB$5+'TE BF'!$AB$5+'TE CVA'!$AB$5)*1*(1-0.03)</f>
        <v>75.619613256969757</v>
      </c>
      <c r="AB245" s="6">
        <f>$K$245*$V$245</f>
        <v>0</v>
      </c>
      <c r="AC245" s="6">
        <f>$M$245*$W$245</f>
        <v>47648.285475999997</v>
      </c>
      <c r="AD245" s="6">
        <f>$O$245*$X$245</f>
        <v>4174.8442779999996</v>
      </c>
      <c r="AE245" s="6">
        <f>$K$245*$Y$245</f>
        <v>0</v>
      </c>
      <c r="AF245" s="6">
        <f ca="1">$M$245*$Z$245</f>
        <v>69486.331639294251</v>
      </c>
      <c r="AG245" s="6">
        <f>$O$245*$AA$245</f>
        <v>1505.5864999462678</v>
      </c>
    </row>
    <row r="246" spans="1:33" ht="11.25" customHeight="1" x14ac:dyDescent="0.3">
      <c r="A246" s="4" t="s">
        <v>21</v>
      </c>
      <c r="B246" s="4" t="s">
        <v>39</v>
      </c>
      <c r="C246" s="4" t="s">
        <v>40</v>
      </c>
      <c r="D246" s="4" t="s">
        <v>48</v>
      </c>
      <c r="E246" s="4" t="s">
        <v>49</v>
      </c>
      <c r="F246" s="4" t="s">
        <v>25</v>
      </c>
      <c r="G246" s="4" t="s">
        <v>25</v>
      </c>
      <c r="H246" s="4" t="s">
        <v>34</v>
      </c>
      <c r="I246" s="5">
        <v>44652</v>
      </c>
      <c r="J246" s="6">
        <v>0</v>
      </c>
      <c r="K246" s="52">
        <v>0</v>
      </c>
      <c r="L246" s="6">
        <v>17.25</v>
      </c>
      <c r="M246" s="52">
        <v>17.25</v>
      </c>
      <c r="N246" s="6">
        <v>17.25</v>
      </c>
      <c r="O246" s="52">
        <v>17.25</v>
      </c>
      <c r="P246" s="6">
        <v>0</v>
      </c>
      <c r="Q246" s="4" t="s">
        <v>26</v>
      </c>
      <c r="R246" s="4">
        <v>0</v>
      </c>
      <c r="S246" s="6">
        <v>0</v>
      </c>
      <c r="T246" s="6">
        <v>23</v>
      </c>
      <c r="U246" s="6">
        <v>25</v>
      </c>
      <c r="V246" s="52">
        <f>IF(ISERROR(VLOOKUP($S$246,'TAR FIN'!$A$1:$O$85,15,0)),0,VLOOKUP($S$246,'TAR FIN'!$A$1:$O$85,15,0))</f>
        <v>0</v>
      </c>
      <c r="W246" s="52">
        <f>IF(ISERROR(VLOOKUP($T$246,'TAR FIN'!$A$1:$O$85,15,0)),0,VLOOKUP($T$246,'TAR FIN'!$A$1:$O$85,15,0))*(1-0.06)</f>
        <v>2393.1835999999998</v>
      </c>
      <c r="X246" s="52">
        <f>IF(ISERROR(VLOOKUP($U$246,'TAR FIN'!$A$1:$O$85,15,0)),0,VLOOKUP($U$246,'TAR FIN'!$A$1:$O$85,15,0))*(1-0.06)</f>
        <v>209.68579999999997</v>
      </c>
      <c r="Y246" s="52"/>
      <c r="Z246" s="52">
        <f ca="1">('TUSD BE'!$AM$11+'TUSD BF'!$AM$11+'TUSD CVA'!$AM$11)*1*(1-0.03)</f>
        <v>3490.0216795225642</v>
      </c>
      <c r="AA246" s="52">
        <f>('TE BE'!$AB$5+'TE BF'!$AB$5+'TE CVA'!$AB$5)*1*(1-0.03)</f>
        <v>75.619613256969757</v>
      </c>
      <c r="AB246" s="6">
        <f>$K$246*$V$246</f>
        <v>0</v>
      </c>
      <c r="AC246" s="6">
        <f>$M$246*$W$246</f>
        <v>41282.417099999999</v>
      </c>
      <c r="AD246" s="6">
        <f>$O$246*$X$246</f>
        <v>3617.0800499999996</v>
      </c>
      <c r="AE246" s="6">
        <f>$K$246*$Y$246</f>
        <v>0</v>
      </c>
      <c r="AF246" s="6">
        <f ca="1">$M$246*$Z$246</f>
        <v>60202.873971764231</v>
      </c>
      <c r="AG246" s="6">
        <f>$O$246*$AA$246</f>
        <v>1304.4383286827283</v>
      </c>
    </row>
    <row r="247" spans="1:33" ht="11.25" customHeight="1" x14ac:dyDescent="0.3">
      <c r="A247" s="4" t="s">
        <v>21</v>
      </c>
      <c r="B247" s="4" t="s">
        <v>39</v>
      </c>
      <c r="C247" s="4" t="s">
        <v>40</v>
      </c>
      <c r="D247" s="4" t="s">
        <v>48</v>
      </c>
      <c r="E247" s="4" t="s">
        <v>49</v>
      </c>
      <c r="F247" s="4" t="s">
        <v>25</v>
      </c>
      <c r="G247" s="4" t="s">
        <v>25</v>
      </c>
      <c r="H247" s="4" t="s">
        <v>34</v>
      </c>
      <c r="I247" s="5">
        <v>44682</v>
      </c>
      <c r="J247" s="6">
        <v>0</v>
      </c>
      <c r="K247" s="52">
        <v>0</v>
      </c>
      <c r="L247" s="6">
        <v>17.478000000000002</v>
      </c>
      <c r="M247" s="52">
        <v>17.478000000000002</v>
      </c>
      <c r="N247" s="6">
        <v>17.478000000000002</v>
      </c>
      <c r="O247" s="52">
        <v>17.478000000000002</v>
      </c>
      <c r="P247" s="6">
        <v>0</v>
      </c>
      <c r="Q247" s="4" t="s">
        <v>26</v>
      </c>
      <c r="R247" s="4">
        <v>0</v>
      </c>
      <c r="S247" s="6">
        <v>0</v>
      </c>
      <c r="T247" s="6">
        <v>23</v>
      </c>
      <c r="U247" s="6">
        <v>25</v>
      </c>
      <c r="V247" s="52">
        <f>IF(ISERROR(VLOOKUP($S$247,'TAR FIN'!$A$1:$O$85,15,0)),0,VLOOKUP($S$247,'TAR FIN'!$A$1:$O$85,15,0))</f>
        <v>0</v>
      </c>
      <c r="W247" s="52">
        <f>IF(ISERROR(VLOOKUP($T$247,'TAR FIN'!$A$1:$O$85,15,0)),0,VLOOKUP($T$247,'TAR FIN'!$A$1:$O$85,15,0))*(1-0.06)</f>
        <v>2393.1835999999998</v>
      </c>
      <c r="X247" s="52">
        <f>IF(ISERROR(VLOOKUP($U$247,'TAR FIN'!$A$1:$O$85,15,0)),0,VLOOKUP($U$247,'TAR FIN'!$A$1:$O$85,15,0))*(1-0.06)</f>
        <v>209.68579999999997</v>
      </c>
      <c r="Y247" s="52"/>
      <c r="Z247" s="52">
        <f ca="1">('TUSD BE'!$AM$11+'TUSD BF'!$AM$11+'TUSD CVA'!$AM$11)*1*(1-0.03)</f>
        <v>3490.0216795225642</v>
      </c>
      <c r="AA247" s="52">
        <f>('TE BE'!$AB$5+'TE BF'!$AB$5+'TE CVA'!$AB$5)*1*(1-0.03)</f>
        <v>75.619613256969757</v>
      </c>
      <c r="AB247" s="6">
        <f>$K$247*$V$247</f>
        <v>0</v>
      </c>
      <c r="AC247" s="6">
        <f>$M$247*$W$247</f>
        <v>41828.062960800002</v>
      </c>
      <c r="AD247" s="6">
        <f>$O$247*$X$247</f>
        <v>3664.8884123999997</v>
      </c>
      <c r="AE247" s="6">
        <f>$K$247*$Y$247</f>
        <v>0</v>
      </c>
      <c r="AF247" s="6">
        <f ca="1">$M$247*$Z$247</f>
        <v>60998.59891469538</v>
      </c>
      <c r="AG247" s="6">
        <f>$O$247*$AA$247</f>
        <v>1321.6796005053175</v>
      </c>
    </row>
    <row r="248" spans="1:33" ht="11.25" customHeight="1" x14ac:dyDescent="0.3">
      <c r="A248" s="4" t="s">
        <v>21</v>
      </c>
      <c r="B248" s="4" t="s">
        <v>39</v>
      </c>
      <c r="C248" s="4" t="s">
        <v>40</v>
      </c>
      <c r="D248" s="4" t="s">
        <v>48</v>
      </c>
      <c r="E248" s="4" t="s">
        <v>49</v>
      </c>
      <c r="F248" s="4" t="s">
        <v>25</v>
      </c>
      <c r="G248" s="4" t="s">
        <v>25</v>
      </c>
      <c r="H248" s="4" t="s">
        <v>34</v>
      </c>
      <c r="I248" s="5">
        <v>44713</v>
      </c>
      <c r="J248" s="6">
        <v>0</v>
      </c>
      <c r="K248" s="52">
        <v>0</v>
      </c>
      <c r="L248" s="6">
        <v>16.527000000000001</v>
      </c>
      <c r="M248" s="52">
        <v>16.527000000000001</v>
      </c>
      <c r="N248" s="6">
        <v>16.527000000000001</v>
      </c>
      <c r="O248" s="52">
        <v>16.527000000000001</v>
      </c>
      <c r="P248" s="6">
        <v>0</v>
      </c>
      <c r="Q248" s="4" t="s">
        <v>26</v>
      </c>
      <c r="R248" s="4">
        <v>0</v>
      </c>
      <c r="S248" s="6">
        <v>0</v>
      </c>
      <c r="T248" s="6">
        <v>23</v>
      </c>
      <c r="U248" s="6">
        <v>25</v>
      </c>
      <c r="V248" s="52">
        <f>IF(ISERROR(VLOOKUP($S$248,'TAR FIN'!$A$1:$O$85,15,0)),0,VLOOKUP($S$248,'TAR FIN'!$A$1:$O$85,15,0))</f>
        <v>0</v>
      </c>
      <c r="W248" s="52">
        <f>IF(ISERROR(VLOOKUP($T$248,'TAR FIN'!$A$1:$O$85,15,0)),0,VLOOKUP($T$248,'TAR FIN'!$A$1:$O$85,15,0))*(1-0.06)</f>
        <v>2393.1835999999998</v>
      </c>
      <c r="X248" s="52">
        <f>IF(ISERROR(VLOOKUP($U$248,'TAR FIN'!$A$1:$O$85,15,0)),0,VLOOKUP($U$248,'TAR FIN'!$A$1:$O$85,15,0))*(1-0.06)</f>
        <v>209.68579999999997</v>
      </c>
      <c r="Y248" s="52"/>
      <c r="Z248" s="52">
        <f ca="1">('TUSD BE'!$AM$11+'TUSD BF'!$AM$11+'TUSD CVA'!$AM$11)*1*(1-0.03)</f>
        <v>3490.0216795225642</v>
      </c>
      <c r="AA248" s="52">
        <f>('TE BE'!$AB$5+'TE BF'!$AB$5+'TE CVA'!$AB$5)*1*(1-0.03)</f>
        <v>75.619613256969757</v>
      </c>
      <c r="AB248" s="6">
        <f>$K$248*$V$248</f>
        <v>0</v>
      </c>
      <c r="AC248" s="6">
        <f>$M$248*$W$248</f>
        <v>39552.145357200003</v>
      </c>
      <c r="AD248" s="6">
        <f>$O$248*$X$248</f>
        <v>3465.4772165999998</v>
      </c>
      <c r="AE248" s="6">
        <f>$K$248*$Y$248</f>
        <v>0</v>
      </c>
      <c r="AF248" s="6">
        <f ca="1">$M$248*$Z$248</f>
        <v>57679.588297469425</v>
      </c>
      <c r="AG248" s="6">
        <f>$O$248*$AA$248</f>
        <v>1249.7653482979392</v>
      </c>
    </row>
    <row r="249" spans="1:33" ht="11.25" customHeight="1" x14ac:dyDescent="0.3">
      <c r="A249" s="4" t="s">
        <v>21</v>
      </c>
      <c r="B249" s="4" t="s">
        <v>39</v>
      </c>
      <c r="C249" s="4" t="s">
        <v>40</v>
      </c>
      <c r="D249" s="4" t="s">
        <v>48</v>
      </c>
      <c r="E249" s="4" t="s">
        <v>49</v>
      </c>
      <c r="F249" s="4" t="s">
        <v>25</v>
      </c>
      <c r="G249" s="4" t="s">
        <v>25</v>
      </c>
      <c r="H249" s="4" t="s">
        <v>34</v>
      </c>
      <c r="I249" s="5">
        <v>44743</v>
      </c>
      <c r="J249" s="6">
        <v>0</v>
      </c>
      <c r="K249" s="52">
        <v>0</v>
      </c>
      <c r="L249" s="6">
        <v>17.495000000000001</v>
      </c>
      <c r="M249" s="52">
        <v>17.495000000000001</v>
      </c>
      <c r="N249" s="6">
        <v>17.495000000000001</v>
      </c>
      <c r="O249" s="52">
        <v>17.495000000000001</v>
      </c>
      <c r="P249" s="6">
        <v>0</v>
      </c>
      <c r="Q249" s="4" t="s">
        <v>26</v>
      </c>
      <c r="R249" s="4">
        <v>0</v>
      </c>
      <c r="S249" s="6">
        <v>0</v>
      </c>
      <c r="T249" s="6">
        <v>23</v>
      </c>
      <c r="U249" s="6">
        <v>25</v>
      </c>
      <c r="V249" s="52">
        <f>IF(ISERROR(VLOOKUP($S$249,'TAR FIN'!$A$1:$O$85,15,0)),0,VLOOKUP($S$249,'TAR FIN'!$A$1:$O$85,15,0))</f>
        <v>0</v>
      </c>
      <c r="W249" s="52">
        <f>IF(ISERROR(VLOOKUP($T$249,'TAR FIN'!$A$1:$O$85,15,0)),0,VLOOKUP($T$249,'TAR FIN'!$A$1:$O$85,15,0))*(1-0.06)</f>
        <v>2393.1835999999998</v>
      </c>
      <c r="X249" s="52">
        <f>IF(ISERROR(VLOOKUP($U$249,'TAR FIN'!$A$1:$O$85,15,0)),0,VLOOKUP($U$249,'TAR FIN'!$A$1:$O$85,15,0))*(1-0.06)</f>
        <v>209.68579999999997</v>
      </c>
      <c r="Y249" s="52"/>
      <c r="Z249" s="52">
        <f ca="1">('TUSD BE'!$AM$11+'TUSD BF'!$AM$11+'TUSD CVA'!$AM$11)*1*(1-0.03)</f>
        <v>3490.0216795225642</v>
      </c>
      <c r="AA249" s="52">
        <f>('TE BE'!$AB$5+'TE BF'!$AB$5+'TE CVA'!$AB$5)*1*(1-0.03)</f>
        <v>75.619613256969757</v>
      </c>
      <c r="AB249" s="6">
        <f>$K$249*$V$249</f>
        <v>0</v>
      </c>
      <c r="AC249" s="6">
        <f>$M$249*$W$249</f>
        <v>41868.747082000002</v>
      </c>
      <c r="AD249" s="6">
        <f>$O$249*$X$249</f>
        <v>3668.4530709999999</v>
      </c>
      <c r="AE249" s="6">
        <f>$K$249*$Y$249</f>
        <v>0</v>
      </c>
      <c r="AF249" s="6">
        <f ca="1">$M$249*$Z$249</f>
        <v>61057.929283247264</v>
      </c>
      <c r="AG249" s="6">
        <f>$O$249*$AA$249</f>
        <v>1322.9651339306861</v>
      </c>
    </row>
    <row r="250" spans="1:33" ht="11.25" customHeight="1" x14ac:dyDescent="0.3">
      <c r="A250" s="4" t="s">
        <v>21</v>
      </c>
      <c r="B250" s="4" t="s">
        <v>39</v>
      </c>
      <c r="C250" s="4" t="s">
        <v>40</v>
      </c>
      <c r="D250" s="4" t="s">
        <v>48</v>
      </c>
      <c r="E250" s="4" t="s">
        <v>49</v>
      </c>
      <c r="F250" s="4" t="s">
        <v>25</v>
      </c>
      <c r="G250" s="4" t="s">
        <v>25</v>
      </c>
      <c r="H250" s="4" t="s">
        <v>34</v>
      </c>
      <c r="I250" s="5">
        <v>44774</v>
      </c>
      <c r="J250" s="6">
        <v>0</v>
      </c>
      <c r="K250" s="52">
        <v>0</v>
      </c>
      <c r="L250" s="6">
        <v>17.931000000000001</v>
      </c>
      <c r="M250" s="52">
        <v>17.931000000000001</v>
      </c>
      <c r="N250" s="6">
        <v>17.931000000000001</v>
      </c>
      <c r="O250" s="52">
        <v>17.931000000000001</v>
      </c>
      <c r="P250" s="6">
        <v>0</v>
      </c>
      <c r="Q250" s="4" t="s">
        <v>26</v>
      </c>
      <c r="R250" s="4">
        <v>0</v>
      </c>
      <c r="S250" s="6">
        <v>0</v>
      </c>
      <c r="T250" s="6">
        <v>23</v>
      </c>
      <c r="U250" s="6">
        <v>25</v>
      </c>
      <c r="V250" s="52">
        <f>IF(ISERROR(VLOOKUP($S$250,'TAR FIN'!$A$1:$O$85,15,0)),0,VLOOKUP($S$250,'TAR FIN'!$A$1:$O$85,15,0))</f>
        <v>0</v>
      </c>
      <c r="W250" s="52">
        <f>IF(ISERROR(VLOOKUP($T$250,'TAR FIN'!$A$1:$O$85,15,0)),0,VLOOKUP($T$250,'TAR FIN'!$A$1:$O$85,15,0))*(1-0.06)</f>
        <v>2393.1835999999998</v>
      </c>
      <c r="X250" s="52">
        <f>IF(ISERROR(VLOOKUP($U$250,'TAR FIN'!$A$1:$O$85,15,0)),0,VLOOKUP($U$250,'TAR FIN'!$A$1:$O$85,15,0))*(1-0.06)</f>
        <v>209.68579999999997</v>
      </c>
      <c r="Y250" s="52"/>
      <c r="Z250" s="52">
        <f ca="1">('TUSD BE'!$AM$11+'TUSD BF'!$AM$11+'TUSD CVA'!$AM$11)*1*(1-0.03)</f>
        <v>3490.0216795225642</v>
      </c>
      <c r="AA250" s="52">
        <f>('TE BE'!$AB$5+'TE BF'!$AB$5+'TE CVA'!$AB$5)*1*(1-0.03)</f>
        <v>75.619613256969757</v>
      </c>
      <c r="AB250" s="6">
        <f>$K$250*$V$250</f>
        <v>0</v>
      </c>
      <c r="AC250" s="6">
        <f>$M$250*$W$250</f>
        <v>42912.175131600001</v>
      </c>
      <c r="AD250" s="6">
        <f>$O$250*$X$250</f>
        <v>3759.8760797999998</v>
      </c>
      <c r="AE250" s="6">
        <f>$K$250*$Y$250</f>
        <v>0</v>
      </c>
      <c r="AF250" s="6">
        <f ca="1">$M$250*$Z$250</f>
        <v>62579.578735519106</v>
      </c>
      <c r="AG250" s="6">
        <f>$O$250*$AA$250</f>
        <v>1355.9352853107248</v>
      </c>
    </row>
    <row r="251" spans="1:33" ht="11.25" customHeight="1" x14ac:dyDescent="0.3">
      <c r="A251" s="4" t="s">
        <v>21</v>
      </c>
      <c r="B251" s="4" t="s">
        <v>22</v>
      </c>
      <c r="C251" s="4" t="s">
        <v>33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35</v>
      </c>
      <c r="I251" s="5">
        <v>44440</v>
      </c>
      <c r="J251" s="6">
        <v>0</v>
      </c>
      <c r="K251" s="6">
        <v>0</v>
      </c>
      <c r="L251" s="6">
        <v>0.65800000000000003</v>
      </c>
      <c r="M251" s="6">
        <v>0.65800000000000003</v>
      </c>
      <c r="N251" s="6">
        <v>0.65800000000000003</v>
      </c>
      <c r="O251" s="6">
        <v>0.65800000000000003</v>
      </c>
      <c r="P251" s="6">
        <v>0</v>
      </c>
      <c r="Q251" s="4" t="s">
        <v>26</v>
      </c>
      <c r="R251" s="4">
        <v>0</v>
      </c>
      <c r="S251" s="6">
        <v>0</v>
      </c>
      <c r="T251" s="6">
        <v>22</v>
      </c>
      <c r="U251" s="6">
        <v>32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303.06</v>
      </c>
      <c r="X251" s="6">
        <f>IF(ISERROR(VLOOKUP($U$251,'TAR FIN'!$A$1:$O$85,15,0)),0,VLOOKUP($U$251,'TAR FIN'!$A$1:$O$85,15,0))</f>
        <v>223.07</v>
      </c>
      <c r="Y251" s="6"/>
      <c r="Z251" s="6">
        <f ca="1">('TUSD BE'!$AM$19+'TUSD BF'!$AM$19+'TUSD CVA'!$AM$19)*1</f>
        <v>417.90151064338761</v>
      </c>
      <c r="AA251" s="6">
        <f>('TE BE'!$AB$9+'TE BF'!$AB$9+'TE CVA'!$AB$9)*1</f>
        <v>77.958364182443049</v>
      </c>
      <c r="AB251" s="6">
        <f>$K$251*$V$251</f>
        <v>0</v>
      </c>
      <c r="AC251" s="6">
        <f>$M$251*$W$251</f>
        <v>199.41348000000002</v>
      </c>
      <c r="AD251" s="6">
        <f>$O$251*$X$251</f>
        <v>146.78005999999999</v>
      </c>
      <c r="AE251" s="6">
        <f>$K$251*$Y$251</f>
        <v>0</v>
      </c>
      <c r="AF251" s="6">
        <f ca="1">$M$251*$Z$251</f>
        <v>274.97919400334905</v>
      </c>
      <c r="AG251" s="6">
        <f>$O$251*$AA$251</f>
        <v>51.296603632047528</v>
      </c>
    </row>
    <row r="252" spans="1:33" ht="11.25" customHeight="1" x14ac:dyDescent="0.3">
      <c r="A252" s="4" t="s">
        <v>21</v>
      </c>
      <c r="B252" s="4" t="s">
        <v>22</v>
      </c>
      <c r="C252" s="4" t="s">
        <v>33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35</v>
      </c>
      <c r="I252" s="5">
        <v>44470</v>
      </c>
      <c r="J252" s="6">
        <v>0</v>
      </c>
      <c r="K252" s="6">
        <v>0</v>
      </c>
      <c r="L252" s="6">
        <v>0.63500000000000001</v>
      </c>
      <c r="M252" s="6">
        <v>0.63500000000000001</v>
      </c>
      <c r="N252" s="6">
        <v>0.63500000000000001</v>
      </c>
      <c r="O252" s="6">
        <v>0.63500000000000001</v>
      </c>
      <c r="P252" s="6">
        <v>0</v>
      </c>
      <c r="Q252" s="4" t="s">
        <v>26</v>
      </c>
      <c r="R252" s="4">
        <v>0</v>
      </c>
      <c r="S252" s="6">
        <v>0</v>
      </c>
      <c r="T252" s="6">
        <v>22</v>
      </c>
      <c r="U252" s="6">
        <v>32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303.06</v>
      </c>
      <c r="X252" s="6">
        <f>IF(ISERROR(VLOOKUP($U$252,'TAR FIN'!$A$1:$O$85,15,0)),0,VLOOKUP($U$252,'TAR FIN'!$A$1:$O$85,15,0))</f>
        <v>223.07</v>
      </c>
      <c r="Y252" s="6"/>
      <c r="Z252" s="6">
        <f ca="1">('TUSD BE'!$AM$19+'TUSD BF'!$AM$19+'TUSD CVA'!$AM$19)*1</f>
        <v>417.90151064338761</v>
      </c>
      <c r="AA252" s="6">
        <f>('TE BE'!$AB$9+'TE BF'!$AB$9+'TE CVA'!$AB$9)*1</f>
        <v>77.958364182443049</v>
      </c>
      <c r="AB252" s="6">
        <f>$K$252*$V$252</f>
        <v>0</v>
      </c>
      <c r="AC252" s="6">
        <f>$M$252*$W$252</f>
        <v>192.44310000000002</v>
      </c>
      <c r="AD252" s="6">
        <f>$O$252*$X$252</f>
        <v>141.64945</v>
      </c>
      <c r="AE252" s="6">
        <f>$K$252*$Y$252</f>
        <v>0</v>
      </c>
      <c r="AF252" s="6">
        <f ca="1">$M$252*$Z$252</f>
        <v>265.36745925855115</v>
      </c>
      <c r="AG252" s="6">
        <f>$O$252*$AA$252</f>
        <v>49.503561255851338</v>
      </c>
    </row>
    <row r="253" spans="1:33" ht="11.25" customHeight="1" x14ac:dyDescent="0.3">
      <c r="A253" s="4" t="s">
        <v>21</v>
      </c>
      <c r="B253" s="4" t="s">
        <v>22</v>
      </c>
      <c r="C253" s="4" t="s">
        <v>33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35</v>
      </c>
      <c r="I253" s="5">
        <v>44501</v>
      </c>
      <c r="J253" s="6">
        <v>0</v>
      </c>
      <c r="K253" s="6">
        <v>0</v>
      </c>
      <c r="L253" s="6">
        <v>0.67700000000000005</v>
      </c>
      <c r="M253" s="6">
        <v>0.67700000000000005</v>
      </c>
      <c r="N253" s="6">
        <v>0.67700000000000005</v>
      </c>
      <c r="O253" s="6">
        <v>0.67700000000000005</v>
      </c>
      <c r="P253" s="6">
        <v>0</v>
      </c>
      <c r="Q253" s="4" t="s">
        <v>26</v>
      </c>
      <c r="R253" s="4">
        <v>0</v>
      </c>
      <c r="S253" s="6">
        <v>0</v>
      </c>
      <c r="T253" s="6">
        <v>22</v>
      </c>
      <c r="U253" s="6">
        <v>32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303.06</v>
      </c>
      <c r="X253" s="6">
        <f>IF(ISERROR(VLOOKUP($U$253,'TAR FIN'!$A$1:$O$85,15,0)),0,VLOOKUP($U$253,'TAR FIN'!$A$1:$O$85,15,0))</f>
        <v>223.07</v>
      </c>
      <c r="Y253" s="6"/>
      <c r="Z253" s="6">
        <f ca="1">('TUSD BE'!$AM$19+'TUSD BF'!$AM$19+'TUSD CVA'!$AM$19)*1</f>
        <v>417.90151064338761</v>
      </c>
      <c r="AA253" s="6">
        <f>('TE BE'!$AB$9+'TE BF'!$AB$9+'TE CVA'!$AB$9)*1</f>
        <v>77.958364182443049</v>
      </c>
      <c r="AB253" s="6">
        <f>$K$253*$V$253</f>
        <v>0</v>
      </c>
      <c r="AC253" s="6">
        <f>$M$253*$W$253</f>
        <v>205.17162000000002</v>
      </c>
      <c r="AD253" s="6">
        <f>$O$253*$X$253</f>
        <v>151.01839000000001</v>
      </c>
      <c r="AE253" s="6">
        <f>$K$253*$Y$253</f>
        <v>0</v>
      </c>
      <c r="AF253" s="6">
        <f ca="1">$M$253*$Z$253</f>
        <v>282.91932270557345</v>
      </c>
      <c r="AG253" s="6">
        <f>$O$253*$AA$253</f>
        <v>52.777812551513946</v>
      </c>
    </row>
    <row r="254" spans="1:33" ht="11.25" customHeight="1" x14ac:dyDescent="0.3">
      <c r="A254" s="4" t="s">
        <v>21</v>
      </c>
      <c r="B254" s="4" t="s">
        <v>22</v>
      </c>
      <c r="C254" s="4" t="s">
        <v>33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35</v>
      </c>
      <c r="I254" s="5">
        <v>44531</v>
      </c>
      <c r="J254" s="6">
        <v>0</v>
      </c>
      <c r="K254" s="6">
        <v>0</v>
      </c>
      <c r="L254" s="6">
        <v>0.71799999999999997</v>
      </c>
      <c r="M254" s="6">
        <v>0.71799999999999997</v>
      </c>
      <c r="N254" s="6">
        <v>0.71799999999999997</v>
      </c>
      <c r="O254" s="6">
        <v>0.71799999999999997</v>
      </c>
      <c r="P254" s="6">
        <v>0</v>
      </c>
      <c r="Q254" s="4" t="s">
        <v>26</v>
      </c>
      <c r="R254" s="4">
        <v>0</v>
      </c>
      <c r="S254" s="6">
        <v>0</v>
      </c>
      <c r="T254" s="6">
        <v>22</v>
      </c>
      <c r="U254" s="6">
        <v>32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303.06</v>
      </c>
      <c r="X254" s="6">
        <f>IF(ISERROR(VLOOKUP($U$254,'TAR FIN'!$A$1:$O$85,15,0)),0,VLOOKUP($U$254,'TAR FIN'!$A$1:$O$85,15,0))</f>
        <v>223.07</v>
      </c>
      <c r="Y254" s="6"/>
      <c r="Z254" s="6">
        <f ca="1">('TUSD BE'!$AM$19+'TUSD BF'!$AM$19+'TUSD CVA'!$AM$19)*1</f>
        <v>417.90151064338761</v>
      </c>
      <c r="AA254" s="6">
        <f>('TE BE'!$AB$9+'TE BF'!$AB$9+'TE CVA'!$AB$9)*1</f>
        <v>77.958364182443049</v>
      </c>
      <c r="AB254" s="6">
        <f>$K$254*$V$254</f>
        <v>0</v>
      </c>
      <c r="AC254" s="6">
        <f>$M$254*$W$254</f>
        <v>217.59708000000001</v>
      </c>
      <c r="AD254" s="6">
        <f>$O$254*$X$254</f>
        <v>160.16425999999998</v>
      </c>
      <c r="AE254" s="6">
        <f>$K$254*$Y$254</f>
        <v>0</v>
      </c>
      <c r="AF254" s="6">
        <f ca="1">$M$254*$Z$254</f>
        <v>300.0532846419523</v>
      </c>
      <c r="AG254" s="6">
        <f>$O$254*$AA$254</f>
        <v>55.974105482994105</v>
      </c>
    </row>
    <row r="255" spans="1:33" ht="11.25" customHeight="1" x14ac:dyDescent="0.3">
      <c r="A255" s="4" t="s">
        <v>21</v>
      </c>
      <c r="B255" s="4" t="s">
        <v>22</v>
      </c>
      <c r="C255" s="4" t="s">
        <v>33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35</v>
      </c>
      <c r="I255" s="5">
        <v>44562</v>
      </c>
      <c r="J255" s="6">
        <v>0</v>
      </c>
      <c r="K255" s="6">
        <v>0</v>
      </c>
      <c r="L255" s="6">
        <v>0.748</v>
      </c>
      <c r="M255" s="6">
        <v>0.748</v>
      </c>
      <c r="N255" s="6">
        <v>0.748</v>
      </c>
      <c r="O255" s="6">
        <v>0.748</v>
      </c>
      <c r="P255" s="6">
        <v>0</v>
      </c>
      <c r="Q255" s="4" t="s">
        <v>26</v>
      </c>
      <c r="R255" s="4">
        <v>0</v>
      </c>
      <c r="S255" s="6">
        <v>0</v>
      </c>
      <c r="T255" s="6">
        <v>22</v>
      </c>
      <c r="U255" s="6">
        <v>32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303.06</v>
      </c>
      <c r="X255" s="6">
        <f>IF(ISERROR(VLOOKUP($U$255,'TAR FIN'!$A$1:$O$85,15,0)),0,VLOOKUP($U$255,'TAR FIN'!$A$1:$O$85,15,0))</f>
        <v>223.07</v>
      </c>
      <c r="Y255" s="6"/>
      <c r="Z255" s="6">
        <f ca="1">('TUSD BE'!$AM$19+'TUSD BF'!$AM$19+'TUSD CVA'!$AM$19)*1</f>
        <v>417.90151064338761</v>
      </c>
      <c r="AA255" s="6">
        <f>('TE BE'!$AB$9+'TE BF'!$AB$9+'TE CVA'!$AB$9)*1</f>
        <v>77.958364182443049</v>
      </c>
      <c r="AB255" s="6">
        <f>$K$255*$V$255</f>
        <v>0</v>
      </c>
      <c r="AC255" s="6">
        <f>$M$255*$W$255</f>
        <v>226.68888000000001</v>
      </c>
      <c r="AD255" s="6">
        <f>$O$255*$X$255</f>
        <v>166.85636</v>
      </c>
      <c r="AE255" s="6">
        <f>$K$255*$Y$255</f>
        <v>0</v>
      </c>
      <c r="AF255" s="6">
        <f ca="1">$M$255*$Z$255</f>
        <v>312.59032996125393</v>
      </c>
      <c r="AG255" s="6">
        <f>$O$255*$AA$255</f>
        <v>58.312856408467397</v>
      </c>
    </row>
    <row r="256" spans="1:33" ht="11.25" customHeight="1" x14ac:dyDescent="0.3">
      <c r="A256" s="4" t="s">
        <v>21</v>
      </c>
      <c r="B256" s="4" t="s">
        <v>22</v>
      </c>
      <c r="C256" s="4" t="s">
        <v>33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35</v>
      </c>
      <c r="I256" s="5">
        <v>44593</v>
      </c>
      <c r="J256" s="6">
        <v>0</v>
      </c>
      <c r="K256" s="6">
        <v>0</v>
      </c>
      <c r="L256" s="6">
        <v>0.68100000000000005</v>
      </c>
      <c r="M256" s="6">
        <v>0.68100000000000005</v>
      </c>
      <c r="N256" s="6">
        <v>0.68100000000000005</v>
      </c>
      <c r="O256" s="6">
        <v>0.68100000000000005</v>
      </c>
      <c r="P256" s="6">
        <v>0</v>
      </c>
      <c r="Q256" s="4" t="s">
        <v>26</v>
      </c>
      <c r="R256" s="4">
        <v>0</v>
      </c>
      <c r="S256" s="6">
        <v>0</v>
      </c>
      <c r="T256" s="6">
        <v>22</v>
      </c>
      <c r="U256" s="6">
        <v>32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303.06</v>
      </c>
      <c r="X256" s="6">
        <f>IF(ISERROR(VLOOKUP($U$256,'TAR FIN'!$A$1:$O$85,15,0)),0,VLOOKUP($U$256,'TAR FIN'!$A$1:$O$85,15,0))</f>
        <v>223.07</v>
      </c>
      <c r="Y256" s="6"/>
      <c r="Z256" s="6">
        <f ca="1">('TUSD BE'!$AM$19+'TUSD BF'!$AM$19+'TUSD CVA'!$AM$19)*1</f>
        <v>417.90151064338761</v>
      </c>
      <c r="AA256" s="6">
        <f>('TE BE'!$AB$9+'TE BF'!$AB$9+'TE CVA'!$AB$9)*1</f>
        <v>77.958364182443049</v>
      </c>
      <c r="AB256" s="6">
        <f>$K$256*$V$256</f>
        <v>0</v>
      </c>
      <c r="AC256" s="6">
        <f>$M$256*$W$256</f>
        <v>206.38386000000003</v>
      </c>
      <c r="AD256" s="6">
        <f>$O$256*$X$256</f>
        <v>151.91067000000001</v>
      </c>
      <c r="AE256" s="6">
        <f>$K$256*$Y$256</f>
        <v>0</v>
      </c>
      <c r="AF256" s="6">
        <f ca="1">$M$256*$Z$256</f>
        <v>284.59092874814701</v>
      </c>
      <c r="AG256" s="6">
        <f>$O$256*$AA$256</f>
        <v>53.089646008243719</v>
      </c>
    </row>
    <row r="257" spans="1:33" ht="11.25" customHeight="1" x14ac:dyDescent="0.3">
      <c r="A257" s="4" t="s">
        <v>21</v>
      </c>
      <c r="B257" s="4" t="s">
        <v>22</v>
      </c>
      <c r="C257" s="4" t="s">
        <v>33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35</v>
      </c>
      <c r="I257" s="5">
        <v>44621</v>
      </c>
      <c r="J257" s="6">
        <v>0</v>
      </c>
      <c r="K257" s="6">
        <v>0</v>
      </c>
      <c r="L257" s="6">
        <v>0.78400000000000003</v>
      </c>
      <c r="M257" s="6">
        <v>0.78400000000000003</v>
      </c>
      <c r="N257" s="6">
        <v>0.78400000000000003</v>
      </c>
      <c r="O257" s="6">
        <v>0.78400000000000003</v>
      </c>
      <c r="P257" s="6">
        <v>0</v>
      </c>
      <c r="Q257" s="4" t="s">
        <v>26</v>
      </c>
      <c r="R257" s="4">
        <v>0</v>
      </c>
      <c r="S257" s="6">
        <v>0</v>
      </c>
      <c r="T257" s="6">
        <v>22</v>
      </c>
      <c r="U257" s="6">
        <v>32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303.06</v>
      </c>
      <c r="X257" s="6">
        <f>IF(ISERROR(VLOOKUP($U$257,'TAR FIN'!$A$1:$O$85,15,0)),0,VLOOKUP($U$257,'TAR FIN'!$A$1:$O$85,15,0))</f>
        <v>223.07</v>
      </c>
      <c r="Y257" s="6"/>
      <c r="Z257" s="6">
        <f ca="1">('TUSD BE'!$AM$19+'TUSD BF'!$AM$19+'TUSD CVA'!$AM$19)*1</f>
        <v>417.90151064338761</v>
      </c>
      <c r="AA257" s="6">
        <f>('TE BE'!$AB$9+'TE BF'!$AB$9+'TE CVA'!$AB$9)*1</f>
        <v>77.958364182443049</v>
      </c>
      <c r="AB257" s="6">
        <f>$K$257*$V$257</f>
        <v>0</v>
      </c>
      <c r="AC257" s="6">
        <f>$M$257*$W$257</f>
        <v>237.59904</v>
      </c>
      <c r="AD257" s="6">
        <f>$O$257*$X$257</f>
        <v>174.88687999999999</v>
      </c>
      <c r="AE257" s="6">
        <f>$K$257*$Y$257</f>
        <v>0</v>
      </c>
      <c r="AF257" s="6">
        <f ca="1">$M$257*$Z$257</f>
        <v>327.63478434441589</v>
      </c>
      <c r="AG257" s="6">
        <f>$O$257*$AA$257</f>
        <v>61.119357519035354</v>
      </c>
    </row>
    <row r="258" spans="1:33" ht="11.25" customHeight="1" x14ac:dyDescent="0.3">
      <c r="A258" s="4" t="s">
        <v>21</v>
      </c>
      <c r="B258" s="4" t="s">
        <v>22</v>
      </c>
      <c r="C258" s="4" t="s">
        <v>33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35</v>
      </c>
      <c r="I258" s="5">
        <v>44652</v>
      </c>
      <c r="J258" s="6">
        <v>0</v>
      </c>
      <c r="K258" s="6">
        <v>0</v>
      </c>
      <c r="L258" s="6">
        <v>0.44600000000000001</v>
      </c>
      <c r="M258" s="6">
        <v>0.44600000000000001</v>
      </c>
      <c r="N258" s="6">
        <v>0.44600000000000001</v>
      </c>
      <c r="O258" s="6">
        <v>0.44600000000000001</v>
      </c>
      <c r="P258" s="6">
        <v>0</v>
      </c>
      <c r="Q258" s="4" t="s">
        <v>26</v>
      </c>
      <c r="R258" s="4">
        <v>0</v>
      </c>
      <c r="S258" s="6">
        <v>0</v>
      </c>
      <c r="T258" s="6">
        <v>22</v>
      </c>
      <c r="U258" s="6">
        <v>32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303.06</v>
      </c>
      <c r="X258" s="6">
        <f>IF(ISERROR(VLOOKUP($U$258,'TAR FIN'!$A$1:$O$85,15,0)),0,VLOOKUP($U$258,'TAR FIN'!$A$1:$O$85,15,0))</f>
        <v>223.07</v>
      </c>
      <c r="Y258" s="6"/>
      <c r="Z258" s="6">
        <f ca="1">('TUSD BE'!$AM$19+'TUSD BF'!$AM$19+'TUSD CVA'!$AM$19)*1</f>
        <v>417.90151064338761</v>
      </c>
      <c r="AA258" s="6">
        <f>('TE BE'!$AB$9+'TE BF'!$AB$9+'TE CVA'!$AB$9)*1</f>
        <v>77.958364182443049</v>
      </c>
      <c r="AB258" s="6">
        <f>$K$258*$V$258</f>
        <v>0</v>
      </c>
      <c r="AC258" s="6">
        <f>$M$258*$W$258</f>
        <v>135.16476</v>
      </c>
      <c r="AD258" s="6">
        <f>$O$258*$X$258</f>
        <v>99.489220000000003</v>
      </c>
      <c r="AE258" s="6">
        <f>$K$258*$Y$258</f>
        <v>0</v>
      </c>
      <c r="AF258" s="6">
        <f ca="1">$M$258*$Z$258</f>
        <v>186.38407374695089</v>
      </c>
      <c r="AG258" s="6">
        <f>$O$258*$AA$258</f>
        <v>34.769430425369599</v>
      </c>
    </row>
    <row r="259" spans="1:33" ht="11.25" customHeight="1" x14ac:dyDescent="0.3">
      <c r="A259" s="4" t="s">
        <v>21</v>
      </c>
      <c r="B259" s="4" t="s">
        <v>22</v>
      </c>
      <c r="C259" s="4" t="s">
        <v>33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35</v>
      </c>
      <c r="I259" s="5">
        <v>44682</v>
      </c>
      <c r="J259" s="6">
        <v>0</v>
      </c>
      <c r="K259" s="6">
        <v>0</v>
      </c>
      <c r="L259" s="6">
        <v>0.29599999999999999</v>
      </c>
      <c r="M259" s="6">
        <v>0.29599999999999999</v>
      </c>
      <c r="N259" s="6">
        <v>0.29599999999999999</v>
      </c>
      <c r="O259" s="6">
        <v>0.29599999999999999</v>
      </c>
      <c r="P259" s="6">
        <v>0</v>
      </c>
      <c r="Q259" s="4" t="s">
        <v>26</v>
      </c>
      <c r="R259" s="4">
        <v>0</v>
      </c>
      <c r="S259" s="6">
        <v>0</v>
      </c>
      <c r="T259" s="6">
        <v>22</v>
      </c>
      <c r="U259" s="6">
        <v>32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303.06</v>
      </c>
      <c r="X259" s="6">
        <f>IF(ISERROR(VLOOKUP($U$259,'TAR FIN'!$A$1:$O$85,15,0)),0,VLOOKUP($U$259,'TAR FIN'!$A$1:$O$85,15,0))</f>
        <v>223.07</v>
      </c>
      <c r="Y259" s="6"/>
      <c r="Z259" s="6">
        <f ca="1">('TUSD BE'!$AM$19+'TUSD BF'!$AM$19+'TUSD CVA'!$AM$19)*1</f>
        <v>417.90151064338761</v>
      </c>
      <c r="AA259" s="6">
        <f>('TE BE'!$AB$9+'TE BF'!$AB$9+'TE CVA'!$AB$9)*1</f>
        <v>77.958364182443049</v>
      </c>
      <c r="AB259" s="6">
        <f>$K$259*$V$259</f>
        <v>0</v>
      </c>
      <c r="AC259" s="6">
        <f>$M$259*$W$259</f>
        <v>89.705759999999998</v>
      </c>
      <c r="AD259" s="6">
        <f>$O$259*$X$259</f>
        <v>66.028719999999993</v>
      </c>
      <c r="AE259" s="6">
        <f>$K$259*$Y$259</f>
        <v>0</v>
      </c>
      <c r="AF259" s="6">
        <f ca="1">$M$259*$Z$259</f>
        <v>123.69884715044273</v>
      </c>
      <c r="AG259" s="6">
        <f>$O$259*$AA$259</f>
        <v>23.07567579800314</v>
      </c>
    </row>
    <row r="260" spans="1:33" ht="11.25" customHeight="1" x14ac:dyDescent="0.3">
      <c r="A260" s="4" t="s">
        <v>21</v>
      </c>
      <c r="B260" s="4" t="s">
        <v>22</v>
      </c>
      <c r="C260" s="4" t="s">
        <v>33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35</v>
      </c>
      <c r="I260" s="5">
        <v>44713</v>
      </c>
      <c r="J260" s="6">
        <v>0</v>
      </c>
      <c r="K260" s="6">
        <v>0</v>
      </c>
      <c r="L260" s="6">
        <v>0.28299999999999997</v>
      </c>
      <c r="M260" s="6">
        <v>0.28299999999999997</v>
      </c>
      <c r="N260" s="6">
        <v>0.28299999999999997</v>
      </c>
      <c r="O260" s="6">
        <v>0.28299999999999997</v>
      </c>
      <c r="P260" s="6">
        <v>0</v>
      </c>
      <c r="Q260" s="4" t="s">
        <v>26</v>
      </c>
      <c r="R260" s="4">
        <v>0</v>
      </c>
      <c r="S260" s="6">
        <v>0</v>
      </c>
      <c r="T260" s="6">
        <v>22</v>
      </c>
      <c r="U260" s="6">
        <v>32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303.06</v>
      </c>
      <c r="X260" s="6">
        <f>IF(ISERROR(VLOOKUP($U$260,'TAR FIN'!$A$1:$O$85,15,0)),0,VLOOKUP($U$260,'TAR FIN'!$A$1:$O$85,15,0))</f>
        <v>223.07</v>
      </c>
      <c r="Y260" s="6"/>
      <c r="Z260" s="6">
        <f ca="1">('TUSD BE'!$AM$19+'TUSD BF'!$AM$19+'TUSD CVA'!$AM$19)*1</f>
        <v>417.90151064338761</v>
      </c>
      <c r="AA260" s="6">
        <f>('TE BE'!$AB$9+'TE BF'!$AB$9+'TE CVA'!$AB$9)*1</f>
        <v>77.958364182443049</v>
      </c>
      <c r="AB260" s="6">
        <f>$K$260*$V$260</f>
        <v>0</v>
      </c>
      <c r="AC260" s="6">
        <f>$M$260*$W$260</f>
        <v>85.765979999999999</v>
      </c>
      <c r="AD260" s="6">
        <f>$O$260*$X$260</f>
        <v>63.128809999999994</v>
      </c>
      <c r="AE260" s="6">
        <f>$K$260*$Y$260</f>
        <v>0</v>
      </c>
      <c r="AF260" s="6">
        <f ca="1">$M$260*$Z$260</f>
        <v>118.26612751207868</v>
      </c>
      <c r="AG260" s="6">
        <f>$O$260*$AA$260</f>
        <v>22.06221706363138</v>
      </c>
    </row>
    <row r="261" spans="1:33" ht="11.25" customHeight="1" x14ac:dyDescent="0.3">
      <c r="A261" s="4" t="s">
        <v>21</v>
      </c>
      <c r="B261" s="4" t="s">
        <v>22</v>
      </c>
      <c r="C261" s="4" t="s">
        <v>33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35</v>
      </c>
      <c r="I261" s="5">
        <v>44743</v>
      </c>
      <c r="J261" s="6">
        <v>0</v>
      </c>
      <c r="K261" s="6">
        <v>0</v>
      </c>
      <c r="L261" s="6">
        <v>0.26400000000000001</v>
      </c>
      <c r="M261" s="6">
        <v>0.26400000000000001</v>
      </c>
      <c r="N261" s="6">
        <v>0.26400000000000001</v>
      </c>
      <c r="O261" s="6">
        <v>0.26400000000000001</v>
      </c>
      <c r="P261" s="6">
        <v>0</v>
      </c>
      <c r="Q261" s="4" t="s">
        <v>26</v>
      </c>
      <c r="R261" s="4">
        <v>0</v>
      </c>
      <c r="S261" s="6">
        <v>0</v>
      </c>
      <c r="T261" s="6">
        <v>22</v>
      </c>
      <c r="U261" s="6">
        <v>32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303.06</v>
      </c>
      <c r="X261" s="6">
        <f>IF(ISERROR(VLOOKUP($U$261,'TAR FIN'!$A$1:$O$85,15,0)),0,VLOOKUP($U$261,'TAR FIN'!$A$1:$O$85,15,0))</f>
        <v>223.07</v>
      </c>
      <c r="Y261" s="6"/>
      <c r="Z261" s="6">
        <f ca="1">('TUSD BE'!$AM$19+'TUSD BF'!$AM$19+'TUSD CVA'!$AM$19)*1</f>
        <v>417.90151064338761</v>
      </c>
      <c r="AA261" s="6">
        <f>('TE BE'!$AB$9+'TE BF'!$AB$9+'TE CVA'!$AB$9)*1</f>
        <v>77.958364182443049</v>
      </c>
      <c r="AB261" s="6">
        <f>$K$261*$V$261</f>
        <v>0</v>
      </c>
      <c r="AC261" s="6">
        <f>$M$261*$W$261</f>
        <v>80.007840000000002</v>
      </c>
      <c r="AD261" s="6">
        <f>$O$261*$X$261</f>
        <v>58.890480000000004</v>
      </c>
      <c r="AE261" s="6">
        <f>$K$261*$Y$261</f>
        <v>0</v>
      </c>
      <c r="AF261" s="6">
        <f ca="1">$M$261*$Z$261</f>
        <v>110.32599880985434</v>
      </c>
      <c r="AG261" s="6">
        <f>$O$261*$AA$261</f>
        <v>20.581008144164965</v>
      </c>
    </row>
    <row r="262" spans="1:33" ht="11.25" customHeight="1" x14ac:dyDescent="0.3">
      <c r="A262" s="4" t="s">
        <v>21</v>
      </c>
      <c r="B262" s="4" t="s">
        <v>22</v>
      </c>
      <c r="C262" s="4" t="s">
        <v>33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35</v>
      </c>
      <c r="I262" s="5">
        <v>44774</v>
      </c>
      <c r="J262" s="6">
        <v>0</v>
      </c>
      <c r="K262" s="6">
        <v>0</v>
      </c>
      <c r="L262" s="6">
        <v>0.35499999999999998</v>
      </c>
      <c r="M262" s="6">
        <v>0.35499999999999998</v>
      </c>
      <c r="N262" s="6">
        <v>0.35499999999999998</v>
      </c>
      <c r="O262" s="6">
        <v>0.35499999999999998</v>
      </c>
      <c r="P262" s="6">
        <v>0</v>
      </c>
      <c r="Q262" s="4" t="s">
        <v>26</v>
      </c>
      <c r="R262" s="4">
        <v>0</v>
      </c>
      <c r="S262" s="6">
        <v>0</v>
      </c>
      <c r="T262" s="6">
        <v>22</v>
      </c>
      <c r="U262" s="6">
        <v>32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303.06</v>
      </c>
      <c r="X262" s="6">
        <f>IF(ISERROR(VLOOKUP($U$262,'TAR FIN'!$A$1:$O$85,15,0)),0,VLOOKUP($U$262,'TAR FIN'!$A$1:$O$85,15,0))</f>
        <v>223.07</v>
      </c>
      <c r="Y262" s="6"/>
      <c r="Z262" s="6">
        <f ca="1">('TUSD BE'!$AM$19+'TUSD BF'!$AM$19+'TUSD CVA'!$AM$19)*1</f>
        <v>417.90151064338761</v>
      </c>
      <c r="AA262" s="6">
        <f>('TE BE'!$AB$9+'TE BF'!$AB$9+'TE CVA'!$AB$9)*1</f>
        <v>77.958364182443049</v>
      </c>
      <c r="AB262" s="6">
        <f>$K$262*$V$262</f>
        <v>0</v>
      </c>
      <c r="AC262" s="6">
        <f>$M$262*$W$262</f>
        <v>107.58629999999999</v>
      </c>
      <c r="AD262" s="6">
        <f>$O$262*$X$262</f>
        <v>79.189849999999993</v>
      </c>
      <c r="AE262" s="6">
        <f>$K$262*$Y$262</f>
        <v>0</v>
      </c>
      <c r="AF262" s="6">
        <f ca="1">$M$262*$Z$262</f>
        <v>148.35503627840259</v>
      </c>
      <c r="AG262" s="6">
        <f>$O$262*$AA$262</f>
        <v>27.67521928476728</v>
      </c>
    </row>
    <row r="263" spans="1:33" ht="11.25" customHeight="1" x14ac:dyDescent="0.3">
      <c r="A263" s="4" t="s">
        <v>21</v>
      </c>
      <c r="B263" s="4" t="s">
        <v>22</v>
      </c>
      <c r="C263" s="4" t="s">
        <v>33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36</v>
      </c>
      <c r="I263" s="5">
        <v>44440</v>
      </c>
      <c r="J263" s="6">
        <v>0</v>
      </c>
      <c r="K263" s="6">
        <v>0</v>
      </c>
      <c r="L263" s="6">
        <v>1.9E-2</v>
      </c>
      <c r="M263" s="6">
        <v>1.9E-2</v>
      </c>
      <c r="N263" s="6">
        <v>1.9E-2</v>
      </c>
      <c r="O263" s="6">
        <v>1.9E-2</v>
      </c>
      <c r="P263" s="6">
        <v>0</v>
      </c>
      <c r="Q263" s="4" t="s">
        <v>26</v>
      </c>
      <c r="R263" s="4">
        <v>0</v>
      </c>
      <c r="S263" s="6">
        <v>0</v>
      </c>
      <c r="T263" s="6">
        <v>26</v>
      </c>
      <c r="U263" s="6">
        <v>38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724.93</v>
      </c>
      <c r="X263" s="6">
        <f>IF(ISERROR(VLOOKUP($U$263,'TAR FIN'!$A$1:$O$85,15,0)),0,VLOOKUP($U$263,'TAR FIN'!$A$1:$O$85,15,0))</f>
        <v>223.07</v>
      </c>
      <c r="Y263" s="6"/>
      <c r="Z263" s="6">
        <f ca="1">('TUSD BE'!$AM$18+'TUSD BF'!$AM$18+'TUSD CVA'!$AM$18)*1</f>
        <v>1031.7341256222769</v>
      </c>
      <c r="AA263" s="6">
        <f>('TE BE'!$AB$8+'TE BF'!$AB$8+'TE CVA'!$AB$8)*1</f>
        <v>77.958364182443049</v>
      </c>
      <c r="AB263" s="6">
        <f>$K$263*$V$263</f>
        <v>0</v>
      </c>
      <c r="AC263" s="6">
        <f>$M$263*$W$263</f>
        <v>13.773669999999999</v>
      </c>
      <c r="AD263" s="6">
        <f>$O$263*$X$263</f>
        <v>4.2383299999999995</v>
      </c>
      <c r="AE263" s="6">
        <f>$K$263*$Y$263</f>
        <v>0</v>
      </c>
      <c r="AF263" s="6">
        <f ca="1">$M$263*$Z$263</f>
        <v>19.602948386823261</v>
      </c>
      <c r="AG263" s="6">
        <f>$O$263*$AA$263</f>
        <v>1.481208919466418</v>
      </c>
    </row>
    <row r="264" spans="1:33" ht="11.25" customHeight="1" x14ac:dyDescent="0.3">
      <c r="A264" s="4" t="s">
        <v>21</v>
      </c>
      <c r="B264" s="4" t="s">
        <v>22</v>
      </c>
      <c r="C264" s="4" t="s">
        <v>33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36</v>
      </c>
      <c r="I264" s="5">
        <v>44470</v>
      </c>
      <c r="J264" s="6">
        <v>0</v>
      </c>
      <c r="K264" s="6">
        <v>0</v>
      </c>
      <c r="L264" s="6">
        <v>1.6E-2</v>
      </c>
      <c r="M264" s="6">
        <v>1.6E-2</v>
      </c>
      <c r="N264" s="6">
        <v>1.6E-2</v>
      </c>
      <c r="O264" s="6">
        <v>1.6E-2</v>
      </c>
      <c r="P264" s="6">
        <v>0</v>
      </c>
      <c r="Q264" s="4" t="s">
        <v>26</v>
      </c>
      <c r="R264" s="4">
        <v>0</v>
      </c>
      <c r="S264" s="6">
        <v>0</v>
      </c>
      <c r="T264" s="6">
        <v>26</v>
      </c>
      <c r="U264" s="6">
        <v>38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724.93</v>
      </c>
      <c r="X264" s="6">
        <f>IF(ISERROR(VLOOKUP($U$264,'TAR FIN'!$A$1:$O$85,15,0)),0,VLOOKUP($U$264,'TAR FIN'!$A$1:$O$85,15,0))</f>
        <v>223.07</v>
      </c>
      <c r="Y264" s="6"/>
      <c r="Z264" s="6">
        <f ca="1">('TUSD BE'!$AM$18+'TUSD BF'!$AM$18+'TUSD CVA'!$AM$18)*1</f>
        <v>1031.7341256222769</v>
      </c>
      <c r="AA264" s="6">
        <f>('TE BE'!$AB$8+'TE BF'!$AB$8+'TE CVA'!$AB$8)*1</f>
        <v>77.958364182443049</v>
      </c>
      <c r="AB264" s="6">
        <f>$K$264*$V$264</f>
        <v>0</v>
      </c>
      <c r="AC264" s="6">
        <f>$M$264*$W$264</f>
        <v>11.598879999999999</v>
      </c>
      <c r="AD264" s="6">
        <f>$O$264*$X$264</f>
        <v>3.5691199999999998</v>
      </c>
      <c r="AE264" s="6">
        <f>$K$264*$Y$264</f>
        <v>0</v>
      </c>
      <c r="AF264" s="6">
        <f ca="1">$M$264*$Z$264</f>
        <v>16.507746009956431</v>
      </c>
      <c r="AG264" s="6">
        <f>$O$264*$AA$264</f>
        <v>1.2473338269190888</v>
      </c>
    </row>
    <row r="265" spans="1:33" ht="11.25" customHeight="1" x14ac:dyDescent="0.3">
      <c r="A265" s="4" t="s">
        <v>21</v>
      </c>
      <c r="B265" s="4" t="s">
        <v>22</v>
      </c>
      <c r="C265" s="4" t="s">
        <v>33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36</v>
      </c>
      <c r="I265" s="5">
        <v>44501</v>
      </c>
      <c r="J265" s="6">
        <v>0</v>
      </c>
      <c r="K265" s="6">
        <v>0</v>
      </c>
      <c r="L265" s="6">
        <v>2.4E-2</v>
      </c>
      <c r="M265" s="6">
        <v>2.4E-2</v>
      </c>
      <c r="N265" s="6">
        <v>2.4E-2</v>
      </c>
      <c r="O265" s="6">
        <v>2.4E-2</v>
      </c>
      <c r="P265" s="6">
        <v>0</v>
      </c>
      <c r="Q265" s="4" t="s">
        <v>26</v>
      </c>
      <c r="R265" s="4">
        <v>0</v>
      </c>
      <c r="S265" s="6">
        <v>0</v>
      </c>
      <c r="T265" s="6">
        <v>26</v>
      </c>
      <c r="U265" s="6">
        <v>38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724.93</v>
      </c>
      <c r="X265" s="6">
        <f>IF(ISERROR(VLOOKUP($U$265,'TAR FIN'!$A$1:$O$85,15,0)),0,VLOOKUP($U$265,'TAR FIN'!$A$1:$O$85,15,0))</f>
        <v>223.07</v>
      </c>
      <c r="Y265" s="6"/>
      <c r="Z265" s="6">
        <f ca="1">('TUSD BE'!$AM$18+'TUSD BF'!$AM$18+'TUSD CVA'!$AM$18)*1</f>
        <v>1031.7341256222769</v>
      </c>
      <c r="AA265" s="6">
        <f>('TE BE'!$AB$8+'TE BF'!$AB$8+'TE CVA'!$AB$8)*1</f>
        <v>77.958364182443049</v>
      </c>
      <c r="AB265" s="6">
        <f>$K$265*$V$265</f>
        <v>0</v>
      </c>
      <c r="AC265" s="6">
        <f>$M$265*$W$265</f>
        <v>17.398319999999998</v>
      </c>
      <c r="AD265" s="6">
        <f>$O$265*$X$265</f>
        <v>5.3536799999999998</v>
      </c>
      <c r="AE265" s="6">
        <f>$K$265*$Y$265</f>
        <v>0</v>
      </c>
      <c r="AF265" s="6">
        <f ca="1">$M$265*$Z$265</f>
        <v>24.761619014934645</v>
      </c>
      <c r="AG265" s="6">
        <f>$O$265*$AA$265</f>
        <v>1.8710007403786333</v>
      </c>
    </row>
    <row r="266" spans="1:33" ht="11.25" customHeight="1" x14ac:dyDescent="0.3">
      <c r="A266" s="4" t="s">
        <v>21</v>
      </c>
      <c r="B266" s="4" t="s">
        <v>22</v>
      </c>
      <c r="C266" s="4" t="s">
        <v>33</v>
      </c>
      <c r="D266" s="4" t="s">
        <v>24</v>
      </c>
      <c r="E266" s="4" t="s">
        <v>24</v>
      </c>
      <c r="F266" s="4" t="s">
        <v>25</v>
      </c>
      <c r="G266" s="4" t="s">
        <v>25</v>
      </c>
      <c r="H266" s="4" t="s">
        <v>36</v>
      </c>
      <c r="I266" s="5">
        <v>44531</v>
      </c>
      <c r="J266" s="6">
        <v>0</v>
      </c>
      <c r="K266" s="6">
        <v>0</v>
      </c>
      <c r="L266" s="6">
        <v>1.4999999999999999E-2</v>
      </c>
      <c r="M266" s="6">
        <v>1.4999999999999999E-2</v>
      </c>
      <c r="N266" s="6">
        <v>1.4999999999999999E-2</v>
      </c>
      <c r="O266" s="6">
        <v>1.4999999999999999E-2</v>
      </c>
      <c r="P266" s="6">
        <v>0</v>
      </c>
      <c r="Q266" s="4" t="s">
        <v>26</v>
      </c>
      <c r="R266" s="4">
        <v>0</v>
      </c>
      <c r="S266" s="6">
        <v>0</v>
      </c>
      <c r="T266" s="6">
        <v>26</v>
      </c>
      <c r="U266" s="6">
        <v>38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724.93</v>
      </c>
      <c r="X266" s="6">
        <f>IF(ISERROR(VLOOKUP($U$266,'TAR FIN'!$A$1:$O$85,15,0)),0,VLOOKUP($U$266,'TAR FIN'!$A$1:$O$85,15,0))</f>
        <v>223.07</v>
      </c>
      <c r="Y266" s="6"/>
      <c r="Z266" s="6">
        <f ca="1">('TUSD BE'!$AM$18+'TUSD BF'!$AM$18+'TUSD CVA'!$AM$18)*1</f>
        <v>1031.7341256222769</v>
      </c>
      <c r="AA266" s="6">
        <f>('TE BE'!$AB$8+'TE BF'!$AB$8+'TE CVA'!$AB$8)*1</f>
        <v>77.958364182443049</v>
      </c>
      <c r="AB266" s="6">
        <f>$K$266*$V$266</f>
        <v>0</v>
      </c>
      <c r="AC266" s="6">
        <f>$M$266*$W$266</f>
        <v>10.873949999999999</v>
      </c>
      <c r="AD266" s="6">
        <f>$O$266*$X$266</f>
        <v>3.34605</v>
      </c>
      <c r="AE266" s="6">
        <f>$K$266*$Y$266</f>
        <v>0</v>
      </c>
      <c r="AF266" s="6">
        <f ca="1">$M$266*$Z$266</f>
        <v>15.476011884334152</v>
      </c>
      <c r="AG266" s="6">
        <f>$O$266*$AA$266</f>
        <v>1.1693754627366457</v>
      </c>
    </row>
    <row r="267" spans="1:33" ht="11.25" customHeight="1" x14ac:dyDescent="0.3">
      <c r="A267" s="4" t="s">
        <v>21</v>
      </c>
      <c r="B267" s="4" t="s">
        <v>22</v>
      </c>
      <c r="C267" s="4" t="s">
        <v>33</v>
      </c>
      <c r="D267" s="4" t="s">
        <v>24</v>
      </c>
      <c r="E267" s="4" t="s">
        <v>24</v>
      </c>
      <c r="F267" s="4" t="s">
        <v>25</v>
      </c>
      <c r="G267" s="4" t="s">
        <v>25</v>
      </c>
      <c r="H267" s="4" t="s">
        <v>36</v>
      </c>
      <c r="I267" s="5">
        <v>44562</v>
      </c>
      <c r="J267" s="6">
        <v>0</v>
      </c>
      <c r="K267" s="6">
        <v>0</v>
      </c>
      <c r="L267" s="6">
        <v>3.4000000000000002E-2</v>
      </c>
      <c r="M267" s="6">
        <v>3.4000000000000002E-2</v>
      </c>
      <c r="N267" s="6">
        <v>3.4000000000000002E-2</v>
      </c>
      <c r="O267" s="6">
        <v>3.4000000000000002E-2</v>
      </c>
      <c r="P267" s="6">
        <v>0</v>
      </c>
      <c r="Q267" s="4" t="s">
        <v>26</v>
      </c>
      <c r="R267" s="4">
        <v>0</v>
      </c>
      <c r="S267" s="6">
        <v>0</v>
      </c>
      <c r="T267" s="6">
        <v>26</v>
      </c>
      <c r="U267" s="6">
        <v>38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724.93</v>
      </c>
      <c r="X267" s="6">
        <f>IF(ISERROR(VLOOKUP($U$267,'TAR FIN'!$A$1:$O$85,15,0)),0,VLOOKUP($U$267,'TAR FIN'!$A$1:$O$85,15,0))</f>
        <v>223.07</v>
      </c>
      <c r="Y267" s="6"/>
      <c r="Z267" s="6">
        <f ca="1">('TUSD BE'!$AM$18+'TUSD BF'!$AM$18+'TUSD CVA'!$AM$18)*1</f>
        <v>1031.7341256222769</v>
      </c>
      <c r="AA267" s="6">
        <f>('TE BE'!$AB$8+'TE BF'!$AB$8+'TE CVA'!$AB$8)*1</f>
        <v>77.958364182443049</v>
      </c>
      <c r="AB267" s="6">
        <f>$K$267*$V$267</f>
        <v>0</v>
      </c>
      <c r="AC267" s="6">
        <f>$M$267*$W$267</f>
        <v>24.64762</v>
      </c>
      <c r="AD267" s="6">
        <f>$O$267*$X$267</f>
        <v>7.5843800000000003</v>
      </c>
      <c r="AE267" s="6">
        <f>$K$267*$Y$267</f>
        <v>0</v>
      </c>
      <c r="AF267" s="6">
        <f ca="1">$M$267*$Z$267</f>
        <v>35.07896027115742</v>
      </c>
      <c r="AG267" s="6">
        <f>$O$267*$AA$267</f>
        <v>2.6505843822030637</v>
      </c>
    </row>
    <row r="268" spans="1:33" ht="11.25" customHeight="1" x14ac:dyDescent="0.3">
      <c r="A268" s="4" t="s">
        <v>21</v>
      </c>
      <c r="B268" s="4" t="s">
        <v>22</v>
      </c>
      <c r="C268" s="4" t="s">
        <v>33</v>
      </c>
      <c r="D268" s="4" t="s">
        <v>24</v>
      </c>
      <c r="E268" s="4" t="s">
        <v>24</v>
      </c>
      <c r="F268" s="4" t="s">
        <v>25</v>
      </c>
      <c r="G268" s="4" t="s">
        <v>25</v>
      </c>
      <c r="H268" s="4" t="s">
        <v>36</v>
      </c>
      <c r="I268" s="5">
        <v>44593</v>
      </c>
      <c r="J268" s="6">
        <v>0</v>
      </c>
      <c r="K268" s="6">
        <v>0</v>
      </c>
      <c r="L268" s="6">
        <v>2.1999999999999999E-2</v>
      </c>
      <c r="M268" s="6">
        <v>2.1999999999999999E-2</v>
      </c>
      <c r="N268" s="6">
        <v>2.1999999999999999E-2</v>
      </c>
      <c r="O268" s="6">
        <v>2.1999999999999999E-2</v>
      </c>
      <c r="P268" s="6">
        <v>0</v>
      </c>
      <c r="Q268" s="4" t="s">
        <v>26</v>
      </c>
      <c r="R268" s="4">
        <v>0</v>
      </c>
      <c r="S268" s="6">
        <v>0</v>
      </c>
      <c r="T268" s="6">
        <v>26</v>
      </c>
      <c r="U268" s="6">
        <v>38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724.93</v>
      </c>
      <c r="X268" s="6">
        <f>IF(ISERROR(VLOOKUP($U$268,'TAR FIN'!$A$1:$O$85,15,0)),0,VLOOKUP($U$268,'TAR FIN'!$A$1:$O$85,15,0))</f>
        <v>223.07</v>
      </c>
      <c r="Y268" s="6"/>
      <c r="Z268" s="6">
        <f ca="1">('TUSD BE'!$AM$18+'TUSD BF'!$AM$18+'TUSD CVA'!$AM$18)*1</f>
        <v>1031.7341256222769</v>
      </c>
      <c r="AA268" s="6">
        <f>('TE BE'!$AB$8+'TE BF'!$AB$8+'TE CVA'!$AB$8)*1</f>
        <v>77.958364182443049</v>
      </c>
      <c r="AB268" s="6">
        <f>$K$268*$V$268</f>
        <v>0</v>
      </c>
      <c r="AC268" s="6">
        <f>$M$268*$W$268</f>
        <v>15.948459999999997</v>
      </c>
      <c r="AD268" s="6">
        <f>$O$268*$X$268</f>
        <v>4.9075399999999991</v>
      </c>
      <c r="AE268" s="6">
        <f>$K$268*$Y$268</f>
        <v>0</v>
      </c>
      <c r="AF268" s="6">
        <f ca="1">$M$268*$Z$268</f>
        <v>22.698150763690091</v>
      </c>
      <c r="AG268" s="6">
        <f>$O$268*$AA$268</f>
        <v>1.7150840120137469</v>
      </c>
    </row>
    <row r="269" spans="1:33" ht="11.25" customHeight="1" x14ac:dyDescent="0.3">
      <c r="A269" s="4" t="s">
        <v>21</v>
      </c>
      <c r="B269" s="4" t="s">
        <v>22</v>
      </c>
      <c r="C269" s="4" t="s">
        <v>33</v>
      </c>
      <c r="D269" s="4" t="s">
        <v>24</v>
      </c>
      <c r="E269" s="4" t="s">
        <v>24</v>
      </c>
      <c r="F269" s="4" t="s">
        <v>25</v>
      </c>
      <c r="G269" s="4" t="s">
        <v>25</v>
      </c>
      <c r="H269" s="4" t="s">
        <v>36</v>
      </c>
      <c r="I269" s="5">
        <v>44621</v>
      </c>
      <c r="J269" s="6">
        <v>0</v>
      </c>
      <c r="K269" s="6">
        <v>0</v>
      </c>
      <c r="L269" s="6">
        <v>3.6999999999999998E-2</v>
      </c>
      <c r="M269" s="6">
        <v>3.6999999999999998E-2</v>
      </c>
      <c r="N269" s="6">
        <v>3.6999999999999998E-2</v>
      </c>
      <c r="O269" s="6">
        <v>3.6999999999999998E-2</v>
      </c>
      <c r="P269" s="6">
        <v>0</v>
      </c>
      <c r="Q269" s="4" t="s">
        <v>26</v>
      </c>
      <c r="R269" s="4">
        <v>0</v>
      </c>
      <c r="S269" s="6">
        <v>0</v>
      </c>
      <c r="T269" s="6">
        <v>26</v>
      </c>
      <c r="U269" s="6">
        <v>38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724.93</v>
      </c>
      <c r="X269" s="6">
        <f>IF(ISERROR(VLOOKUP($U$269,'TAR FIN'!$A$1:$O$85,15,0)),0,VLOOKUP($U$269,'TAR FIN'!$A$1:$O$85,15,0))</f>
        <v>223.07</v>
      </c>
      <c r="Y269" s="6"/>
      <c r="Z269" s="6">
        <f ca="1">('TUSD BE'!$AM$18+'TUSD BF'!$AM$18+'TUSD CVA'!$AM$18)*1</f>
        <v>1031.7341256222769</v>
      </c>
      <c r="AA269" s="6">
        <f>('TE BE'!$AB$8+'TE BF'!$AB$8+'TE CVA'!$AB$8)*1</f>
        <v>77.958364182443049</v>
      </c>
      <c r="AB269" s="6">
        <f>$K$269*$V$269</f>
        <v>0</v>
      </c>
      <c r="AC269" s="6">
        <f>$M$269*$W$269</f>
        <v>26.822409999999998</v>
      </c>
      <c r="AD269" s="6">
        <f>$O$269*$X$269</f>
        <v>8.2535899999999991</v>
      </c>
      <c r="AE269" s="6">
        <f>$K$269*$Y$269</f>
        <v>0</v>
      </c>
      <c r="AF269" s="6">
        <f ca="1">$M$269*$Z$269</f>
        <v>38.174162648024243</v>
      </c>
      <c r="AG269" s="6">
        <f>$O$269*$AA$269</f>
        <v>2.8844594747503924</v>
      </c>
    </row>
    <row r="270" spans="1:33" ht="11.25" customHeight="1" x14ac:dyDescent="0.3">
      <c r="A270" s="4" t="s">
        <v>21</v>
      </c>
      <c r="B270" s="4" t="s">
        <v>22</v>
      </c>
      <c r="C270" s="4" t="s">
        <v>33</v>
      </c>
      <c r="D270" s="4" t="s">
        <v>24</v>
      </c>
      <c r="E270" s="4" t="s">
        <v>24</v>
      </c>
      <c r="F270" s="4" t="s">
        <v>25</v>
      </c>
      <c r="G270" s="4" t="s">
        <v>25</v>
      </c>
      <c r="H270" s="4" t="s">
        <v>36</v>
      </c>
      <c r="I270" s="5">
        <v>44652</v>
      </c>
      <c r="J270" s="6">
        <v>0</v>
      </c>
      <c r="K270" s="6">
        <v>0</v>
      </c>
      <c r="L270" s="6">
        <v>2.1999999999999999E-2</v>
      </c>
      <c r="M270" s="6">
        <v>2.1999999999999999E-2</v>
      </c>
      <c r="N270" s="6">
        <v>2.1999999999999999E-2</v>
      </c>
      <c r="O270" s="6">
        <v>2.1999999999999999E-2</v>
      </c>
      <c r="P270" s="6">
        <v>0</v>
      </c>
      <c r="Q270" s="4" t="s">
        <v>26</v>
      </c>
      <c r="R270" s="4">
        <v>0</v>
      </c>
      <c r="S270" s="6">
        <v>0</v>
      </c>
      <c r="T270" s="6">
        <v>26</v>
      </c>
      <c r="U270" s="6">
        <v>38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724.93</v>
      </c>
      <c r="X270" s="6">
        <f>IF(ISERROR(VLOOKUP($U$270,'TAR FIN'!$A$1:$O$85,15,0)),0,VLOOKUP($U$270,'TAR FIN'!$A$1:$O$85,15,0))</f>
        <v>223.07</v>
      </c>
      <c r="Y270" s="6"/>
      <c r="Z270" s="6">
        <f ca="1">('TUSD BE'!$AM$18+'TUSD BF'!$AM$18+'TUSD CVA'!$AM$18)*1</f>
        <v>1031.7341256222769</v>
      </c>
      <c r="AA270" s="6">
        <f>('TE BE'!$AB$8+'TE BF'!$AB$8+'TE CVA'!$AB$8)*1</f>
        <v>77.958364182443049</v>
      </c>
      <c r="AB270" s="6">
        <f>$K$270*$V$270</f>
        <v>0</v>
      </c>
      <c r="AC270" s="6">
        <f>$M$270*$W$270</f>
        <v>15.948459999999997</v>
      </c>
      <c r="AD270" s="6">
        <f>$O$270*$X$270</f>
        <v>4.9075399999999991</v>
      </c>
      <c r="AE270" s="6">
        <f>$K$270*$Y$270</f>
        <v>0</v>
      </c>
      <c r="AF270" s="6">
        <f ca="1">$M$270*$Z$270</f>
        <v>22.698150763690091</v>
      </c>
      <c r="AG270" s="6">
        <f>$O$270*$AA$270</f>
        <v>1.7150840120137469</v>
      </c>
    </row>
    <row r="271" spans="1:33" ht="11.25" customHeight="1" x14ac:dyDescent="0.3">
      <c r="A271" s="4" t="s">
        <v>21</v>
      </c>
      <c r="B271" s="4" t="s">
        <v>22</v>
      </c>
      <c r="C271" s="4" t="s">
        <v>33</v>
      </c>
      <c r="D271" s="4" t="s">
        <v>24</v>
      </c>
      <c r="E271" s="4" t="s">
        <v>24</v>
      </c>
      <c r="F271" s="4" t="s">
        <v>25</v>
      </c>
      <c r="G271" s="4" t="s">
        <v>25</v>
      </c>
      <c r="H271" s="4" t="s">
        <v>36</v>
      </c>
      <c r="I271" s="5">
        <v>44682</v>
      </c>
      <c r="J271" s="6">
        <v>0</v>
      </c>
      <c r="K271" s="6">
        <v>0</v>
      </c>
      <c r="L271" s="6">
        <v>1.2E-2</v>
      </c>
      <c r="M271" s="6">
        <v>1.2E-2</v>
      </c>
      <c r="N271" s="6">
        <v>1.2E-2</v>
      </c>
      <c r="O271" s="6">
        <v>1.2E-2</v>
      </c>
      <c r="P271" s="6">
        <v>0</v>
      </c>
      <c r="Q271" s="4" t="s">
        <v>26</v>
      </c>
      <c r="R271" s="4">
        <v>0</v>
      </c>
      <c r="S271" s="6">
        <v>0</v>
      </c>
      <c r="T271" s="6">
        <v>26</v>
      </c>
      <c r="U271" s="6">
        <v>38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724.93</v>
      </c>
      <c r="X271" s="6">
        <f>IF(ISERROR(VLOOKUP($U$271,'TAR FIN'!$A$1:$O$85,15,0)),0,VLOOKUP($U$271,'TAR FIN'!$A$1:$O$85,15,0))</f>
        <v>223.07</v>
      </c>
      <c r="Y271" s="6"/>
      <c r="Z271" s="6">
        <f ca="1">('TUSD BE'!$AM$18+'TUSD BF'!$AM$18+'TUSD CVA'!$AM$18)*1</f>
        <v>1031.7341256222769</v>
      </c>
      <c r="AA271" s="6">
        <f>('TE BE'!$AB$8+'TE BF'!$AB$8+'TE CVA'!$AB$8)*1</f>
        <v>77.958364182443049</v>
      </c>
      <c r="AB271" s="6">
        <f>$K$271*$V$271</f>
        <v>0</v>
      </c>
      <c r="AC271" s="6">
        <f>$M$271*$W$271</f>
        <v>8.6991599999999991</v>
      </c>
      <c r="AD271" s="6">
        <f>$O$271*$X$271</f>
        <v>2.6768399999999999</v>
      </c>
      <c r="AE271" s="6">
        <f>$K$271*$Y$271</f>
        <v>0</v>
      </c>
      <c r="AF271" s="6">
        <f ca="1">$M$271*$Z$271</f>
        <v>12.380809507467323</v>
      </c>
      <c r="AG271" s="6">
        <f>$O$271*$AA$271</f>
        <v>0.93550037018931664</v>
      </c>
    </row>
    <row r="272" spans="1:33" ht="11.25" customHeight="1" x14ac:dyDescent="0.3">
      <c r="A272" s="4" t="s">
        <v>21</v>
      </c>
      <c r="B272" s="4" t="s">
        <v>22</v>
      </c>
      <c r="C272" s="4" t="s">
        <v>33</v>
      </c>
      <c r="D272" s="4" t="s">
        <v>24</v>
      </c>
      <c r="E272" s="4" t="s">
        <v>24</v>
      </c>
      <c r="F272" s="4" t="s">
        <v>25</v>
      </c>
      <c r="G272" s="4" t="s">
        <v>25</v>
      </c>
      <c r="H272" s="4" t="s">
        <v>36</v>
      </c>
      <c r="I272" s="5">
        <v>44713</v>
      </c>
      <c r="J272" s="6">
        <v>0</v>
      </c>
      <c r="K272" s="6">
        <v>0</v>
      </c>
      <c r="L272" s="6">
        <v>1.4999999999999999E-2</v>
      </c>
      <c r="M272" s="6">
        <v>1.4999999999999999E-2</v>
      </c>
      <c r="N272" s="6">
        <v>1.4999999999999999E-2</v>
      </c>
      <c r="O272" s="6">
        <v>1.4999999999999999E-2</v>
      </c>
      <c r="P272" s="6">
        <v>0</v>
      </c>
      <c r="Q272" s="4" t="s">
        <v>26</v>
      </c>
      <c r="R272" s="4">
        <v>0</v>
      </c>
      <c r="S272" s="6">
        <v>0</v>
      </c>
      <c r="T272" s="6">
        <v>26</v>
      </c>
      <c r="U272" s="6">
        <v>38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724.93</v>
      </c>
      <c r="X272" s="6">
        <f>IF(ISERROR(VLOOKUP($U$272,'TAR FIN'!$A$1:$O$85,15,0)),0,VLOOKUP($U$272,'TAR FIN'!$A$1:$O$85,15,0))</f>
        <v>223.07</v>
      </c>
      <c r="Y272" s="6"/>
      <c r="Z272" s="6">
        <f ca="1">('TUSD BE'!$AM$18+'TUSD BF'!$AM$18+'TUSD CVA'!$AM$18)*1</f>
        <v>1031.7341256222769</v>
      </c>
      <c r="AA272" s="6">
        <f>('TE BE'!$AB$8+'TE BF'!$AB$8+'TE CVA'!$AB$8)*1</f>
        <v>77.958364182443049</v>
      </c>
      <c r="AB272" s="6">
        <f>$K$272*$V$272</f>
        <v>0</v>
      </c>
      <c r="AC272" s="6">
        <f>$M$272*$W$272</f>
        <v>10.873949999999999</v>
      </c>
      <c r="AD272" s="6">
        <f>$O$272*$X$272</f>
        <v>3.34605</v>
      </c>
      <c r="AE272" s="6">
        <f>$K$272*$Y$272</f>
        <v>0</v>
      </c>
      <c r="AF272" s="6">
        <f ca="1">$M$272*$Z$272</f>
        <v>15.476011884334152</v>
      </c>
      <c r="AG272" s="6">
        <f>$O$272*$AA$272</f>
        <v>1.1693754627366457</v>
      </c>
    </row>
    <row r="273" spans="1:33" ht="11.25" customHeight="1" x14ac:dyDescent="0.3">
      <c r="A273" s="4" t="s">
        <v>21</v>
      </c>
      <c r="B273" s="4" t="s">
        <v>22</v>
      </c>
      <c r="C273" s="4" t="s">
        <v>33</v>
      </c>
      <c r="D273" s="4" t="s">
        <v>24</v>
      </c>
      <c r="E273" s="4" t="s">
        <v>24</v>
      </c>
      <c r="F273" s="4" t="s">
        <v>25</v>
      </c>
      <c r="G273" s="4" t="s">
        <v>25</v>
      </c>
      <c r="H273" s="4" t="s">
        <v>36</v>
      </c>
      <c r="I273" s="5">
        <v>44743</v>
      </c>
      <c r="J273" s="6">
        <v>0</v>
      </c>
      <c r="K273" s="6">
        <v>0</v>
      </c>
      <c r="L273" s="6">
        <v>1.2999999999999999E-2</v>
      </c>
      <c r="M273" s="6">
        <v>1.2999999999999999E-2</v>
      </c>
      <c r="N273" s="6">
        <v>1.2999999999999999E-2</v>
      </c>
      <c r="O273" s="6">
        <v>1.2999999999999999E-2</v>
      </c>
      <c r="P273" s="6">
        <v>0</v>
      </c>
      <c r="Q273" s="4" t="s">
        <v>26</v>
      </c>
      <c r="R273" s="4">
        <v>0</v>
      </c>
      <c r="S273" s="6">
        <v>0</v>
      </c>
      <c r="T273" s="6">
        <v>26</v>
      </c>
      <c r="U273" s="6">
        <v>38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724.93</v>
      </c>
      <c r="X273" s="6">
        <f>IF(ISERROR(VLOOKUP($U$273,'TAR FIN'!$A$1:$O$85,15,0)),0,VLOOKUP($U$273,'TAR FIN'!$A$1:$O$85,15,0))</f>
        <v>223.07</v>
      </c>
      <c r="Y273" s="6"/>
      <c r="Z273" s="6">
        <f ca="1">('TUSD BE'!$AM$18+'TUSD BF'!$AM$18+'TUSD CVA'!$AM$18)*1</f>
        <v>1031.7341256222769</v>
      </c>
      <c r="AA273" s="6">
        <f>('TE BE'!$AB$8+'TE BF'!$AB$8+'TE CVA'!$AB$8)*1</f>
        <v>77.958364182443049</v>
      </c>
      <c r="AB273" s="6">
        <f>$K$273*$V$273</f>
        <v>0</v>
      </c>
      <c r="AC273" s="6">
        <f>$M$273*$W$273</f>
        <v>9.4240899999999996</v>
      </c>
      <c r="AD273" s="6">
        <f>$O$273*$X$273</f>
        <v>2.8999099999999998</v>
      </c>
      <c r="AE273" s="6">
        <f>$K$273*$Y$273</f>
        <v>0</v>
      </c>
      <c r="AF273" s="6">
        <f ca="1">$M$273*$Z$273</f>
        <v>13.4125436330896</v>
      </c>
      <c r="AG273" s="6">
        <f>$O$273*$AA$273</f>
        <v>1.0134587343717596</v>
      </c>
    </row>
    <row r="274" spans="1:33" ht="11.25" customHeight="1" x14ac:dyDescent="0.3">
      <c r="A274" s="4" t="s">
        <v>21</v>
      </c>
      <c r="B274" s="4" t="s">
        <v>22</v>
      </c>
      <c r="C274" s="4" t="s">
        <v>33</v>
      </c>
      <c r="D274" s="4" t="s">
        <v>24</v>
      </c>
      <c r="E274" s="4" t="s">
        <v>24</v>
      </c>
      <c r="F274" s="4" t="s">
        <v>25</v>
      </c>
      <c r="G274" s="4" t="s">
        <v>25</v>
      </c>
      <c r="H274" s="4" t="s">
        <v>36</v>
      </c>
      <c r="I274" s="5">
        <v>44774</v>
      </c>
      <c r="J274" s="6">
        <v>0</v>
      </c>
      <c r="K274" s="6">
        <v>0</v>
      </c>
      <c r="L274" s="6">
        <v>1.9E-2</v>
      </c>
      <c r="M274" s="6">
        <v>1.9E-2</v>
      </c>
      <c r="N274" s="6">
        <v>1.9E-2</v>
      </c>
      <c r="O274" s="6">
        <v>1.9E-2</v>
      </c>
      <c r="P274" s="6">
        <v>0</v>
      </c>
      <c r="Q274" s="4" t="s">
        <v>26</v>
      </c>
      <c r="R274" s="4">
        <v>0</v>
      </c>
      <c r="S274" s="6">
        <v>0</v>
      </c>
      <c r="T274" s="6">
        <v>26</v>
      </c>
      <c r="U274" s="6">
        <v>38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724.93</v>
      </c>
      <c r="X274" s="6">
        <f>IF(ISERROR(VLOOKUP($U$274,'TAR FIN'!$A$1:$O$85,15,0)),0,VLOOKUP($U$274,'TAR FIN'!$A$1:$O$85,15,0))</f>
        <v>223.07</v>
      </c>
      <c r="Y274" s="6"/>
      <c r="Z274" s="6">
        <f ca="1">('TUSD BE'!$AM$18+'TUSD BF'!$AM$18+'TUSD CVA'!$AM$18)*1</f>
        <v>1031.7341256222769</v>
      </c>
      <c r="AA274" s="6">
        <f>('TE BE'!$AB$8+'TE BF'!$AB$8+'TE CVA'!$AB$8)*1</f>
        <v>77.958364182443049</v>
      </c>
      <c r="AB274" s="6">
        <f>$K$274*$V$274</f>
        <v>0</v>
      </c>
      <c r="AC274" s="6">
        <f>$M$274*$W$274</f>
        <v>13.773669999999999</v>
      </c>
      <c r="AD274" s="6">
        <f>$O$274*$X$274</f>
        <v>4.2383299999999995</v>
      </c>
      <c r="AE274" s="6">
        <f>$K$274*$Y$274</f>
        <v>0</v>
      </c>
      <c r="AF274" s="6">
        <f ca="1">$M$274*$Z$274</f>
        <v>19.602948386823261</v>
      </c>
      <c r="AG274" s="6">
        <f>$O$274*$AA$274</f>
        <v>1.481208919466418</v>
      </c>
    </row>
    <row r="275" spans="1:33" ht="11.25" customHeight="1" x14ac:dyDescent="0.3">
      <c r="A275" s="4" t="s">
        <v>21</v>
      </c>
      <c r="B275" s="4" t="s">
        <v>22</v>
      </c>
      <c r="C275" s="4" t="s">
        <v>33</v>
      </c>
      <c r="D275" s="4" t="s">
        <v>24</v>
      </c>
      <c r="E275" s="4" t="s">
        <v>24</v>
      </c>
      <c r="F275" s="4" t="s">
        <v>25</v>
      </c>
      <c r="G275" s="4" t="s">
        <v>25</v>
      </c>
      <c r="H275" s="4" t="s">
        <v>34</v>
      </c>
      <c r="I275" s="5">
        <v>44440</v>
      </c>
      <c r="J275" s="6">
        <v>0</v>
      </c>
      <c r="K275" s="6">
        <v>0</v>
      </c>
      <c r="L275" s="6">
        <v>0.03</v>
      </c>
      <c r="M275" s="6">
        <v>0.03</v>
      </c>
      <c r="N275" s="6">
        <v>0.03</v>
      </c>
      <c r="O275" s="6">
        <v>0.03</v>
      </c>
      <c r="P275" s="6">
        <v>0</v>
      </c>
      <c r="Q275" s="4" t="s">
        <v>26</v>
      </c>
      <c r="R275" s="4">
        <v>0</v>
      </c>
      <c r="S275" s="6">
        <v>0</v>
      </c>
      <c r="T275" s="6">
        <v>1</v>
      </c>
      <c r="U275" s="6">
        <v>29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1146.8699999999999</v>
      </c>
      <c r="X275" s="6">
        <f>IF(ISERROR(VLOOKUP($U$275,'TAR FIN'!$A$1:$O$85,15,0)),0,VLOOKUP($U$275,'TAR FIN'!$A$1:$O$85,15,0))</f>
        <v>223.07</v>
      </c>
      <c r="Y275" s="6"/>
      <c r="Z275" s="6">
        <f ca="1">('TUSD BE'!$AM$17+'TUSD BF'!$AM$17+'TUSD CVA'!$AM$17)*1</f>
        <v>1645.6342477655162</v>
      </c>
      <c r="AA275" s="6">
        <f>('TE BE'!$AB$7+'TE BF'!$AB$7+'TE CVA'!$AB$7)*1</f>
        <v>77.958364182443049</v>
      </c>
      <c r="AB275" s="6">
        <f>$K$275*$V$275</f>
        <v>0</v>
      </c>
      <c r="AC275" s="6">
        <f>$M$275*$W$275</f>
        <v>34.406099999999995</v>
      </c>
      <c r="AD275" s="6">
        <f>$O$275*$X$275</f>
        <v>6.6920999999999999</v>
      </c>
      <c r="AE275" s="6">
        <f>$K$275*$Y$275</f>
        <v>0</v>
      </c>
      <c r="AF275" s="6">
        <f ca="1">$M$275*$Z$275</f>
        <v>49.369027432965481</v>
      </c>
      <c r="AG275" s="6">
        <f>$O$275*$AA$275</f>
        <v>2.3387509254732914</v>
      </c>
    </row>
    <row r="276" spans="1:33" ht="11.25" customHeight="1" x14ac:dyDescent="0.3">
      <c r="A276" s="4" t="s">
        <v>21</v>
      </c>
      <c r="B276" s="4" t="s">
        <v>22</v>
      </c>
      <c r="C276" s="4" t="s">
        <v>33</v>
      </c>
      <c r="D276" s="4" t="s">
        <v>24</v>
      </c>
      <c r="E276" s="4" t="s">
        <v>24</v>
      </c>
      <c r="F276" s="4" t="s">
        <v>25</v>
      </c>
      <c r="G276" s="4" t="s">
        <v>25</v>
      </c>
      <c r="H276" s="4" t="s">
        <v>34</v>
      </c>
      <c r="I276" s="5">
        <v>44470</v>
      </c>
      <c r="J276" s="6">
        <v>0</v>
      </c>
      <c r="K276" s="6">
        <v>0</v>
      </c>
      <c r="L276" s="6">
        <v>2.1000000000000001E-2</v>
      </c>
      <c r="M276" s="6">
        <v>2.1000000000000001E-2</v>
      </c>
      <c r="N276" s="6">
        <v>2.1000000000000001E-2</v>
      </c>
      <c r="O276" s="6">
        <v>2.1000000000000001E-2</v>
      </c>
      <c r="P276" s="6">
        <v>0</v>
      </c>
      <c r="Q276" s="4" t="s">
        <v>26</v>
      </c>
      <c r="R276" s="4">
        <v>0</v>
      </c>
      <c r="S276" s="6">
        <v>0</v>
      </c>
      <c r="T276" s="6">
        <v>1</v>
      </c>
      <c r="U276" s="6">
        <v>29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1146.8699999999999</v>
      </c>
      <c r="X276" s="6">
        <f>IF(ISERROR(VLOOKUP($U$276,'TAR FIN'!$A$1:$O$85,15,0)),0,VLOOKUP($U$276,'TAR FIN'!$A$1:$O$85,15,0))</f>
        <v>223.07</v>
      </c>
      <c r="Y276" s="6"/>
      <c r="Z276" s="6">
        <f ca="1">('TUSD BE'!$AM$17+'TUSD BF'!$AM$17+'TUSD CVA'!$AM$17)*1</f>
        <v>1645.6342477655162</v>
      </c>
      <c r="AA276" s="6">
        <f>('TE BE'!$AB$7+'TE BF'!$AB$7+'TE CVA'!$AB$7)*1</f>
        <v>77.958364182443049</v>
      </c>
      <c r="AB276" s="6">
        <f>$K$276*$V$276</f>
        <v>0</v>
      </c>
      <c r="AC276" s="6">
        <f>$M$276*$W$276</f>
        <v>24.08427</v>
      </c>
      <c r="AD276" s="6">
        <f>$O$276*$X$276</f>
        <v>4.6844700000000001</v>
      </c>
      <c r="AE276" s="6">
        <f>$K$276*$Y$276</f>
        <v>0</v>
      </c>
      <c r="AF276" s="6">
        <f ca="1">$M$276*$Z$276</f>
        <v>34.55831920307584</v>
      </c>
      <c r="AG276" s="6">
        <f>$O$276*$AA$276</f>
        <v>1.6371256478313041</v>
      </c>
    </row>
    <row r="277" spans="1:33" ht="11.25" customHeight="1" x14ac:dyDescent="0.3">
      <c r="A277" s="4" t="s">
        <v>21</v>
      </c>
      <c r="B277" s="4" t="s">
        <v>22</v>
      </c>
      <c r="C277" s="4" t="s">
        <v>33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34</v>
      </c>
      <c r="I277" s="5">
        <v>44501</v>
      </c>
      <c r="J277" s="6">
        <v>0</v>
      </c>
      <c r="K277" s="6">
        <v>0</v>
      </c>
      <c r="L277" s="6">
        <v>0.11600000000000001</v>
      </c>
      <c r="M277" s="6">
        <v>0.11600000000000001</v>
      </c>
      <c r="N277" s="6">
        <v>0.11600000000000001</v>
      </c>
      <c r="O277" s="6">
        <v>0.11600000000000001</v>
      </c>
      <c r="P277" s="6">
        <v>0</v>
      </c>
      <c r="Q277" s="4" t="s">
        <v>26</v>
      </c>
      <c r="R277" s="4">
        <v>0</v>
      </c>
      <c r="S277" s="6">
        <v>0</v>
      </c>
      <c r="T277" s="6">
        <v>1</v>
      </c>
      <c r="U277" s="6">
        <v>29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1146.8699999999999</v>
      </c>
      <c r="X277" s="6">
        <f>IF(ISERROR(VLOOKUP($U$277,'TAR FIN'!$A$1:$O$85,15,0)),0,VLOOKUP($U$277,'TAR FIN'!$A$1:$O$85,15,0))</f>
        <v>223.07</v>
      </c>
      <c r="Y277" s="6"/>
      <c r="Z277" s="6">
        <f ca="1">('TUSD BE'!$AM$17+'TUSD BF'!$AM$17+'TUSD CVA'!$AM$17)*1</f>
        <v>1645.6342477655162</v>
      </c>
      <c r="AA277" s="6">
        <f>('TE BE'!$AB$7+'TE BF'!$AB$7+'TE CVA'!$AB$7)*1</f>
        <v>77.958364182443049</v>
      </c>
      <c r="AB277" s="6">
        <f>$K$277*$V$277</f>
        <v>0</v>
      </c>
      <c r="AC277" s="6">
        <f>$M$277*$W$277</f>
        <v>133.03691999999998</v>
      </c>
      <c r="AD277" s="6">
        <f>$O$277*$X$277</f>
        <v>25.87612</v>
      </c>
      <c r="AE277" s="6">
        <f>$K$277*$Y$277</f>
        <v>0</v>
      </c>
      <c r="AF277" s="6">
        <f ca="1">$M$277*$Z$277</f>
        <v>190.8935727407999</v>
      </c>
      <c r="AG277" s="6">
        <f>$O$277*$AA$277</f>
        <v>9.0431702451633935</v>
      </c>
    </row>
    <row r="278" spans="1:33" ht="11.25" customHeight="1" x14ac:dyDescent="0.3">
      <c r="A278" s="4" t="s">
        <v>21</v>
      </c>
      <c r="B278" s="4" t="s">
        <v>22</v>
      </c>
      <c r="C278" s="4" t="s">
        <v>33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34</v>
      </c>
      <c r="I278" s="5">
        <v>44531</v>
      </c>
      <c r="J278" s="6">
        <v>0</v>
      </c>
      <c r="K278" s="6">
        <v>0</v>
      </c>
      <c r="L278" s="6">
        <v>0.03</v>
      </c>
      <c r="M278" s="6">
        <v>0.03</v>
      </c>
      <c r="N278" s="6">
        <v>0.03</v>
      </c>
      <c r="O278" s="6">
        <v>0.03</v>
      </c>
      <c r="P278" s="6">
        <v>0</v>
      </c>
      <c r="Q278" s="4" t="s">
        <v>26</v>
      </c>
      <c r="R278" s="4">
        <v>0</v>
      </c>
      <c r="S278" s="6">
        <v>0</v>
      </c>
      <c r="T278" s="6">
        <v>1</v>
      </c>
      <c r="U278" s="6">
        <v>29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1146.8699999999999</v>
      </c>
      <c r="X278" s="6">
        <f>IF(ISERROR(VLOOKUP($U$278,'TAR FIN'!$A$1:$O$85,15,0)),0,VLOOKUP($U$278,'TAR FIN'!$A$1:$O$85,15,0))</f>
        <v>223.07</v>
      </c>
      <c r="Y278" s="6"/>
      <c r="Z278" s="6">
        <f ca="1">('TUSD BE'!$AM$17+'TUSD BF'!$AM$17+'TUSD CVA'!$AM$17)*1</f>
        <v>1645.6342477655162</v>
      </c>
      <c r="AA278" s="6">
        <f>('TE BE'!$AB$7+'TE BF'!$AB$7+'TE CVA'!$AB$7)*1</f>
        <v>77.958364182443049</v>
      </c>
      <c r="AB278" s="6">
        <f>$K$278*$V$278</f>
        <v>0</v>
      </c>
      <c r="AC278" s="6">
        <f>$M$278*$W$278</f>
        <v>34.406099999999995</v>
      </c>
      <c r="AD278" s="6">
        <f>$O$278*$X$278</f>
        <v>6.6920999999999999</v>
      </c>
      <c r="AE278" s="6">
        <f>$K$278*$Y$278</f>
        <v>0</v>
      </c>
      <c r="AF278" s="6">
        <f ca="1">$M$278*$Z$278</f>
        <v>49.369027432965481</v>
      </c>
      <c r="AG278" s="6">
        <f>$O$278*$AA$278</f>
        <v>2.3387509254732914</v>
      </c>
    </row>
    <row r="279" spans="1:33" ht="11.25" customHeight="1" x14ac:dyDescent="0.3">
      <c r="A279" s="4" t="s">
        <v>21</v>
      </c>
      <c r="B279" s="4" t="s">
        <v>22</v>
      </c>
      <c r="C279" s="4" t="s">
        <v>33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34</v>
      </c>
      <c r="I279" s="5">
        <v>44562</v>
      </c>
      <c r="J279" s="6">
        <v>0</v>
      </c>
      <c r="K279" s="6">
        <v>0</v>
      </c>
      <c r="L279" s="6">
        <v>4.7E-2</v>
      </c>
      <c r="M279" s="6">
        <v>4.7E-2</v>
      </c>
      <c r="N279" s="6">
        <v>4.7E-2</v>
      </c>
      <c r="O279" s="6">
        <v>4.7E-2</v>
      </c>
      <c r="P279" s="6">
        <v>0</v>
      </c>
      <c r="Q279" s="4" t="s">
        <v>26</v>
      </c>
      <c r="R279" s="4">
        <v>0</v>
      </c>
      <c r="S279" s="6">
        <v>0</v>
      </c>
      <c r="T279" s="6">
        <v>1</v>
      </c>
      <c r="U279" s="6">
        <v>29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1146.8699999999999</v>
      </c>
      <c r="X279" s="6">
        <f>IF(ISERROR(VLOOKUP($U$279,'TAR FIN'!$A$1:$O$85,15,0)),0,VLOOKUP($U$279,'TAR FIN'!$A$1:$O$85,15,0))</f>
        <v>223.07</v>
      </c>
      <c r="Y279" s="6"/>
      <c r="Z279" s="6">
        <f ca="1">('TUSD BE'!$AM$17+'TUSD BF'!$AM$17+'TUSD CVA'!$AM$17)*1</f>
        <v>1645.6342477655162</v>
      </c>
      <c r="AA279" s="6">
        <f>('TE BE'!$AB$7+'TE BF'!$AB$7+'TE CVA'!$AB$7)*1</f>
        <v>77.958364182443049</v>
      </c>
      <c r="AB279" s="6">
        <f>$K$279*$V$279</f>
        <v>0</v>
      </c>
      <c r="AC279" s="6">
        <f>$M$279*$W$279</f>
        <v>53.902889999999992</v>
      </c>
      <c r="AD279" s="6">
        <f>$O$279*$X$279</f>
        <v>10.48429</v>
      </c>
      <c r="AE279" s="6">
        <f>$K$279*$Y$279</f>
        <v>0</v>
      </c>
      <c r="AF279" s="6">
        <f ca="1">$M$279*$Z$279</f>
        <v>77.344809644979264</v>
      </c>
      <c r="AG279" s="6">
        <f>$O$279*$AA$279</f>
        <v>3.6640431165748235</v>
      </c>
    </row>
    <row r="280" spans="1:33" ht="11.25" customHeight="1" x14ac:dyDescent="0.3">
      <c r="A280" s="4" t="s">
        <v>21</v>
      </c>
      <c r="B280" s="4" t="s">
        <v>22</v>
      </c>
      <c r="C280" s="4" t="s">
        <v>33</v>
      </c>
      <c r="D280" s="4" t="s">
        <v>24</v>
      </c>
      <c r="E280" s="4" t="s">
        <v>24</v>
      </c>
      <c r="F280" s="4" t="s">
        <v>25</v>
      </c>
      <c r="G280" s="4" t="s">
        <v>25</v>
      </c>
      <c r="H280" s="4" t="s">
        <v>34</v>
      </c>
      <c r="I280" s="5">
        <v>44593</v>
      </c>
      <c r="J280" s="6">
        <v>0</v>
      </c>
      <c r="K280" s="6">
        <v>0</v>
      </c>
      <c r="L280" s="6">
        <v>4.2000000000000003E-2</v>
      </c>
      <c r="M280" s="6">
        <v>4.2000000000000003E-2</v>
      </c>
      <c r="N280" s="6">
        <v>4.2000000000000003E-2</v>
      </c>
      <c r="O280" s="6">
        <v>4.2000000000000003E-2</v>
      </c>
      <c r="P280" s="6">
        <v>0</v>
      </c>
      <c r="Q280" s="4" t="s">
        <v>26</v>
      </c>
      <c r="R280" s="4">
        <v>0</v>
      </c>
      <c r="S280" s="6">
        <v>0</v>
      </c>
      <c r="T280" s="6">
        <v>1</v>
      </c>
      <c r="U280" s="6">
        <v>29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1146.8699999999999</v>
      </c>
      <c r="X280" s="6">
        <f>IF(ISERROR(VLOOKUP($U$280,'TAR FIN'!$A$1:$O$85,15,0)),0,VLOOKUP($U$280,'TAR FIN'!$A$1:$O$85,15,0))</f>
        <v>223.07</v>
      </c>
      <c r="Y280" s="6"/>
      <c r="Z280" s="6">
        <f ca="1">('TUSD BE'!$AM$17+'TUSD BF'!$AM$17+'TUSD CVA'!$AM$17)*1</f>
        <v>1645.6342477655162</v>
      </c>
      <c r="AA280" s="6">
        <f>('TE BE'!$AB$7+'TE BF'!$AB$7+'TE CVA'!$AB$7)*1</f>
        <v>77.958364182443049</v>
      </c>
      <c r="AB280" s="6">
        <f>$K$280*$V$280</f>
        <v>0</v>
      </c>
      <c r="AC280" s="6">
        <f>$M$280*$W$280</f>
        <v>48.16854</v>
      </c>
      <c r="AD280" s="6">
        <f>$O$280*$X$280</f>
        <v>9.3689400000000003</v>
      </c>
      <c r="AE280" s="6">
        <f>$K$280*$Y$280</f>
        <v>0</v>
      </c>
      <c r="AF280" s="6">
        <f ca="1">$M$280*$Z$280</f>
        <v>69.116638406151679</v>
      </c>
      <c r="AG280" s="6">
        <f>$O$280*$AA$280</f>
        <v>3.2742512956626082</v>
      </c>
    </row>
    <row r="281" spans="1:33" ht="11.25" customHeight="1" x14ac:dyDescent="0.3">
      <c r="A281" s="4" t="s">
        <v>21</v>
      </c>
      <c r="B281" s="4" t="s">
        <v>22</v>
      </c>
      <c r="C281" s="4" t="s">
        <v>33</v>
      </c>
      <c r="D281" s="4" t="s">
        <v>24</v>
      </c>
      <c r="E281" s="4" t="s">
        <v>24</v>
      </c>
      <c r="F281" s="4" t="s">
        <v>25</v>
      </c>
      <c r="G281" s="4" t="s">
        <v>25</v>
      </c>
      <c r="H281" s="4" t="s">
        <v>34</v>
      </c>
      <c r="I281" s="5">
        <v>44621</v>
      </c>
      <c r="J281" s="6">
        <v>0</v>
      </c>
      <c r="K281" s="6">
        <v>0</v>
      </c>
      <c r="L281" s="6">
        <v>5.7000000000000002E-2</v>
      </c>
      <c r="M281" s="6">
        <v>5.7000000000000002E-2</v>
      </c>
      <c r="N281" s="6">
        <v>5.7000000000000002E-2</v>
      </c>
      <c r="O281" s="6">
        <v>5.7000000000000002E-2</v>
      </c>
      <c r="P281" s="6">
        <v>0</v>
      </c>
      <c r="Q281" s="4" t="s">
        <v>26</v>
      </c>
      <c r="R281" s="4">
        <v>0</v>
      </c>
      <c r="S281" s="6">
        <v>0</v>
      </c>
      <c r="T281" s="6">
        <v>1</v>
      </c>
      <c r="U281" s="6">
        <v>29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1146.8699999999999</v>
      </c>
      <c r="X281" s="6">
        <f>IF(ISERROR(VLOOKUP($U$281,'TAR FIN'!$A$1:$O$85,15,0)),0,VLOOKUP($U$281,'TAR FIN'!$A$1:$O$85,15,0))</f>
        <v>223.07</v>
      </c>
      <c r="Y281" s="6"/>
      <c r="Z281" s="6">
        <f ca="1">('TUSD BE'!$AM$17+'TUSD BF'!$AM$17+'TUSD CVA'!$AM$17)*1</f>
        <v>1645.6342477655162</v>
      </c>
      <c r="AA281" s="6">
        <f>('TE BE'!$AB$7+'TE BF'!$AB$7+'TE CVA'!$AB$7)*1</f>
        <v>77.958364182443049</v>
      </c>
      <c r="AB281" s="6">
        <f>$K$281*$V$281</f>
        <v>0</v>
      </c>
      <c r="AC281" s="6">
        <f>$M$281*$W$281</f>
        <v>65.371589999999998</v>
      </c>
      <c r="AD281" s="6">
        <f>$O$281*$X$281</f>
        <v>12.71499</v>
      </c>
      <c r="AE281" s="6">
        <f>$K$281*$Y$281</f>
        <v>0</v>
      </c>
      <c r="AF281" s="6">
        <f ca="1">$M$281*$Z$281</f>
        <v>93.80115212263442</v>
      </c>
      <c r="AG281" s="6">
        <f>$O$281*$AA$281</f>
        <v>4.4436267583992537</v>
      </c>
    </row>
    <row r="282" spans="1:33" ht="11.25" customHeight="1" x14ac:dyDescent="0.3">
      <c r="A282" s="4" t="s">
        <v>21</v>
      </c>
      <c r="B282" s="4" t="s">
        <v>22</v>
      </c>
      <c r="C282" s="4" t="s">
        <v>33</v>
      </c>
      <c r="D282" s="4" t="s">
        <v>24</v>
      </c>
      <c r="E282" s="4" t="s">
        <v>24</v>
      </c>
      <c r="F282" s="4" t="s">
        <v>25</v>
      </c>
      <c r="G282" s="4" t="s">
        <v>25</v>
      </c>
      <c r="H282" s="4" t="s">
        <v>34</v>
      </c>
      <c r="I282" s="5">
        <v>44652</v>
      </c>
      <c r="J282" s="6">
        <v>0</v>
      </c>
      <c r="K282" s="6">
        <v>0</v>
      </c>
      <c r="L282" s="6">
        <v>3.9E-2</v>
      </c>
      <c r="M282" s="6">
        <v>3.9E-2</v>
      </c>
      <c r="N282" s="6">
        <v>3.9E-2</v>
      </c>
      <c r="O282" s="6">
        <v>3.9E-2</v>
      </c>
      <c r="P282" s="6">
        <v>0</v>
      </c>
      <c r="Q282" s="4" t="s">
        <v>26</v>
      </c>
      <c r="R282" s="4">
        <v>0</v>
      </c>
      <c r="S282" s="6">
        <v>0</v>
      </c>
      <c r="T282" s="6">
        <v>1</v>
      </c>
      <c r="U282" s="6">
        <v>29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1146.8699999999999</v>
      </c>
      <c r="X282" s="6">
        <f>IF(ISERROR(VLOOKUP($U$282,'TAR FIN'!$A$1:$O$85,15,0)),0,VLOOKUP($U$282,'TAR FIN'!$A$1:$O$85,15,0))</f>
        <v>223.07</v>
      </c>
      <c r="Y282" s="6"/>
      <c r="Z282" s="6">
        <f ca="1">('TUSD BE'!$AM$17+'TUSD BF'!$AM$17+'TUSD CVA'!$AM$17)*1</f>
        <v>1645.6342477655162</v>
      </c>
      <c r="AA282" s="6">
        <f>('TE BE'!$AB$7+'TE BF'!$AB$7+'TE CVA'!$AB$7)*1</f>
        <v>77.958364182443049</v>
      </c>
      <c r="AB282" s="6">
        <f>$K$282*$V$282</f>
        <v>0</v>
      </c>
      <c r="AC282" s="6">
        <f>$M$282*$W$282</f>
        <v>44.727929999999994</v>
      </c>
      <c r="AD282" s="6">
        <f>$O$282*$X$282</f>
        <v>8.6997299999999989</v>
      </c>
      <c r="AE282" s="6">
        <f>$K$282*$Y$282</f>
        <v>0</v>
      </c>
      <c r="AF282" s="6">
        <f ca="1">$M$282*$Z$282</f>
        <v>64.179735662855137</v>
      </c>
      <c r="AG282" s="6">
        <f>$O$282*$AA$282</f>
        <v>3.040376203115279</v>
      </c>
    </row>
    <row r="283" spans="1:33" ht="11.25" customHeight="1" x14ac:dyDescent="0.3">
      <c r="A283" s="4" t="s">
        <v>21</v>
      </c>
      <c r="B283" s="4" t="s">
        <v>22</v>
      </c>
      <c r="C283" s="4" t="s">
        <v>33</v>
      </c>
      <c r="D283" s="4" t="s">
        <v>24</v>
      </c>
      <c r="E283" s="4" t="s">
        <v>24</v>
      </c>
      <c r="F283" s="4" t="s">
        <v>25</v>
      </c>
      <c r="G283" s="4" t="s">
        <v>25</v>
      </c>
      <c r="H283" s="4" t="s">
        <v>34</v>
      </c>
      <c r="I283" s="5">
        <v>44682</v>
      </c>
      <c r="J283" s="6">
        <v>0</v>
      </c>
      <c r="K283" s="6">
        <v>0</v>
      </c>
      <c r="L283" s="6">
        <v>2.3E-2</v>
      </c>
      <c r="M283" s="6">
        <v>2.3E-2</v>
      </c>
      <c r="N283" s="6">
        <v>2.3E-2</v>
      </c>
      <c r="O283" s="6">
        <v>2.3E-2</v>
      </c>
      <c r="P283" s="6">
        <v>0</v>
      </c>
      <c r="Q283" s="4" t="s">
        <v>26</v>
      </c>
      <c r="R283" s="4">
        <v>0</v>
      </c>
      <c r="S283" s="6">
        <v>0</v>
      </c>
      <c r="T283" s="6">
        <v>1</v>
      </c>
      <c r="U283" s="6">
        <v>29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1146.8699999999999</v>
      </c>
      <c r="X283" s="6">
        <f>IF(ISERROR(VLOOKUP($U$283,'TAR FIN'!$A$1:$O$85,15,0)),0,VLOOKUP($U$283,'TAR FIN'!$A$1:$O$85,15,0))</f>
        <v>223.07</v>
      </c>
      <c r="Y283" s="6"/>
      <c r="Z283" s="6">
        <f ca="1">('TUSD BE'!$AM$17+'TUSD BF'!$AM$17+'TUSD CVA'!$AM$17)*1</f>
        <v>1645.6342477655162</v>
      </c>
      <c r="AA283" s="6">
        <f>('TE BE'!$AB$7+'TE BF'!$AB$7+'TE CVA'!$AB$7)*1</f>
        <v>77.958364182443049</v>
      </c>
      <c r="AB283" s="6">
        <f>$K$283*$V$283</f>
        <v>0</v>
      </c>
      <c r="AC283" s="6">
        <f>$M$283*$W$283</f>
        <v>26.378009999999996</v>
      </c>
      <c r="AD283" s="6">
        <f>$O$283*$X$283</f>
        <v>5.1306099999999999</v>
      </c>
      <c r="AE283" s="6">
        <f>$K$283*$Y$283</f>
        <v>0</v>
      </c>
      <c r="AF283" s="6">
        <f ca="1">$M$283*$Z$283</f>
        <v>37.849587698606875</v>
      </c>
      <c r="AG283" s="6">
        <f>$O$283*$AA$283</f>
        <v>1.79304237619619</v>
      </c>
    </row>
    <row r="284" spans="1:33" ht="11.25" customHeight="1" x14ac:dyDescent="0.3">
      <c r="A284" s="4" t="s">
        <v>21</v>
      </c>
      <c r="B284" s="4" t="s">
        <v>22</v>
      </c>
      <c r="C284" s="4" t="s">
        <v>33</v>
      </c>
      <c r="D284" s="4" t="s">
        <v>24</v>
      </c>
      <c r="E284" s="4" t="s">
        <v>24</v>
      </c>
      <c r="F284" s="4" t="s">
        <v>25</v>
      </c>
      <c r="G284" s="4" t="s">
        <v>25</v>
      </c>
      <c r="H284" s="4" t="s">
        <v>34</v>
      </c>
      <c r="I284" s="5">
        <v>44713</v>
      </c>
      <c r="J284" s="6">
        <v>0</v>
      </c>
      <c r="K284" s="6">
        <v>0</v>
      </c>
      <c r="L284" s="6">
        <v>2.5999999999999999E-2</v>
      </c>
      <c r="M284" s="6">
        <v>2.5999999999999999E-2</v>
      </c>
      <c r="N284" s="6">
        <v>2.5999999999999999E-2</v>
      </c>
      <c r="O284" s="6">
        <v>2.5999999999999999E-2</v>
      </c>
      <c r="P284" s="6">
        <v>0</v>
      </c>
      <c r="Q284" s="4" t="s">
        <v>26</v>
      </c>
      <c r="R284" s="4">
        <v>0</v>
      </c>
      <c r="S284" s="6">
        <v>0</v>
      </c>
      <c r="T284" s="6">
        <v>1</v>
      </c>
      <c r="U284" s="6">
        <v>29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1146.8699999999999</v>
      </c>
      <c r="X284" s="6">
        <f>IF(ISERROR(VLOOKUP($U$284,'TAR FIN'!$A$1:$O$85,15,0)),0,VLOOKUP($U$284,'TAR FIN'!$A$1:$O$85,15,0))</f>
        <v>223.07</v>
      </c>
      <c r="Y284" s="6"/>
      <c r="Z284" s="6">
        <f ca="1">('TUSD BE'!$AM$17+'TUSD BF'!$AM$17+'TUSD CVA'!$AM$17)*1</f>
        <v>1645.6342477655162</v>
      </c>
      <c r="AA284" s="6">
        <f>('TE BE'!$AB$7+'TE BF'!$AB$7+'TE CVA'!$AB$7)*1</f>
        <v>77.958364182443049</v>
      </c>
      <c r="AB284" s="6">
        <f>$K$284*$V$284</f>
        <v>0</v>
      </c>
      <c r="AC284" s="6">
        <f>$M$284*$W$284</f>
        <v>29.818619999999996</v>
      </c>
      <c r="AD284" s="6">
        <f>$O$284*$X$284</f>
        <v>5.7998199999999995</v>
      </c>
      <c r="AE284" s="6">
        <f>$K$284*$Y$284</f>
        <v>0</v>
      </c>
      <c r="AF284" s="6">
        <f ca="1">$M$284*$Z$284</f>
        <v>42.786490441903418</v>
      </c>
      <c r="AG284" s="6">
        <f>$O$284*$AA$284</f>
        <v>2.0269174687435192</v>
      </c>
    </row>
    <row r="285" spans="1:33" ht="11.25" customHeight="1" x14ac:dyDescent="0.3">
      <c r="A285" s="4" t="s">
        <v>21</v>
      </c>
      <c r="B285" s="4" t="s">
        <v>22</v>
      </c>
      <c r="C285" s="4" t="s">
        <v>33</v>
      </c>
      <c r="D285" s="4" t="s">
        <v>24</v>
      </c>
      <c r="E285" s="4" t="s">
        <v>24</v>
      </c>
      <c r="F285" s="4" t="s">
        <v>25</v>
      </c>
      <c r="G285" s="4" t="s">
        <v>25</v>
      </c>
      <c r="H285" s="4" t="s">
        <v>34</v>
      </c>
      <c r="I285" s="5">
        <v>44743</v>
      </c>
      <c r="J285" s="6">
        <v>0</v>
      </c>
      <c r="K285" s="6">
        <v>0</v>
      </c>
      <c r="L285" s="6">
        <v>2.5000000000000001E-2</v>
      </c>
      <c r="M285" s="6">
        <v>2.5000000000000001E-2</v>
      </c>
      <c r="N285" s="6">
        <v>2.5000000000000001E-2</v>
      </c>
      <c r="O285" s="6">
        <v>2.5000000000000001E-2</v>
      </c>
      <c r="P285" s="6">
        <v>0</v>
      </c>
      <c r="Q285" s="4" t="s">
        <v>26</v>
      </c>
      <c r="R285" s="4">
        <v>0</v>
      </c>
      <c r="S285" s="6">
        <v>0</v>
      </c>
      <c r="T285" s="6">
        <v>1</v>
      </c>
      <c r="U285" s="6">
        <v>29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1146.8699999999999</v>
      </c>
      <c r="X285" s="6">
        <f>IF(ISERROR(VLOOKUP($U$285,'TAR FIN'!$A$1:$O$85,15,0)),0,VLOOKUP($U$285,'TAR FIN'!$A$1:$O$85,15,0))</f>
        <v>223.07</v>
      </c>
      <c r="Y285" s="6"/>
      <c r="Z285" s="6">
        <f ca="1">('TUSD BE'!$AM$17+'TUSD BF'!$AM$17+'TUSD CVA'!$AM$17)*1</f>
        <v>1645.6342477655162</v>
      </c>
      <c r="AA285" s="6">
        <f>('TE BE'!$AB$7+'TE BF'!$AB$7+'TE CVA'!$AB$7)*1</f>
        <v>77.958364182443049</v>
      </c>
      <c r="AB285" s="6">
        <f>$K$285*$V$285</f>
        <v>0</v>
      </c>
      <c r="AC285" s="6">
        <f>$M$285*$W$285</f>
        <v>28.671749999999999</v>
      </c>
      <c r="AD285" s="6">
        <f>$O$285*$X$285</f>
        <v>5.5767500000000005</v>
      </c>
      <c r="AE285" s="6">
        <f>$K$285*$Y$285</f>
        <v>0</v>
      </c>
      <c r="AF285" s="6">
        <f ca="1">$M$285*$Z$285</f>
        <v>41.140856194137911</v>
      </c>
      <c r="AG285" s="6">
        <f>$O$285*$AA$285</f>
        <v>1.9489591045610763</v>
      </c>
    </row>
    <row r="286" spans="1:33" ht="11.25" customHeight="1" x14ac:dyDescent="0.3">
      <c r="A286" s="4" t="s">
        <v>21</v>
      </c>
      <c r="B286" s="4" t="s">
        <v>22</v>
      </c>
      <c r="C286" s="4" t="s">
        <v>33</v>
      </c>
      <c r="D286" s="4" t="s">
        <v>24</v>
      </c>
      <c r="E286" s="4" t="s">
        <v>24</v>
      </c>
      <c r="F286" s="4" t="s">
        <v>25</v>
      </c>
      <c r="G286" s="4" t="s">
        <v>25</v>
      </c>
      <c r="H286" s="4" t="s">
        <v>34</v>
      </c>
      <c r="I286" s="5">
        <v>44774</v>
      </c>
      <c r="J286" s="6">
        <v>0</v>
      </c>
      <c r="K286" s="6">
        <v>0</v>
      </c>
      <c r="L286" s="6">
        <v>3.9E-2</v>
      </c>
      <c r="M286" s="6">
        <v>3.9E-2</v>
      </c>
      <c r="N286" s="6">
        <v>3.9E-2</v>
      </c>
      <c r="O286" s="6">
        <v>3.9E-2</v>
      </c>
      <c r="P286" s="6">
        <v>0</v>
      </c>
      <c r="Q286" s="4" t="s">
        <v>26</v>
      </c>
      <c r="R286" s="4">
        <v>0</v>
      </c>
      <c r="S286" s="6">
        <v>0</v>
      </c>
      <c r="T286" s="6">
        <v>1</v>
      </c>
      <c r="U286" s="6">
        <v>29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1146.8699999999999</v>
      </c>
      <c r="X286" s="6">
        <f>IF(ISERROR(VLOOKUP($U$286,'TAR FIN'!$A$1:$O$85,15,0)),0,VLOOKUP($U$286,'TAR FIN'!$A$1:$O$85,15,0))</f>
        <v>223.07</v>
      </c>
      <c r="Y286" s="6"/>
      <c r="Z286" s="6">
        <f ca="1">('TUSD BE'!$AM$17+'TUSD BF'!$AM$17+'TUSD CVA'!$AM$17)*1</f>
        <v>1645.6342477655162</v>
      </c>
      <c r="AA286" s="6">
        <f>('TE BE'!$AB$7+'TE BF'!$AB$7+'TE CVA'!$AB$7)*1</f>
        <v>77.958364182443049</v>
      </c>
      <c r="AB286" s="6">
        <f>$K$286*$V$286</f>
        <v>0</v>
      </c>
      <c r="AC286" s="6">
        <f>$M$286*$W$286</f>
        <v>44.727929999999994</v>
      </c>
      <c r="AD286" s="6">
        <f>$O$286*$X$286</f>
        <v>8.6997299999999989</v>
      </c>
      <c r="AE286" s="6">
        <f>$K$286*$Y$286</f>
        <v>0</v>
      </c>
      <c r="AF286" s="6">
        <f ca="1">$M$286*$Z$286</f>
        <v>64.179735662855137</v>
      </c>
      <c r="AG286" s="6">
        <f>$O$286*$AA$286</f>
        <v>3.040376203115279</v>
      </c>
    </row>
    <row r="287" spans="1:33" ht="11.25" customHeight="1" x14ac:dyDescent="0.3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24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2217.5830000000001</v>
      </c>
      <c r="M287" s="6">
        <v>2217.5830000000001</v>
      </c>
      <c r="N287" s="6">
        <v>2217.5830000000001</v>
      </c>
      <c r="O287" s="6">
        <v>2217.5830000000001</v>
      </c>
      <c r="P287" s="6">
        <v>13311</v>
      </c>
      <c r="Q287" s="4" t="s">
        <v>26</v>
      </c>
      <c r="R287" s="4">
        <v>0</v>
      </c>
      <c r="S287" s="6">
        <v>0</v>
      </c>
      <c r="T287" s="6">
        <v>18</v>
      </c>
      <c r="U287" s="6">
        <v>42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482.65</v>
      </c>
      <c r="X287" s="6">
        <f>IF(ISERROR(VLOOKUP($U$287,'TAR FIN'!$A$1:$O$85,15,0)),0,VLOOKUP($U$287,'TAR FIN'!$A$1:$O$85,15,0))</f>
        <v>223.07</v>
      </c>
      <c r="Y287" s="6"/>
      <c r="Z287" s="6">
        <f ca="1">('TUSD BE'!$AM$20+'TUSD BF'!$AM$20+'TUSD CVA'!$AM$20)*1</f>
        <v>679.24595390998343</v>
      </c>
      <c r="AA287" s="6">
        <f>('TE BE'!$AB$10+'TE BF'!$AB$10+'TE CVA'!$AB$10)*1</f>
        <v>77.958364182443049</v>
      </c>
      <c r="AB287" s="6">
        <f>$K$287*$V$287</f>
        <v>0</v>
      </c>
      <c r="AC287" s="6">
        <f>$M$287*$W$287</f>
        <v>1070316.4349499999</v>
      </c>
      <c r="AD287" s="6">
        <f>$O$287*$X$287</f>
        <v>494676.23981</v>
      </c>
      <c r="AE287" s="6">
        <f>$K$287*$Y$287</f>
        <v>0</v>
      </c>
      <c r="AF287" s="6">
        <f ca="1">$M$287*$Z$287</f>
        <v>1506284.2802095627</v>
      </c>
      <c r="AG287" s="6">
        <f>$O$287*$AA$287</f>
        <v>172879.1431187946</v>
      </c>
    </row>
    <row r="288" spans="1:33" ht="11.25" customHeight="1" x14ac:dyDescent="0.3">
      <c r="A288" s="4" t="s">
        <v>27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44440</v>
      </c>
      <c r="J288" s="6">
        <v>0</v>
      </c>
      <c r="K288" s="6">
        <v>0</v>
      </c>
      <c r="L288" s="6">
        <v>-0.09</v>
      </c>
      <c r="M288" s="6">
        <v>-0.09</v>
      </c>
      <c r="N288" s="6">
        <v>-0.09</v>
      </c>
      <c r="O288" s="6">
        <v>-0.09</v>
      </c>
      <c r="P288" s="6">
        <v>0</v>
      </c>
      <c r="Q288" s="4" t="s">
        <v>26</v>
      </c>
      <c r="R288" s="4">
        <v>0</v>
      </c>
      <c r="S288" s="6">
        <v>0</v>
      </c>
      <c r="T288" s="6">
        <v>18</v>
      </c>
      <c r="U288" s="6">
        <v>42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482.65</v>
      </c>
      <c r="X288" s="6">
        <f>IF(ISERROR(VLOOKUP($U$288,'TAR FIN'!$A$1:$O$85,15,0)),0,VLOOKUP($U$288,'TAR FIN'!$A$1:$O$85,15,0))</f>
        <v>223.07</v>
      </c>
      <c r="Y288" s="6"/>
      <c r="Z288" s="6">
        <f ca="1">('TUSD BE'!$AM$20+'TUSD BF'!$AM$20+'TUSD CVA'!$AM$20)*1</f>
        <v>679.24595390998343</v>
      </c>
      <c r="AA288" s="6">
        <f>('TE BE'!$AB$10+'TE BF'!$AB$10+'TE CVA'!$AB$10)*1</f>
        <v>77.958364182443049</v>
      </c>
      <c r="AB288" s="6">
        <f>$K$288*$V$288</f>
        <v>0</v>
      </c>
      <c r="AC288" s="6">
        <f>$M$288*$W$288</f>
        <v>-43.438499999999998</v>
      </c>
      <c r="AD288" s="6">
        <f>$O$288*$X$288</f>
        <v>-20.0763</v>
      </c>
      <c r="AE288" s="6">
        <f>$K$288*$Y$288</f>
        <v>0</v>
      </c>
      <c r="AF288" s="6">
        <f ca="1">$M$288*$Z$288</f>
        <v>-61.132135851898504</v>
      </c>
      <c r="AG288" s="6">
        <f>$O$288*$AA$288</f>
        <v>-7.0162527764198739</v>
      </c>
    </row>
    <row r="289" spans="1:33" ht="11.25" customHeight="1" x14ac:dyDescent="0.3">
      <c r="A289" s="4" t="s">
        <v>28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44440</v>
      </c>
      <c r="J289" s="6">
        <v>0</v>
      </c>
      <c r="K289" s="6">
        <v>0</v>
      </c>
      <c r="L289" s="6">
        <v>29.766999999999999</v>
      </c>
      <c r="M289" s="6">
        <v>29.766999999999999</v>
      </c>
      <c r="N289" s="6">
        <v>29.766999999999999</v>
      </c>
      <c r="O289" s="6">
        <v>29.766999999999999</v>
      </c>
      <c r="P289" s="6">
        <v>173</v>
      </c>
      <c r="Q289" s="4" t="s">
        <v>26</v>
      </c>
      <c r="R289" s="4">
        <v>0</v>
      </c>
      <c r="S289" s="6">
        <v>0</v>
      </c>
      <c r="T289" s="6">
        <v>18</v>
      </c>
      <c r="U289" s="6">
        <v>42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482.65</v>
      </c>
      <c r="X289" s="6">
        <f>IF(ISERROR(VLOOKUP($U$289,'TAR FIN'!$A$1:$O$85,15,0)),0,VLOOKUP($U$289,'TAR FIN'!$A$1:$O$85,15,0))</f>
        <v>223.07</v>
      </c>
      <c r="Y289" s="6"/>
      <c r="Z289" s="6">
        <f ca="1">('TUSD BE'!$AM$20+'TUSD BF'!$AM$20+'TUSD CVA'!$AM$20)*1</f>
        <v>679.24595390998343</v>
      </c>
      <c r="AA289" s="6">
        <f>('TE BE'!$AB$10+'TE BF'!$AB$10+'TE CVA'!$AB$10)*1</f>
        <v>77.958364182443049</v>
      </c>
      <c r="AB289" s="6">
        <f>$K$289*$V$289</f>
        <v>0</v>
      </c>
      <c r="AC289" s="6">
        <f>$M$289*$W$289</f>
        <v>14367.042549999998</v>
      </c>
      <c r="AD289" s="6">
        <f>$O$289*$X$289</f>
        <v>6640.1246899999996</v>
      </c>
      <c r="AE289" s="6">
        <f>$K$289*$Y$289</f>
        <v>0</v>
      </c>
      <c r="AF289" s="6">
        <f ca="1">$M$289*$Z$289</f>
        <v>20219.114310038476</v>
      </c>
      <c r="AG289" s="6">
        <f>$O$289*$AA$289</f>
        <v>2320.5866266187822</v>
      </c>
    </row>
    <row r="290" spans="1:33" ht="11.25" customHeight="1" x14ac:dyDescent="0.3">
      <c r="A290" s="4" t="s">
        <v>28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44440</v>
      </c>
      <c r="J290" s="6">
        <v>0</v>
      </c>
      <c r="K290" s="6">
        <v>0</v>
      </c>
      <c r="L290" s="6">
        <v>-0.23400000000000001</v>
      </c>
      <c r="M290" s="6">
        <v>-0.23400000000000001</v>
      </c>
      <c r="N290" s="6">
        <v>-0.23400000000000001</v>
      </c>
      <c r="O290" s="6">
        <v>-0.23400000000000001</v>
      </c>
      <c r="P290" s="6">
        <v>2</v>
      </c>
      <c r="Q290" s="4" t="s">
        <v>26</v>
      </c>
      <c r="R290" s="4">
        <v>0</v>
      </c>
      <c r="S290" s="6">
        <v>0</v>
      </c>
      <c r="T290" s="6">
        <v>18</v>
      </c>
      <c r="U290" s="6">
        <v>42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482.65</v>
      </c>
      <c r="X290" s="6">
        <f>IF(ISERROR(VLOOKUP($U$290,'TAR FIN'!$A$1:$O$85,15,0)),0,VLOOKUP($U$290,'TAR FIN'!$A$1:$O$85,15,0))</f>
        <v>223.07</v>
      </c>
      <c r="Y290" s="6"/>
      <c r="Z290" s="6">
        <f ca="1">('TUSD BE'!$AM$20+'TUSD BF'!$AM$20+'TUSD CVA'!$AM$20)*1</f>
        <v>679.24595390998343</v>
      </c>
      <c r="AA290" s="6">
        <f>('TE BE'!$AB$10+'TE BF'!$AB$10+'TE CVA'!$AB$10)*1</f>
        <v>77.958364182443049</v>
      </c>
      <c r="AB290" s="6">
        <f>$K$290*$V$290</f>
        <v>0</v>
      </c>
      <c r="AC290" s="6">
        <f>$M$290*$W$290</f>
        <v>-112.9401</v>
      </c>
      <c r="AD290" s="6">
        <f>$O$290*$X$290</f>
        <v>-52.19838</v>
      </c>
      <c r="AE290" s="6">
        <f>$K$290*$Y$290</f>
        <v>0</v>
      </c>
      <c r="AF290" s="6">
        <f ca="1">$M$290*$Z$290</f>
        <v>-158.94355321493614</v>
      </c>
      <c r="AG290" s="6">
        <f>$O$290*$AA$290</f>
        <v>-18.242257218691673</v>
      </c>
    </row>
    <row r="291" spans="1:33" ht="11.25" customHeight="1" x14ac:dyDescent="0.3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44470</v>
      </c>
      <c r="J291" s="6">
        <v>0</v>
      </c>
      <c r="K291" s="6">
        <v>0</v>
      </c>
      <c r="L291" s="6">
        <v>2158.1280000000002</v>
      </c>
      <c r="M291" s="6">
        <v>2158.1280000000002</v>
      </c>
      <c r="N291" s="6">
        <v>2158.1280000000002</v>
      </c>
      <c r="O291" s="6">
        <v>2158.1280000000002</v>
      </c>
      <c r="P291" s="6">
        <v>13363</v>
      </c>
      <c r="Q291" s="4" t="s">
        <v>26</v>
      </c>
      <c r="R291" s="4">
        <v>0</v>
      </c>
      <c r="S291" s="6">
        <v>0</v>
      </c>
      <c r="T291" s="6">
        <v>18</v>
      </c>
      <c r="U291" s="6">
        <v>42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482.65</v>
      </c>
      <c r="X291" s="6">
        <f>IF(ISERROR(VLOOKUP($U$291,'TAR FIN'!$A$1:$O$85,15,0)),0,VLOOKUP($U$291,'TAR FIN'!$A$1:$O$85,15,0))</f>
        <v>223.07</v>
      </c>
      <c r="Y291" s="6"/>
      <c r="Z291" s="6">
        <f ca="1">('TUSD BE'!$AM$20+'TUSD BF'!$AM$20+'TUSD CVA'!$AM$20)*1</f>
        <v>679.24595390998343</v>
      </c>
      <c r="AA291" s="6">
        <f>('TE BE'!$AB$10+'TE BF'!$AB$10+'TE CVA'!$AB$10)*1</f>
        <v>77.958364182443049</v>
      </c>
      <c r="AB291" s="6">
        <f>$K$291*$V$291</f>
        <v>0</v>
      </c>
      <c r="AC291" s="6">
        <f>$M$291*$W$291</f>
        <v>1041620.4792000001</v>
      </c>
      <c r="AD291" s="6">
        <f>$O$291*$X$291</f>
        <v>481413.61296</v>
      </c>
      <c r="AE291" s="6">
        <f>$K$291*$Y$291</f>
        <v>0</v>
      </c>
      <c r="AF291" s="6">
        <f ca="1">$M$291*$Z$291</f>
        <v>1465899.7120198449</v>
      </c>
      <c r="AG291" s="6">
        <f>$O$291*$AA$291</f>
        <v>168244.12857632746</v>
      </c>
    </row>
    <row r="292" spans="1:33" ht="11.25" customHeight="1" x14ac:dyDescent="0.3">
      <c r="A292" s="4" t="s">
        <v>27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44470</v>
      </c>
      <c r="J292" s="6">
        <v>0</v>
      </c>
      <c r="K292" s="6">
        <v>0</v>
      </c>
      <c r="L292" s="6">
        <v>-1.913</v>
      </c>
      <c r="M292" s="6">
        <v>-1.913</v>
      </c>
      <c r="N292" s="6">
        <v>-1.913</v>
      </c>
      <c r="O292" s="6">
        <v>-1.913</v>
      </c>
      <c r="P292" s="6">
        <v>0</v>
      </c>
      <c r="Q292" s="4" t="s">
        <v>26</v>
      </c>
      <c r="R292" s="4">
        <v>0</v>
      </c>
      <c r="S292" s="6">
        <v>0</v>
      </c>
      <c r="T292" s="6">
        <v>18</v>
      </c>
      <c r="U292" s="6">
        <v>42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482.65</v>
      </c>
      <c r="X292" s="6">
        <f>IF(ISERROR(VLOOKUP($U$292,'TAR FIN'!$A$1:$O$85,15,0)),0,VLOOKUP($U$292,'TAR FIN'!$A$1:$O$85,15,0))</f>
        <v>223.07</v>
      </c>
      <c r="Y292" s="6"/>
      <c r="Z292" s="6">
        <f ca="1">('TUSD BE'!$AM$20+'TUSD BF'!$AM$20+'TUSD CVA'!$AM$20)*1</f>
        <v>679.24595390998343</v>
      </c>
      <c r="AA292" s="6">
        <f>('TE BE'!$AB$10+'TE BF'!$AB$10+'TE CVA'!$AB$10)*1</f>
        <v>77.958364182443049</v>
      </c>
      <c r="AB292" s="6">
        <f>$K$292*$V$292</f>
        <v>0</v>
      </c>
      <c r="AC292" s="6">
        <f>$M$292*$W$292</f>
        <v>-923.30944999999997</v>
      </c>
      <c r="AD292" s="6">
        <f>$O$292*$X$292</f>
        <v>-426.73291</v>
      </c>
      <c r="AE292" s="6">
        <f>$K$292*$Y$292</f>
        <v>0</v>
      </c>
      <c r="AF292" s="6">
        <f ca="1">$M$292*$Z$292</f>
        <v>-1299.3975098297983</v>
      </c>
      <c r="AG292" s="6">
        <f>$O$292*$AA$292</f>
        <v>-149.13435068101356</v>
      </c>
    </row>
    <row r="293" spans="1:33" ht="11.25" customHeight="1" x14ac:dyDescent="0.3">
      <c r="A293" s="4" t="s">
        <v>28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44470</v>
      </c>
      <c r="J293" s="6">
        <v>0</v>
      </c>
      <c r="K293" s="6">
        <v>0</v>
      </c>
      <c r="L293" s="6">
        <v>33.496000000000002</v>
      </c>
      <c r="M293" s="6">
        <v>33.496000000000002</v>
      </c>
      <c r="N293" s="6">
        <v>33.496000000000002</v>
      </c>
      <c r="O293" s="6">
        <v>33.496000000000002</v>
      </c>
      <c r="P293" s="6">
        <v>192</v>
      </c>
      <c r="Q293" s="4" t="s">
        <v>26</v>
      </c>
      <c r="R293" s="4">
        <v>0</v>
      </c>
      <c r="S293" s="6">
        <v>0</v>
      </c>
      <c r="T293" s="6">
        <v>18</v>
      </c>
      <c r="U293" s="6">
        <v>42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482.65</v>
      </c>
      <c r="X293" s="6">
        <f>IF(ISERROR(VLOOKUP($U$293,'TAR FIN'!$A$1:$O$85,15,0)),0,VLOOKUP($U$293,'TAR FIN'!$A$1:$O$85,15,0))</f>
        <v>223.07</v>
      </c>
      <c r="Y293" s="6"/>
      <c r="Z293" s="6">
        <f ca="1">('TUSD BE'!$AM$20+'TUSD BF'!$AM$20+'TUSD CVA'!$AM$20)*1</f>
        <v>679.24595390998343</v>
      </c>
      <c r="AA293" s="6">
        <f>('TE BE'!$AB$10+'TE BF'!$AB$10+'TE CVA'!$AB$10)*1</f>
        <v>77.958364182443049</v>
      </c>
      <c r="AB293" s="6">
        <f>$K$293*$V$293</f>
        <v>0</v>
      </c>
      <c r="AC293" s="6">
        <f>$M$293*$W$293</f>
        <v>16166.8444</v>
      </c>
      <c r="AD293" s="6">
        <f>$O$293*$X$293</f>
        <v>7471.9527200000002</v>
      </c>
      <c r="AE293" s="6">
        <f>$K$293*$Y$293</f>
        <v>0</v>
      </c>
      <c r="AF293" s="6">
        <f ca="1">$M$293*$Z$293</f>
        <v>22752.022472168806</v>
      </c>
      <c r="AG293" s="6">
        <f>$O$293*$AA$293</f>
        <v>2611.2933666551125</v>
      </c>
    </row>
    <row r="294" spans="1:33" ht="11.25" customHeight="1" x14ac:dyDescent="0.3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44501</v>
      </c>
      <c r="J294" s="6">
        <v>0</v>
      </c>
      <c r="K294" s="6">
        <v>0</v>
      </c>
      <c r="L294" s="6">
        <v>2260.319</v>
      </c>
      <c r="M294" s="6">
        <v>2260.319</v>
      </c>
      <c r="N294" s="6">
        <v>2260.319</v>
      </c>
      <c r="O294" s="6">
        <v>2260.319</v>
      </c>
      <c r="P294" s="6">
        <v>13411</v>
      </c>
      <c r="Q294" s="4" t="s">
        <v>26</v>
      </c>
      <c r="R294" s="4">
        <v>0</v>
      </c>
      <c r="S294" s="6">
        <v>0</v>
      </c>
      <c r="T294" s="6">
        <v>18</v>
      </c>
      <c r="U294" s="6">
        <v>42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482.65</v>
      </c>
      <c r="X294" s="6">
        <f>IF(ISERROR(VLOOKUP($U$294,'TAR FIN'!$A$1:$O$85,15,0)),0,VLOOKUP($U$294,'TAR FIN'!$A$1:$O$85,15,0))</f>
        <v>223.07</v>
      </c>
      <c r="Y294" s="6"/>
      <c r="Z294" s="6">
        <f ca="1">('TUSD BE'!$AM$20+'TUSD BF'!$AM$20+'TUSD CVA'!$AM$20)*1</f>
        <v>679.24595390998343</v>
      </c>
      <c r="AA294" s="6">
        <f>('TE BE'!$AB$10+'TE BF'!$AB$10+'TE CVA'!$AB$10)*1</f>
        <v>77.958364182443049</v>
      </c>
      <c r="AB294" s="6">
        <f>$K$294*$V$294</f>
        <v>0</v>
      </c>
      <c r="AC294" s="6">
        <f>$M$294*$W$294</f>
        <v>1090942.96535</v>
      </c>
      <c r="AD294" s="6">
        <f>$O$294*$X$294</f>
        <v>504209.35932999995</v>
      </c>
      <c r="AE294" s="6">
        <f>$K$294*$Y$294</f>
        <v>0</v>
      </c>
      <c r="AF294" s="6">
        <f ca="1">$M$294*$Z$294</f>
        <v>1535312.5352958599</v>
      </c>
      <c r="AG294" s="6">
        <f>$O$294*$AA$294</f>
        <v>176210.77177049548</v>
      </c>
    </row>
    <row r="295" spans="1:33" ht="11.25" customHeight="1" x14ac:dyDescent="0.3">
      <c r="A295" s="4" t="s">
        <v>27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44501</v>
      </c>
      <c r="J295" s="6">
        <v>0</v>
      </c>
      <c r="K295" s="6">
        <v>0</v>
      </c>
      <c r="L295" s="6">
        <v>-1.266</v>
      </c>
      <c r="M295" s="6">
        <v>-1.266</v>
      </c>
      <c r="N295" s="6">
        <v>-1.266</v>
      </c>
      <c r="O295" s="6">
        <v>-1.266</v>
      </c>
      <c r="P295" s="6">
        <v>0</v>
      </c>
      <c r="Q295" s="4" t="s">
        <v>26</v>
      </c>
      <c r="R295" s="4">
        <v>0</v>
      </c>
      <c r="S295" s="6">
        <v>0</v>
      </c>
      <c r="T295" s="6">
        <v>18</v>
      </c>
      <c r="U295" s="6">
        <v>42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482.65</v>
      </c>
      <c r="X295" s="6">
        <f>IF(ISERROR(VLOOKUP($U$295,'TAR FIN'!$A$1:$O$85,15,0)),0,VLOOKUP($U$295,'TAR FIN'!$A$1:$O$85,15,0))</f>
        <v>223.07</v>
      </c>
      <c r="Y295" s="6"/>
      <c r="Z295" s="6">
        <f ca="1">('TUSD BE'!$AM$20+'TUSD BF'!$AM$20+'TUSD CVA'!$AM$20)*1</f>
        <v>679.24595390998343</v>
      </c>
      <c r="AA295" s="6">
        <f>('TE BE'!$AB$10+'TE BF'!$AB$10+'TE CVA'!$AB$10)*1</f>
        <v>77.958364182443049</v>
      </c>
      <c r="AB295" s="6">
        <f>$K$295*$V$295</f>
        <v>0</v>
      </c>
      <c r="AC295" s="6">
        <f>$M$295*$W$295</f>
        <v>-611.03489999999999</v>
      </c>
      <c r="AD295" s="6">
        <f>$O$295*$X$295</f>
        <v>-282.40661999999998</v>
      </c>
      <c r="AE295" s="6">
        <f>$K$295*$Y$295</f>
        <v>0</v>
      </c>
      <c r="AF295" s="6">
        <f ca="1">$M$295*$Z$295</f>
        <v>-859.92537765003908</v>
      </c>
      <c r="AG295" s="6">
        <f>$O$295*$AA$295</f>
        <v>-98.695289054972903</v>
      </c>
    </row>
    <row r="296" spans="1:33" ht="11.25" customHeight="1" x14ac:dyDescent="0.3">
      <c r="A296" s="4" t="s">
        <v>28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44501</v>
      </c>
      <c r="J296" s="6">
        <v>0</v>
      </c>
      <c r="K296" s="6">
        <v>0</v>
      </c>
      <c r="L296" s="6">
        <v>27.536999999999999</v>
      </c>
      <c r="M296" s="6">
        <v>27.536999999999999</v>
      </c>
      <c r="N296" s="6">
        <v>27.536999999999999</v>
      </c>
      <c r="O296" s="6">
        <v>27.536999999999999</v>
      </c>
      <c r="P296" s="6">
        <v>213</v>
      </c>
      <c r="Q296" s="4" t="s">
        <v>26</v>
      </c>
      <c r="R296" s="4">
        <v>0</v>
      </c>
      <c r="S296" s="6">
        <v>0</v>
      </c>
      <c r="T296" s="6">
        <v>18</v>
      </c>
      <c r="U296" s="6">
        <v>42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482.65</v>
      </c>
      <c r="X296" s="6">
        <f>IF(ISERROR(VLOOKUP($U$296,'TAR FIN'!$A$1:$O$85,15,0)),0,VLOOKUP($U$296,'TAR FIN'!$A$1:$O$85,15,0))</f>
        <v>223.07</v>
      </c>
      <c r="Y296" s="6"/>
      <c r="Z296" s="6">
        <f ca="1">('TUSD BE'!$AM$20+'TUSD BF'!$AM$20+'TUSD CVA'!$AM$20)*1</f>
        <v>679.24595390998343</v>
      </c>
      <c r="AA296" s="6">
        <f>('TE BE'!$AB$10+'TE BF'!$AB$10+'TE CVA'!$AB$10)*1</f>
        <v>77.958364182443049</v>
      </c>
      <c r="AB296" s="6">
        <f>$K$296*$V$296</f>
        <v>0</v>
      </c>
      <c r="AC296" s="6">
        <f>$M$296*$W$296</f>
        <v>13290.733049999999</v>
      </c>
      <c r="AD296" s="6">
        <f>$O$296*$X$296</f>
        <v>6142.6785899999995</v>
      </c>
      <c r="AE296" s="6">
        <f>$K$296*$Y$296</f>
        <v>0</v>
      </c>
      <c r="AF296" s="6">
        <f ca="1">$M$296*$Z$296</f>
        <v>18704.395832819213</v>
      </c>
      <c r="AG296" s="6">
        <f>$O$296*$AA$296</f>
        <v>2146.7394744919343</v>
      </c>
    </row>
    <row r="297" spans="1:33" ht="11.25" customHeight="1" x14ac:dyDescent="0.3">
      <c r="A297" s="4" t="s">
        <v>21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44531</v>
      </c>
      <c r="J297" s="6">
        <v>0</v>
      </c>
      <c r="K297" s="6">
        <v>0</v>
      </c>
      <c r="L297" s="6">
        <v>2234.596</v>
      </c>
      <c r="M297" s="6">
        <v>2234.596</v>
      </c>
      <c r="N297" s="6">
        <v>2234.596</v>
      </c>
      <c r="O297" s="6">
        <v>2234.596</v>
      </c>
      <c r="P297" s="6">
        <v>13510</v>
      </c>
      <c r="Q297" s="4" t="s">
        <v>26</v>
      </c>
      <c r="R297" s="4">
        <v>0</v>
      </c>
      <c r="S297" s="6">
        <v>0</v>
      </c>
      <c r="T297" s="6">
        <v>18</v>
      </c>
      <c r="U297" s="6">
        <v>42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482.65</v>
      </c>
      <c r="X297" s="6">
        <f>IF(ISERROR(VLOOKUP($U$297,'TAR FIN'!$A$1:$O$85,15,0)),0,VLOOKUP($U$297,'TAR FIN'!$A$1:$O$85,15,0))</f>
        <v>223.07</v>
      </c>
      <c r="Y297" s="6"/>
      <c r="Z297" s="6">
        <f ca="1">('TUSD BE'!$AM$20+'TUSD BF'!$AM$20+'TUSD CVA'!$AM$20)*1</f>
        <v>679.24595390998343</v>
      </c>
      <c r="AA297" s="6">
        <f>('TE BE'!$AB$10+'TE BF'!$AB$10+'TE CVA'!$AB$10)*1</f>
        <v>77.958364182443049</v>
      </c>
      <c r="AB297" s="6">
        <f>$K$297*$V$297</f>
        <v>0</v>
      </c>
      <c r="AC297" s="6">
        <f>$M$297*$W$297</f>
        <v>1078527.7593999999</v>
      </c>
      <c r="AD297" s="6">
        <f>$O$297*$X$297</f>
        <v>498471.32971999998</v>
      </c>
      <c r="AE297" s="6">
        <f>$K$297*$Y$297</f>
        <v>0</v>
      </c>
      <c r="AF297" s="6">
        <f ca="1">$M$297*$Z$297</f>
        <v>1517840.2916234334</v>
      </c>
      <c r="AG297" s="6">
        <f>$O$297*$AA$297</f>
        <v>174205.44876863051</v>
      </c>
    </row>
    <row r="298" spans="1:33" ht="11.25" customHeight="1" x14ac:dyDescent="0.3">
      <c r="A298" s="4" t="s">
        <v>27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44531</v>
      </c>
      <c r="J298" s="6">
        <v>0</v>
      </c>
      <c r="K298" s="6">
        <v>0</v>
      </c>
      <c r="L298" s="6">
        <v>-109.896</v>
      </c>
      <c r="M298" s="6">
        <v>-109.896</v>
      </c>
      <c r="N298" s="6">
        <v>-109.896</v>
      </c>
      <c r="O298" s="6">
        <v>-109.896</v>
      </c>
      <c r="P298" s="6">
        <v>0</v>
      </c>
      <c r="Q298" s="4" t="s">
        <v>26</v>
      </c>
      <c r="R298" s="4">
        <v>0</v>
      </c>
      <c r="S298" s="6">
        <v>0</v>
      </c>
      <c r="T298" s="6">
        <v>18</v>
      </c>
      <c r="U298" s="6">
        <v>42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482.65</v>
      </c>
      <c r="X298" s="6">
        <f>IF(ISERROR(VLOOKUP($U$298,'TAR FIN'!$A$1:$O$85,15,0)),0,VLOOKUP($U$298,'TAR FIN'!$A$1:$O$85,15,0))</f>
        <v>223.07</v>
      </c>
      <c r="Y298" s="6"/>
      <c r="Z298" s="6">
        <f ca="1">('TUSD BE'!$AM$20+'TUSD BF'!$AM$20+'TUSD CVA'!$AM$20)*1</f>
        <v>679.24595390998343</v>
      </c>
      <c r="AA298" s="6">
        <f>('TE BE'!$AB$10+'TE BF'!$AB$10+'TE CVA'!$AB$10)*1</f>
        <v>77.958364182443049</v>
      </c>
      <c r="AB298" s="6">
        <f>$K$298*$V$298</f>
        <v>0</v>
      </c>
      <c r="AC298" s="6">
        <f>$M$298*$W$298</f>
        <v>-53041.304400000001</v>
      </c>
      <c r="AD298" s="6">
        <f>$O$298*$X$298</f>
        <v>-24514.50072</v>
      </c>
      <c r="AE298" s="6">
        <f>$K$298*$Y$298</f>
        <v>0</v>
      </c>
      <c r="AF298" s="6">
        <f ca="1">$M$298*$Z$298</f>
        <v>-74646.41335089154</v>
      </c>
      <c r="AG298" s="6">
        <f>$O$298*$AA$298</f>
        <v>-8567.3123901937615</v>
      </c>
    </row>
    <row r="299" spans="1:33" ht="11.25" customHeight="1" x14ac:dyDescent="0.3">
      <c r="A299" s="4" t="s">
        <v>28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44531</v>
      </c>
      <c r="J299" s="6">
        <v>0</v>
      </c>
      <c r="K299" s="6">
        <v>0</v>
      </c>
      <c r="L299" s="6">
        <v>28.148</v>
      </c>
      <c r="M299" s="6">
        <v>28.148</v>
      </c>
      <c r="N299" s="6">
        <v>28.148</v>
      </c>
      <c r="O299" s="6">
        <v>28.148</v>
      </c>
      <c r="P299" s="6">
        <v>228</v>
      </c>
      <c r="Q299" s="4" t="s">
        <v>26</v>
      </c>
      <c r="R299" s="4">
        <v>0</v>
      </c>
      <c r="S299" s="6">
        <v>0</v>
      </c>
      <c r="T299" s="6">
        <v>18</v>
      </c>
      <c r="U299" s="6">
        <v>42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482.65</v>
      </c>
      <c r="X299" s="6">
        <f>IF(ISERROR(VLOOKUP($U$299,'TAR FIN'!$A$1:$O$85,15,0)),0,VLOOKUP($U$299,'TAR FIN'!$A$1:$O$85,15,0))</f>
        <v>223.07</v>
      </c>
      <c r="Y299" s="6"/>
      <c r="Z299" s="6">
        <f ca="1">('TUSD BE'!$AM$20+'TUSD BF'!$AM$20+'TUSD CVA'!$AM$20)*1</f>
        <v>679.24595390998343</v>
      </c>
      <c r="AA299" s="6">
        <f>('TE BE'!$AB$10+'TE BF'!$AB$10+'TE CVA'!$AB$10)*1</f>
        <v>77.958364182443049</v>
      </c>
      <c r="AB299" s="6">
        <f>$K$299*$V$299</f>
        <v>0</v>
      </c>
      <c r="AC299" s="6">
        <f>$M$299*$W$299</f>
        <v>13585.6322</v>
      </c>
      <c r="AD299" s="6">
        <f>$O$299*$X$299</f>
        <v>6278.9743600000002</v>
      </c>
      <c r="AE299" s="6">
        <f>$K$299*$Y$299</f>
        <v>0</v>
      </c>
      <c r="AF299" s="6">
        <f ca="1">$M$299*$Z$299</f>
        <v>19119.415110658214</v>
      </c>
      <c r="AG299" s="6">
        <f>$O$299*$AA$299</f>
        <v>2194.3720350074068</v>
      </c>
    </row>
    <row r="300" spans="1:33" ht="11.25" customHeight="1" x14ac:dyDescent="0.3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44562</v>
      </c>
      <c r="J300" s="6">
        <v>0</v>
      </c>
      <c r="K300" s="6">
        <v>0</v>
      </c>
      <c r="L300" s="6">
        <v>3119.2469999999998</v>
      </c>
      <c r="M300" s="6">
        <v>3119.2469999999998</v>
      </c>
      <c r="N300" s="6">
        <v>3119.2469999999998</v>
      </c>
      <c r="O300" s="6">
        <v>3119.2469999999998</v>
      </c>
      <c r="P300" s="6">
        <v>13518</v>
      </c>
      <c r="Q300" s="4" t="s">
        <v>26</v>
      </c>
      <c r="R300" s="4">
        <v>0</v>
      </c>
      <c r="S300" s="6">
        <v>0</v>
      </c>
      <c r="T300" s="6">
        <v>18</v>
      </c>
      <c r="U300" s="6">
        <v>42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482.65</v>
      </c>
      <c r="X300" s="6">
        <f>IF(ISERROR(VLOOKUP($U$300,'TAR FIN'!$A$1:$O$85,15,0)),0,VLOOKUP($U$300,'TAR FIN'!$A$1:$O$85,15,0))</f>
        <v>223.07</v>
      </c>
      <c r="Y300" s="6"/>
      <c r="Z300" s="6">
        <f ca="1">('TUSD BE'!$AM$20+'TUSD BF'!$AM$20+'TUSD CVA'!$AM$20)*1</f>
        <v>679.24595390998343</v>
      </c>
      <c r="AA300" s="6">
        <f>('TE BE'!$AB$10+'TE BF'!$AB$10+'TE CVA'!$AB$10)*1</f>
        <v>77.958364182443049</v>
      </c>
      <c r="AB300" s="6">
        <f>$K$300*$V$300</f>
        <v>0</v>
      </c>
      <c r="AC300" s="6">
        <f>$M$300*$W$300</f>
        <v>1505504.5645499998</v>
      </c>
      <c r="AD300" s="6">
        <f>$O$300*$X$300</f>
        <v>695810.42828999995</v>
      </c>
      <c r="AE300" s="6">
        <f>$K$300*$Y$300</f>
        <v>0</v>
      </c>
      <c r="AF300" s="6">
        <f ca="1">$M$300*$Z$300</f>
        <v>2118735.9039958538</v>
      </c>
      <c r="AG300" s="6">
        <f>$O$300*$AA$300</f>
        <v>243171.39360099292</v>
      </c>
    </row>
    <row r="301" spans="1:33" ht="11.25" customHeight="1" x14ac:dyDescent="0.3">
      <c r="A301" s="4" t="s">
        <v>27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44562</v>
      </c>
      <c r="J301" s="6">
        <v>0</v>
      </c>
      <c r="K301" s="6">
        <v>0</v>
      </c>
      <c r="L301" s="6">
        <v>-0.78500000000000003</v>
      </c>
      <c r="M301" s="6">
        <v>-0.78500000000000003</v>
      </c>
      <c r="N301" s="6">
        <v>-0.78500000000000003</v>
      </c>
      <c r="O301" s="6">
        <v>-0.78500000000000003</v>
      </c>
      <c r="P301" s="6">
        <v>0</v>
      </c>
      <c r="Q301" s="4" t="s">
        <v>26</v>
      </c>
      <c r="R301" s="4">
        <v>0</v>
      </c>
      <c r="S301" s="6">
        <v>0</v>
      </c>
      <c r="T301" s="6">
        <v>18</v>
      </c>
      <c r="U301" s="6">
        <v>42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482.65</v>
      </c>
      <c r="X301" s="6">
        <f>IF(ISERROR(VLOOKUP($U$301,'TAR FIN'!$A$1:$O$85,15,0)),0,VLOOKUP($U$301,'TAR FIN'!$A$1:$O$85,15,0))</f>
        <v>223.07</v>
      </c>
      <c r="Y301" s="6"/>
      <c r="Z301" s="6">
        <f ca="1">('TUSD BE'!$AM$20+'TUSD BF'!$AM$20+'TUSD CVA'!$AM$20)*1</f>
        <v>679.24595390998343</v>
      </c>
      <c r="AA301" s="6">
        <f>('TE BE'!$AB$10+'TE BF'!$AB$10+'TE CVA'!$AB$10)*1</f>
        <v>77.958364182443049</v>
      </c>
      <c r="AB301" s="6">
        <f>$K$301*$V$301</f>
        <v>0</v>
      </c>
      <c r="AC301" s="6">
        <f>$M$301*$W$301</f>
        <v>-378.88024999999999</v>
      </c>
      <c r="AD301" s="6">
        <f>$O$301*$X$301</f>
        <v>-175.10995</v>
      </c>
      <c r="AE301" s="6">
        <f>$K$301*$Y$301</f>
        <v>0</v>
      </c>
      <c r="AF301" s="6">
        <f ca="1">$M$301*$Z$301</f>
        <v>-533.20807381933696</v>
      </c>
      <c r="AG301" s="6">
        <f>$O$301*$AA$301</f>
        <v>-61.197315883217797</v>
      </c>
    </row>
    <row r="302" spans="1:33" ht="11.25" customHeight="1" x14ac:dyDescent="0.3">
      <c r="A302" s="4" t="s">
        <v>28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44562</v>
      </c>
      <c r="J302" s="6">
        <v>0</v>
      </c>
      <c r="K302" s="6">
        <v>0</v>
      </c>
      <c r="L302" s="6">
        <v>39.787999999999997</v>
      </c>
      <c r="M302" s="6">
        <v>39.787999999999997</v>
      </c>
      <c r="N302" s="6">
        <v>39.787999999999997</v>
      </c>
      <c r="O302" s="6">
        <v>39.787999999999997</v>
      </c>
      <c r="P302" s="6">
        <v>236</v>
      </c>
      <c r="Q302" s="4" t="s">
        <v>26</v>
      </c>
      <c r="R302" s="4">
        <v>0</v>
      </c>
      <c r="S302" s="6">
        <v>0</v>
      </c>
      <c r="T302" s="6">
        <v>18</v>
      </c>
      <c r="U302" s="6">
        <v>42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482.65</v>
      </c>
      <c r="X302" s="6">
        <f>IF(ISERROR(VLOOKUP($U$302,'TAR FIN'!$A$1:$O$85,15,0)),0,VLOOKUP($U$302,'TAR FIN'!$A$1:$O$85,15,0))</f>
        <v>223.07</v>
      </c>
      <c r="Y302" s="6"/>
      <c r="Z302" s="6">
        <f ca="1">('TUSD BE'!$AM$20+'TUSD BF'!$AM$20+'TUSD CVA'!$AM$20)*1</f>
        <v>679.24595390998343</v>
      </c>
      <c r="AA302" s="6">
        <f>('TE BE'!$AB$10+'TE BF'!$AB$10+'TE CVA'!$AB$10)*1</f>
        <v>77.958364182443049</v>
      </c>
      <c r="AB302" s="6">
        <f>$K$302*$V$302</f>
        <v>0</v>
      </c>
      <c r="AC302" s="6">
        <f>$M$302*$W$302</f>
        <v>19203.678199999998</v>
      </c>
      <c r="AD302" s="6">
        <f>$O$302*$X$302</f>
        <v>8875.5091599999996</v>
      </c>
      <c r="AE302" s="6">
        <f>$K$302*$Y$302</f>
        <v>0</v>
      </c>
      <c r="AF302" s="6">
        <f ca="1">$M$302*$Z$302</f>
        <v>27025.838014170418</v>
      </c>
      <c r="AG302" s="6">
        <f>$O$302*$AA$302</f>
        <v>3101.807394091044</v>
      </c>
    </row>
    <row r="303" spans="1:33" ht="11.25" customHeight="1" x14ac:dyDescent="0.3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44593</v>
      </c>
      <c r="J303" s="6">
        <v>0</v>
      </c>
      <c r="K303" s="6">
        <v>0</v>
      </c>
      <c r="L303" s="6">
        <v>3250.5459999999998</v>
      </c>
      <c r="M303" s="6">
        <v>3250.5459999999998</v>
      </c>
      <c r="N303" s="6">
        <v>3250.5459999999998</v>
      </c>
      <c r="O303" s="6">
        <v>3250.5459999999998</v>
      </c>
      <c r="P303" s="6">
        <v>13567</v>
      </c>
      <c r="Q303" s="4" t="s">
        <v>26</v>
      </c>
      <c r="R303" s="4">
        <v>0</v>
      </c>
      <c r="S303" s="6">
        <v>0</v>
      </c>
      <c r="T303" s="6">
        <v>18</v>
      </c>
      <c r="U303" s="6">
        <v>42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482.65</v>
      </c>
      <c r="X303" s="6">
        <f>IF(ISERROR(VLOOKUP($U$303,'TAR FIN'!$A$1:$O$85,15,0)),0,VLOOKUP($U$303,'TAR FIN'!$A$1:$O$85,15,0))</f>
        <v>223.07</v>
      </c>
      <c r="Y303" s="6"/>
      <c r="Z303" s="6">
        <f ca="1">('TUSD BE'!$AM$20+'TUSD BF'!$AM$20+'TUSD CVA'!$AM$20)*1</f>
        <v>679.24595390998343</v>
      </c>
      <c r="AA303" s="6">
        <f>('TE BE'!$AB$10+'TE BF'!$AB$10+'TE CVA'!$AB$10)*1</f>
        <v>77.958364182443049</v>
      </c>
      <c r="AB303" s="6">
        <f>$K$303*$V$303</f>
        <v>0</v>
      </c>
      <c r="AC303" s="6">
        <f>$M$303*$W$303</f>
        <v>1568876.0268999999</v>
      </c>
      <c r="AD303" s="6">
        <f>$O$303*$X$303</f>
        <v>725099.2962199999</v>
      </c>
      <c r="AE303" s="6">
        <f>$K$303*$Y$303</f>
        <v>0</v>
      </c>
      <c r="AF303" s="6">
        <f ca="1">$M$303*$Z$303</f>
        <v>2207920.2184982807</v>
      </c>
      <c r="AG303" s="6">
        <f>$O$303*$AA$303</f>
        <v>253407.24885978352</v>
      </c>
    </row>
    <row r="304" spans="1:33" ht="11.25" customHeight="1" x14ac:dyDescent="0.3">
      <c r="A304" s="4" t="s">
        <v>27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44593</v>
      </c>
      <c r="J304" s="6">
        <v>0</v>
      </c>
      <c r="K304" s="6">
        <v>0</v>
      </c>
      <c r="L304" s="6">
        <v>-0.84799999999999998</v>
      </c>
      <c r="M304" s="6">
        <v>-0.84799999999999998</v>
      </c>
      <c r="N304" s="6">
        <v>-0.84799999999999998</v>
      </c>
      <c r="O304" s="6">
        <v>-0.84799999999999998</v>
      </c>
      <c r="P304" s="6">
        <v>0</v>
      </c>
      <c r="Q304" s="4" t="s">
        <v>26</v>
      </c>
      <c r="R304" s="4">
        <v>0</v>
      </c>
      <c r="S304" s="6">
        <v>0</v>
      </c>
      <c r="T304" s="6">
        <v>18</v>
      </c>
      <c r="U304" s="6">
        <v>42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482.65</v>
      </c>
      <c r="X304" s="6">
        <f>IF(ISERROR(VLOOKUP($U$304,'TAR FIN'!$A$1:$O$85,15,0)),0,VLOOKUP($U$304,'TAR FIN'!$A$1:$O$85,15,0))</f>
        <v>223.07</v>
      </c>
      <c r="Y304" s="6"/>
      <c r="Z304" s="6">
        <f ca="1">('TUSD BE'!$AM$20+'TUSD BF'!$AM$20+'TUSD CVA'!$AM$20)*1</f>
        <v>679.24595390998343</v>
      </c>
      <c r="AA304" s="6">
        <f>('TE BE'!$AB$10+'TE BF'!$AB$10+'TE CVA'!$AB$10)*1</f>
        <v>77.958364182443049</v>
      </c>
      <c r="AB304" s="6">
        <f>$K$304*$V$304</f>
        <v>0</v>
      </c>
      <c r="AC304" s="6">
        <f>$M$304*$W$304</f>
        <v>-409.28719999999998</v>
      </c>
      <c r="AD304" s="6">
        <f>$O$304*$X$304</f>
        <v>-189.16335999999998</v>
      </c>
      <c r="AE304" s="6">
        <f>$K$304*$Y$304</f>
        <v>0</v>
      </c>
      <c r="AF304" s="6">
        <f ca="1">$M$304*$Z$304</f>
        <v>-576.00056891566589</v>
      </c>
      <c r="AG304" s="6">
        <f>$O$304*$AA$304</f>
        <v>-66.108692826711703</v>
      </c>
    </row>
    <row r="305" spans="1:33" ht="11.25" customHeight="1" x14ac:dyDescent="0.3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44621</v>
      </c>
      <c r="J305" s="6">
        <v>0</v>
      </c>
      <c r="K305" s="6">
        <v>0</v>
      </c>
      <c r="L305" s="6">
        <v>3087.9009999999998</v>
      </c>
      <c r="M305" s="6">
        <v>3087.9009999999998</v>
      </c>
      <c r="N305" s="6">
        <v>3087.9009999999998</v>
      </c>
      <c r="O305" s="6">
        <v>3087.9009999999998</v>
      </c>
      <c r="P305" s="6">
        <v>13653</v>
      </c>
      <c r="Q305" s="4" t="s">
        <v>26</v>
      </c>
      <c r="R305" s="4">
        <v>0</v>
      </c>
      <c r="S305" s="6">
        <v>0</v>
      </c>
      <c r="T305" s="6">
        <v>18</v>
      </c>
      <c r="U305" s="6">
        <v>42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482.65</v>
      </c>
      <c r="X305" s="6">
        <f>IF(ISERROR(VLOOKUP($U$305,'TAR FIN'!$A$1:$O$85,15,0)),0,VLOOKUP($U$305,'TAR FIN'!$A$1:$O$85,15,0))</f>
        <v>223.07</v>
      </c>
      <c r="Y305" s="6"/>
      <c r="Z305" s="6">
        <f ca="1">('TUSD BE'!$AM$20+'TUSD BF'!$AM$20+'TUSD CVA'!$AM$20)*1</f>
        <v>679.24595390998343</v>
      </c>
      <c r="AA305" s="6">
        <f>('TE BE'!$AB$10+'TE BF'!$AB$10+'TE CVA'!$AB$10)*1</f>
        <v>77.958364182443049</v>
      </c>
      <c r="AB305" s="6">
        <f>$K$305*$V$305</f>
        <v>0</v>
      </c>
      <c r="AC305" s="6">
        <f>$M$305*$W$305</f>
        <v>1490375.41765</v>
      </c>
      <c r="AD305" s="6">
        <f>$O$305*$X$305</f>
        <v>688818.07606999995</v>
      </c>
      <c r="AE305" s="6">
        <f>$K$305*$Y$305</f>
        <v>0</v>
      </c>
      <c r="AF305" s="6">
        <f ca="1">$M$305*$Z$305</f>
        <v>2097444.2603245918</v>
      </c>
      <c r="AG305" s="6">
        <f>$O$305*$AA$305</f>
        <v>240727.71071733005</v>
      </c>
    </row>
    <row r="306" spans="1:33" ht="11.25" customHeight="1" x14ac:dyDescent="0.3">
      <c r="A306" s="4" t="s">
        <v>27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44621</v>
      </c>
      <c r="J306" s="6">
        <v>0</v>
      </c>
      <c r="K306" s="6">
        <v>0</v>
      </c>
      <c r="L306" s="6">
        <v>-1.0069999999999999</v>
      </c>
      <c r="M306" s="6">
        <v>-1.0069999999999999</v>
      </c>
      <c r="N306" s="6">
        <v>-1.0069999999999999</v>
      </c>
      <c r="O306" s="6">
        <v>-1.0069999999999999</v>
      </c>
      <c r="P306" s="6">
        <v>0</v>
      </c>
      <c r="Q306" s="4" t="s">
        <v>26</v>
      </c>
      <c r="R306" s="4">
        <v>0</v>
      </c>
      <c r="S306" s="6">
        <v>0</v>
      </c>
      <c r="T306" s="6">
        <v>18</v>
      </c>
      <c r="U306" s="6">
        <v>42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482.65</v>
      </c>
      <c r="X306" s="6">
        <f>IF(ISERROR(VLOOKUP($U$306,'TAR FIN'!$A$1:$O$85,15,0)),0,VLOOKUP($U$306,'TAR FIN'!$A$1:$O$85,15,0))</f>
        <v>223.07</v>
      </c>
      <c r="Y306" s="6"/>
      <c r="Z306" s="6">
        <f ca="1">('TUSD BE'!$AM$20+'TUSD BF'!$AM$20+'TUSD CVA'!$AM$20)*1</f>
        <v>679.24595390998343</v>
      </c>
      <c r="AA306" s="6">
        <f>('TE BE'!$AB$10+'TE BF'!$AB$10+'TE CVA'!$AB$10)*1</f>
        <v>77.958364182443049</v>
      </c>
      <c r="AB306" s="6">
        <f>$K$306*$V$306</f>
        <v>0</v>
      </c>
      <c r="AC306" s="6">
        <f>$M$306*$W$306</f>
        <v>-486.02854999999994</v>
      </c>
      <c r="AD306" s="6">
        <f>$O$306*$X$306</f>
        <v>-224.63148999999996</v>
      </c>
      <c r="AE306" s="6">
        <f>$K$306*$Y$306</f>
        <v>0</v>
      </c>
      <c r="AF306" s="6">
        <f ca="1">$M$306*$Z$306</f>
        <v>-684.00067558735327</v>
      </c>
      <c r="AG306" s="6">
        <f>$O$306*$AA$306</f>
        <v>-78.504072731720143</v>
      </c>
    </row>
    <row r="307" spans="1:33" ht="11.25" customHeight="1" x14ac:dyDescent="0.3">
      <c r="A307" s="4" t="s">
        <v>28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44621</v>
      </c>
      <c r="J307" s="6">
        <v>0</v>
      </c>
      <c r="K307" s="6">
        <v>0</v>
      </c>
      <c r="L307" s="6">
        <v>53.518999999999998</v>
      </c>
      <c r="M307" s="6">
        <v>53.518999999999998</v>
      </c>
      <c r="N307" s="6">
        <v>53.518999999999998</v>
      </c>
      <c r="O307" s="6">
        <v>53.518999999999998</v>
      </c>
      <c r="P307" s="6">
        <v>261</v>
      </c>
      <c r="Q307" s="4" t="s">
        <v>26</v>
      </c>
      <c r="R307" s="4">
        <v>0</v>
      </c>
      <c r="S307" s="6">
        <v>0</v>
      </c>
      <c r="T307" s="6">
        <v>18</v>
      </c>
      <c r="U307" s="6">
        <v>42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482.65</v>
      </c>
      <c r="X307" s="6">
        <f>IF(ISERROR(VLOOKUP($U$307,'TAR FIN'!$A$1:$O$85,15,0)),0,VLOOKUP($U$307,'TAR FIN'!$A$1:$O$85,15,0))</f>
        <v>223.07</v>
      </c>
      <c r="Y307" s="6"/>
      <c r="Z307" s="6">
        <f ca="1">('TUSD BE'!$AM$20+'TUSD BF'!$AM$20+'TUSD CVA'!$AM$20)*1</f>
        <v>679.24595390998343</v>
      </c>
      <c r="AA307" s="6">
        <f>('TE BE'!$AB$10+'TE BF'!$AB$10+'TE CVA'!$AB$10)*1</f>
        <v>77.958364182443049</v>
      </c>
      <c r="AB307" s="6">
        <f>$K$307*$V$307</f>
        <v>0</v>
      </c>
      <c r="AC307" s="6">
        <f>$M$307*$W$307</f>
        <v>25830.945349999998</v>
      </c>
      <c r="AD307" s="6">
        <f>$O$307*$X$307</f>
        <v>11938.483329999999</v>
      </c>
      <c r="AE307" s="6">
        <f>$K$307*$Y$307</f>
        <v>0</v>
      </c>
      <c r="AF307" s="6">
        <f ca="1">$M$307*$Z$307</f>
        <v>36352.564207308402</v>
      </c>
      <c r="AG307" s="6">
        <f>$O$307*$AA$307</f>
        <v>4172.2536926801695</v>
      </c>
    </row>
    <row r="308" spans="1:33" ht="11.25" customHeight="1" x14ac:dyDescent="0.3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44652</v>
      </c>
      <c r="J308" s="6">
        <v>0</v>
      </c>
      <c r="K308" s="6">
        <v>0</v>
      </c>
      <c r="L308" s="6">
        <v>2391.2469999999998</v>
      </c>
      <c r="M308" s="6">
        <v>2391.2469999999998</v>
      </c>
      <c r="N308" s="6">
        <v>2391.2469999999998</v>
      </c>
      <c r="O308" s="6">
        <v>2391.2469999999998</v>
      </c>
      <c r="P308" s="6">
        <v>13640</v>
      </c>
      <c r="Q308" s="4" t="s">
        <v>26</v>
      </c>
      <c r="R308" s="4">
        <v>0</v>
      </c>
      <c r="S308" s="6">
        <v>0</v>
      </c>
      <c r="T308" s="6">
        <v>18</v>
      </c>
      <c r="U308" s="6">
        <v>42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482.65</v>
      </c>
      <c r="X308" s="6">
        <f>IF(ISERROR(VLOOKUP($U$308,'TAR FIN'!$A$1:$O$85,15,0)),0,VLOOKUP($U$308,'TAR FIN'!$A$1:$O$85,15,0))</f>
        <v>223.07</v>
      </c>
      <c r="Y308" s="6"/>
      <c r="Z308" s="6">
        <f ca="1">('TUSD BE'!$AM$20+'TUSD BF'!$AM$20+'TUSD CVA'!$AM$20)*1</f>
        <v>679.24595390998343</v>
      </c>
      <c r="AA308" s="6">
        <f>('TE BE'!$AB$10+'TE BF'!$AB$10+'TE CVA'!$AB$10)*1</f>
        <v>77.958364182443049</v>
      </c>
      <c r="AB308" s="6">
        <f>$K$308*$V$308</f>
        <v>0</v>
      </c>
      <c r="AC308" s="6">
        <f>$M$308*$W$308</f>
        <v>1154135.3645499998</v>
      </c>
      <c r="AD308" s="6">
        <f>$O$308*$X$308</f>
        <v>533415.46828999999</v>
      </c>
      <c r="AE308" s="6">
        <f>$K$308*$Y$308</f>
        <v>0</v>
      </c>
      <c r="AF308" s="6">
        <f ca="1">$M$308*$Z$308</f>
        <v>1624244.849549386</v>
      </c>
      <c r="AG308" s="6">
        <f>$O$308*$AA$308</f>
        <v>186417.70447617437</v>
      </c>
    </row>
    <row r="309" spans="1:33" ht="11.25" customHeight="1" x14ac:dyDescent="0.3">
      <c r="A309" s="4" t="s">
        <v>27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44652</v>
      </c>
      <c r="J309" s="6">
        <v>0</v>
      </c>
      <c r="K309" s="6">
        <v>0</v>
      </c>
      <c r="L309" s="6">
        <v>-1.425</v>
      </c>
      <c r="M309" s="6">
        <v>-1.425</v>
      </c>
      <c r="N309" s="6">
        <v>-1.425</v>
      </c>
      <c r="O309" s="6">
        <v>-1.425</v>
      </c>
      <c r="P309" s="6">
        <v>0</v>
      </c>
      <c r="Q309" s="4" t="s">
        <v>26</v>
      </c>
      <c r="R309" s="4">
        <v>0</v>
      </c>
      <c r="S309" s="6">
        <v>0</v>
      </c>
      <c r="T309" s="6">
        <v>18</v>
      </c>
      <c r="U309" s="6">
        <v>42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482.65</v>
      </c>
      <c r="X309" s="6">
        <f>IF(ISERROR(VLOOKUP($U$309,'TAR FIN'!$A$1:$O$85,15,0)),0,VLOOKUP($U$309,'TAR FIN'!$A$1:$O$85,15,0))</f>
        <v>223.07</v>
      </c>
      <c r="Y309" s="6"/>
      <c r="Z309" s="6">
        <f ca="1">('TUSD BE'!$AM$20+'TUSD BF'!$AM$20+'TUSD CVA'!$AM$20)*1</f>
        <v>679.24595390998343</v>
      </c>
      <c r="AA309" s="6">
        <f>('TE BE'!$AB$10+'TE BF'!$AB$10+'TE CVA'!$AB$10)*1</f>
        <v>77.958364182443049</v>
      </c>
      <c r="AB309" s="6">
        <f>$K$309*$V$309</f>
        <v>0</v>
      </c>
      <c r="AC309" s="6">
        <f>$M$309*$W$309</f>
        <v>-687.77625</v>
      </c>
      <c r="AD309" s="6">
        <f>$O$309*$X$309</f>
        <v>-317.87475000000001</v>
      </c>
      <c r="AE309" s="6">
        <f>$K$309*$Y$309</f>
        <v>0</v>
      </c>
      <c r="AF309" s="6">
        <f ca="1">$M$309*$Z$309</f>
        <v>-967.92548432172646</v>
      </c>
      <c r="AG309" s="6">
        <f>$O$309*$AA$309</f>
        <v>-111.09066895998134</v>
      </c>
    </row>
    <row r="310" spans="1:33" ht="11.25" customHeight="1" x14ac:dyDescent="0.3">
      <c r="A310" s="4" t="s">
        <v>28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44652</v>
      </c>
      <c r="J310" s="6">
        <v>0</v>
      </c>
      <c r="K310" s="6">
        <v>0</v>
      </c>
      <c r="L310" s="6">
        <v>44.313000000000002</v>
      </c>
      <c r="M310" s="6">
        <v>44.313000000000002</v>
      </c>
      <c r="N310" s="6">
        <v>44.313000000000002</v>
      </c>
      <c r="O310" s="6">
        <v>44.313000000000002</v>
      </c>
      <c r="P310" s="6">
        <v>274</v>
      </c>
      <c r="Q310" s="4" t="s">
        <v>26</v>
      </c>
      <c r="R310" s="4">
        <v>0</v>
      </c>
      <c r="S310" s="6">
        <v>0</v>
      </c>
      <c r="T310" s="6">
        <v>18</v>
      </c>
      <c r="U310" s="6">
        <v>42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482.65</v>
      </c>
      <c r="X310" s="6">
        <f>IF(ISERROR(VLOOKUP($U$310,'TAR FIN'!$A$1:$O$85,15,0)),0,VLOOKUP($U$310,'TAR FIN'!$A$1:$O$85,15,0))</f>
        <v>223.07</v>
      </c>
      <c r="Y310" s="6"/>
      <c r="Z310" s="6">
        <f ca="1">('TUSD BE'!$AM$20+'TUSD BF'!$AM$20+'TUSD CVA'!$AM$20)*1</f>
        <v>679.24595390998343</v>
      </c>
      <c r="AA310" s="6">
        <f>('TE BE'!$AB$10+'TE BF'!$AB$10+'TE CVA'!$AB$10)*1</f>
        <v>77.958364182443049</v>
      </c>
      <c r="AB310" s="6">
        <f>$K$310*$V$310</f>
        <v>0</v>
      </c>
      <c r="AC310" s="6">
        <f>$M$310*$W$310</f>
        <v>21387.669450000001</v>
      </c>
      <c r="AD310" s="6">
        <f>$O$310*$X$310</f>
        <v>9884.9009100000003</v>
      </c>
      <c r="AE310" s="6">
        <f>$K$310*$Y$310</f>
        <v>0</v>
      </c>
      <c r="AF310" s="6">
        <f ca="1">$M$310*$Z$310</f>
        <v>30099.425955613096</v>
      </c>
      <c r="AG310" s="6">
        <f>$O$310*$AA$310</f>
        <v>3454.5689920165992</v>
      </c>
    </row>
    <row r="311" spans="1:33" ht="11.25" customHeight="1" x14ac:dyDescent="0.3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24</v>
      </c>
      <c r="F311" s="4" t="s">
        <v>25</v>
      </c>
      <c r="G311" s="4" t="s">
        <v>25</v>
      </c>
      <c r="H311" s="4" t="s">
        <v>25</v>
      </c>
      <c r="I311" s="5">
        <v>44682</v>
      </c>
      <c r="J311" s="6">
        <v>0</v>
      </c>
      <c r="K311" s="6">
        <v>0</v>
      </c>
      <c r="L311" s="6">
        <v>2203.8879999999999</v>
      </c>
      <c r="M311" s="6">
        <v>2203.8879999999999</v>
      </c>
      <c r="N311" s="6">
        <v>2203.8879999999999</v>
      </c>
      <c r="O311" s="6">
        <v>2203.8879999999999</v>
      </c>
      <c r="P311" s="6">
        <v>13601</v>
      </c>
      <c r="Q311" s="4" t="s">
        <v>26</v>
      </c>
      <c r="R311" s="4">
        <v>0</v>
      </c>
      <c r="S311" s="6">
        <v>0</v>
      </c>
      <c r="T311" s="6">
        <v>18</v>
      </c>
      <c r="U311" s="6">
        <v>42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482.65</v>
      </c>
      <c r="X311" s="6">
        <f>IF(ISERROR(VLOOKUP($U$311,'TAR FIN'!$A$1:$O$85,15,0)),0,VLOOKUP($U$311,'TAR FIN'!$A$1:$O$85,15,0))</f>
        <v>223.07</v>
      </c>
      <c r="Y311" s="6"/>
      <c r="Z311" s="6">
        <f ca="1">('TUSD BE'!$AM$20+'TUSD BF'!$AM$20+'TUSD CVA'!$AM$20)*1</f>
        <v>679.24595390998343</v>
      </c>
      <c r="AA311" s="6">
        <f>('TE BE'!$AB$10+'TE BF'!$AB$10+'TE CVA'!$AB$10)*1</f>
        <v>77.958364182443049</v>
      </c>
      <c r="AB311" s="6">
        <f>$K$311*$V$311</f>
        <v>0</v>
      </c>
      <c r="AC311" s="6">
        <f>$M$311*$W$311</f>
        <v>1063706.5432</v>
      </c>
      <c r="AD311" s="6">
        <f>$O$311*$X$311</f>
        <v>491621.29615999997</v>
      </c>
      <c r="AE311" s="6">
        <f>$K$311*$Y$311</f>
        <v>0</v>
      </c>
      <c r="AF311" s="6">
        <f ca="1">$M$311*$Z$311</f>
        <v>1496982.0068707655</v>
      </c>
      <c r="AG311" s="6">
        <f>$O$311*$AA$311</f>
        <v>171811.50332131603</v>
      </c>
    </row>
    <row r="312" spans="1:33" ht="11.25" customHeight="1" x14ac:dyDescent="0.3">
      <c r="A312" s="4" t="s">
        <v>27</v>
      </c>
      <c r="B312" s="4" t="s">
        <v>22</v>
      </c>
      <c r="C312" s="4" t="s">
        <v>23</v>
      </c>
      <c r="D312" s="4" t="s">
        <v>24</v>
      </c>
      <c r="E312" s="4" t="s">
        <v>24</v>
      </c>
      <c r="F312" s="4" t="s">
        <v>25</v>
      </c>
      <c r="G312" s="4" t="s">
        <v>25</v>
      </c>
      <c r="H312" s="4" t="s">
        <v>25</v>
      </c>
      <c r="I312" s="5">
        <v>44682</v>
      </c>
      <c r="J312" s="6">
        <v>0</v>
      </c>
      <c r="K312" s="6">
        <v>0</v>
      </c>
      <c r="L312" s="6">
        <v>-8.6999999999999994E-2</v>
      </c>
      <c r="M312" s="6">
        <v>-8.6999999999999994E-2</v>
      </c>
      <c r="N312" s="6">
        <v>-8.6999999999999994E-2</v>
      </c>
      <c r="O312" s="6">
        <v>-8.6999999999999994E-2</v>
      </c>
      <c r="P312" s="6">
        <v>0</v>
      </c>
      <c r="Q312" s="4" t="s">
        <v>26</v>
      </c>
      <c r="R312" s="4">
        <v>0</v>
      </c>
      <c r="S312" s="6">
        <v>0</v>
      </c>
      <c r="T312" s="6">
        <v>18</v>
      </c>
      <c r="U312" s="6">
        <v>42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482.65</v>
      </c>
      <c r="X312" s="6">
        <f>IF(ISERROR(VLOOKUP($U$312,'TAR FIN'!$A$1:$O$85,15,0)),0,VLOOKUP($U$312,'TAR FIN'!$A$1:$O$85,15,0))</f>
        <v>223.07</v>
      </c>
      <c r="Y312" s="6"/>
      <c r="Z312" s="6">
        <f ca="1">('TUSD BE'!$AM$20+'TUSD BF'!$AM$20+'TUSD CVA'!$AM$20)*1</f>
        <v>679.24595390998343</v>
      </c>
      <c r="AA312" s="6">
        <f>('TE BE'!$AB$10+'TE BF'!$AB$10+'TE CVA'!$AB$10)*1</f>
        <v>77.958364182443049</v>
      </c>
      <c r="AB312" s="6">
        <f>$K$312*$V$312</f>
        <v>0</v>
      </c>
      <c r="AC312" s="6">
        <f>$M$312*$W$312</f>
        <v>-41.990549999999992</v>
      </c>
      <c r="AD312" s="6">
        <f>$O$312*$X$312</f>
        <v>-19.407089999999997</v>
      </c>
      <c r="AE312" s="6">
        <f>$K$312*$Y$312</f>
        <v>0</v>
      </c>
      <c r="AF312" s="6">
        <f ca="1">$M$312*$Z$312</f>
        <v>-59.094397990168552</v>
      </c>
      <c r="AG312" s="6">
        <f>$O$312*$AA$312</f>
        <v>-6.7823776838725447</v>
      </c>
    </row>
    <row r="313" spans="1:33" ht="11.25" customHeight="1" x14ac:dyDescent="0.3">
      <c r="A313" s="4" t="s">
        <v>28</v>
      </c>
      <c r="B313" s="4" t="s">
        <v>22</v>
      </c>
      <c r="C313" s="4" t="s">
        <v>23</v>
      </c>
      <c r="D313" s="4" t="s">
        <v>24</v>
      </c>
      <c r="E313" s="4" t="s">
        <v>24</v>
      </c>
      <c r="F313" s="4" t="s">
        <v>25</v>
      </c>
      <c r="G313" s="4" t="s">
        <v>25</v>
      </c>
      <c r="H313" s="4" t="s">
        <v>25</v>
      </c>
      <c r="I313" s="5">
        <v>44682</v>
      </c>
      <c r="J313" s="6">
        <v>0</v>
      </c>
      <c r="K313" s="6">
        <v>0</v>
      </c>
      <c r="L313" s="6">
        <v>38.017000000000003</v>
      </c>
      <c r="M313" s="6">
        <v>38.017000000000003</v>
      </c>
      <c r="N313" s="6">
        <v>38.017000000000003</v>
      </c>
      <c r="O313" s="6">
        <v>38.017000000000003</v>
      </c>
      <c r="P313" s="6">
        <v>291</v>
      </c>
      <c r="Q313" s="4" t="s">
        <v>26</v>
      </c>
      <c r="R313" s="4">
        <v>0</v>
      </c>
      <c r="S313" s="6">
        <v>0</v>
      </c>
      <c r="T313" s="6">
        <v>18</v>
      </c>
      <c r="U313" s="6">
        <v>42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482.65</v>
      </c>
      <c r="X313" s="6">
        <f>IF(ISERROR(VLOOKUP($U$313,'TAR FIN'!$A$1:$O$85,15,0)),0,VLOOKUP($U$313,'TAR FIN'!$A$1:$O$85,15,0))</f>
        <v>223.07</v>
      </c>
      <c r="Y313" s="6"/>
      <c r="Z313" s="6">
        <f ca="1">('TUSD BE'!$AM$20+'TUSD BF'!$AM$20+'TUSD CVA'!$AM$20)*1</f>
        <v>679.24595390998343</v>
      </c>
      <c r="AA313" s="6">
        <f>('TE BE'!$AB$10+'TE BF'!$AB$10+'TE CVA'!$AB$10)*1</f>
        <v>77.958364182443049</v>
      </c>
      <c r="AB313" s="6">
        <f>$K$313*$V$313</f>
        <v>0</v>
      </c>
      <c r="AC313" s="6">
        <f>$M$313*$W$313</f>
        <v>18348.905050000001</v>
      </c>
      <c r="AD313" s="6">
        <f>$O$313*$X$313</f>
        <v>8480.45219</v>
      </c>
      <c r="AE313" s="6">
        <f>$K$313*$Y$313</f>
        <v>0</v>
      </c>
      <c r="AF313" s="6">
        <f ca="1">$M$313*$Z$313</f>
        <v>25822.89342979584</v>
      </c>
      <c r="AG313" s="6">
        <f>$O$313*$AA$313</f>
        <v>2963.7431311239375</v>
      </c>
    </row>
    <row r="314" spans="1:33" ht="11.25" customHeight="1" x14ac:dyDescent="0.3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24</v>
      </c>
      <c r="F314" s="4" t="s">
        <v>25</v>
      </c>
      <c r="G314" s="4" t="s">
        <v>25</v>
      </c>
      <c r="H314" s="4" t="s">
        <v>25</v>
      </c>
      <c r="I314" s="5">
        <v>44713</v>
      </c>
      <c r="J314" s="6">
        <v>0</v>
      </c>
      <c r="K314" s="6">
        <v>0</v>
      </c>
      <c r="L314" s="6">
        <v>2254.5949999999998</v>
      </c>
      <c r="M314" s="6">
        <v>2254.5949999999998</v>
      </c>
      <c r="N314" s="6">
        <v>2254.5949999999998</v>
      </c>
      <c r="O314" s="6">
        <v>2254.5949999999998</v>
      </c>
      <c r="P314" s="6">
        <v>13596</v>
      </c>
      <c r="Q314" s="4" t="s">
        <v>26</v>
      </c>
      <c r="R314" s="4">
        <v>0</v>
      </c>
      <c r="S314" s="6">
        <v>0</v>
      </c>
      <c r="T314" s="6">
        <v>18</v>
      </c>
      <c r="U314" s="6">
        <v>42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482.65</v>
      </c>
      <c r="X314" s="6">
        <f>IF(ISERROR(VLOOKUP($U$314,'TAR FIN'!$A$1:$O$85,15,0)),0,VLOOKUP($U$314,'TAR FIN'!$A$1:$O$85,15,0))</f>
        <v>223.07</v>
      </c>
      <c r="Y314" s="6"/>
      <c r="Z314" s="6">
        <f ca="1">('TUSD BE'!$AM$20+'TUSD BF'!$AM$20+'TUSD CVA'!$AM$20)*1</f>
        <v>679.24595390998343</v>
      </c>
      <c r="AA314" s="6">
        <f>('TE BE'!$AB$10+'TE BF'!$AB$10+'TE CVA'!$AB$10)*1</f>
        <v>77.958364182443049</v>
      </c>
      <c r="AB314" s="6">
        <f>$K$314*$V$314</f>
        <v>0</v>
      </c>
      <c r="AC314" s="6">
        <f>$M$314*$W$314</f>
        <v>1088180.27675</v>
      </c>
      <c r="AD314" s="6">
        <f>$O$314*$X$314</f>
        <v>502932.50664999994</v>
      </c>
      <c r="AE314" s="6">
        <f>$K$314*$Y$314</f>
        <v>0</v>
      </c>
      <c r="AF314" s="6">
        <f ca="1">$M$314*$Z$314</f>
        <v>1531424.5314556789</v>
      </c>
      <c r="AG314" s="6">
        <f>$O$314*$AA$314</f>
        <v>175764.53809391518</v>
      </c>
    </row>
    <row r="315" spans="1:33" ht="11.25" customHeight="1" x14ac:dyDescent="0.3">
      <c r="A315" s="4" t="s">
        <v>27</v>
      </c>
      <c r="B315" s="4" t="s">
        <v>22</v>
      </c>
      <c r="C315" s="4" t="s">
        <v>23</v>
      </c>
      <c r="D315" s="4" t="s">
        <v>24</v>
      </c>
      <c r="E315" s="4" t="s">
        <v>24</v>
      </c>
      <c r="F315" s="4" t="s">
        <v>25</v>
      </c>
      <c r="G315" s="4" t="s">
        <v>25</v>
      </c>
      <c r="H315" s="4" t="s">
        <v>25</v>
      </c>
      <c r="I315" s="5">
        <v>44713</v>
      </c>
      <c r="J315" s="6">
        <v>0</v>
      </c>
      <c r="K315" s="6">
        <v>0</v>
      </c>
      <c r="L315" s="6">
        <v>-1.488</v>
      </c>
      <c r="M315" s="6">
        <v>-1.488</v>
      </c>
      <c r="N315" s="6">
        <v>-1.488</v>
      </c>
      <c r="O315" s="6">
        <v>-1.488</v>
      </c>
      <c r="P315" s="6">
        <v>0</v>
      </c>
      <c r="Q315" s="4" t="s">
        <v>26</v>
      </c>
      <c r="R315" s="4">
        <v>0</v>
      </c>
      <c r="S315" s="6">
        <v>0</v>
      </c>
      <c r="T315" s="6">
        <v>18</v>
      </c>
      <c r="U315" s="6">
        <v>42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482.65</v>
      </c>
      <c r="X315" s="6">
        <f>IF(ISERROR(VLOOKUP($U$315,'TAR FIN'!$A$1:$O$85,15,0)),0,VLOOKUP($U$315,'TAR FIN'!$A$1:$O$85,15,0))</f>
        <v>223.07</v>
      </c>
      <c r="Y315" s="6"/>
      <c r="Z315" s="6">
        <f ca="1">('TUSD BE'!$AM$20+'TUSD BF'!$AM$20+'TUSD CVA'!$AM$20)*1</f>
        <v>679.24595390998343</v>
      </c>
      <c r="AA315" s="6">
        <f>('TE BE'!$AB$10+'TE BF'!$AB$10+'TE CVA'!$AB$10)*1</f>
        <v>77.958364182443049</v>
      </c>
      <c r="AB315" s="6">
        <f>$K$315*$V$315</f>
        <v>0</v>
      </c>
      <c r="AC315" s="6">
        <f>$M$315*$W$315</f>
        <v>-718.18319999999994</v>
      </c>
      <c r="AD315" s="6">
        <f>$O$315*$X$315</f>
        <v>-331.92815999999999</v>
      </c>
      <c r="AE315" s="6">
        <f>$K$315*$Y$315</f>
        <v>0</v>
      </c>
      <c r="AF315" s="6">
        <f ca="1">$M$315*$Z$315</f>
        <v>-1010.7179794180553</v>
      </c>
      <c r="AG315" s="6">
        <f>$O$315*$AA$315</f>
        <v>-116.00204590347525</v>
      </c>
    </row>
    <row r="316" spans="1:33" ht="11.25" customHeight="1" x14ac:dyDescent="0.3">
      <c r="A316" s="4" t="s">
        <v>28</v>
      </c>
      <c r="B316" s="4" t="s">
        <v>22</v>
      </c>
      <c r="C316" s="4" t="s">
        <v>23</v>
      </c>
      <c r="D316" s="4" t="s">
        <v>24</v>
      </c>
      <c r="E316" s="4" t="s">
        <v>24</v>
      </c>
      <c r="F316" s="4" t="s">
        <v>25</v>
      </c>
      <c r="G316" s="4" t="s">
        <v>25</v>
      </c>
      <c r="H316" s="4" t="s">
        <v>25</v>
      </c>
      <c r="I316" s="5">
        <v>44713</v>
      </c>
      <c r="J316" s="6">
        <v>0</v>
      </c>
      <c r="K316" s="6">
        <v>0</v>
      </c>
      <c r="L316" s="6">
        <v>55.933999999999997</v>
      </c>
      <c r="M316" s="6">
        <v>55.933999999999997</v>
      </c>
      <c r="N316" s="6">
        <v>55.933999999999997</v>
      </c>
      <c r="O316" s="6">
        <v>55.933999999999997</v>
      </c>
      <c r="P316" s="6">
        <v>296</v>
      </c>
      <c r="Q316" s="4" t="s">
        <v>26</v>
      </c>
      <c r="R316" s="4">
        <v>0</v>
      </c>
      <c r="S316" s="6">
        <v>0</v>
      </c>
      <c r="T316" s="6">
        <v>18</v>
      </c>
      <c r="U316" s="6">
        <v>42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482.65</v>
      </c>
      <c r="X316" s="6">
        <f>IF(ISERROR(VLOOKUP($U$316,'TAR FIN'!$A$1:$O$85,15,0)),0,VLOOKUP($U$316,'TAR FIN'!$A$1:$O$85,15,0))</f>
        <v>223.07</v>
      </c>
      <c r="Y316" s="6"/>
      <c r="Z316" s="6">
        <f ca="1">('TUSD BE'!$AM$20+'TUSD BF'!$AM$20+'TUSD CVA'!$AM$20)*1</f>
        <v>679.24595390998343</v>
      </c>
      <c r="AA316" s="6">
        <f>('TE BE'!$AB$10+'TE BF'!$AB$10+'TE CVA'!$AB$10)*1</f>
        <v>77.958364182443049</v>
      </c>
      <c r="AB316" s="6">
        <f>$K$316*$V$316</f>
        <v>0</v>
      </c>
      <c r="AC316" s="6">
        <f>$M$316*$W$316</f>
        <v>26996.545099999996</v>
      </c>
      <c r="AD316" s="6">
        <f>$O$316*$X$316</f>
        <v>12477.19738</v>
      </c>
      <c r="AE316" s="6">
        <f>$K$316*$Y$316</f>
        <v>0</v>
      </c>
      <c r="AF316" s="6">
        <f ca="1">$M$316*$Z$316</f>
        <v>37992.943186001008</v>
      </c>
      <c r="AG316" s="6">
        <f>$O$316*$AA$316</f>
        <v>4360.5231421807694</v>
      </c>
    </row>
    <row r="317" spans="1:33" ht="11.25" customHeight="1" x14ac:dyDescent="0.3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24</v>
      </c>
      <c r="F317" s="4" t="s">
        <v>25</v>
      </c>
      <c r="G317" s="4" t="s">
        <v>25</v>
      </c>
      <c r="H317" s="4" t="s">
        <v>25</v>
      </c>
      <c r="I317" s="5">
        <v>44743</v>
      </c>
      <c r="J317" s="6">
        <v>0</v>
      </c>
      <c r="K317" s="6">
        <v>0</v>
      </c>
      <c r="L317" s="6">
        <v>1975.5319999999999</v>
      </c>
      <c r="M317" s="6">
        <v>1975.5319999999999</v>
      </c>
      <c r="N317" s="6">
        <v>1975.5319999999999</v>
      </c>
      <c r="O317" s="6">
        <v>1975.5319999999999</v>
      </c>
      <c r="P317" s="6">
        <v>13580</v>
      </c>
      <c r="Q317" s="4" t="s">
        <v>26</v>
      </c>
      <c r="R317" s="4">
        <v>0</v>
      </c>
      <c r="S317" s="6">
        <v>0</v>
      </c>
      <c r="T317" s="6">
        <v>18</v>
      </c>
      <c r="U317" s="6">
        <v>42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482.65</v>
      </c>
      <c r="X317" s="6">
        <f>IF(ISERROR(VLOOKUP($U$317,'TAR FIN'!$A$1:$O$85,15,0)),0,VLOOKUP($U$317,'TAR FIN'!$A$1:$O$85,15,0))</f>
        <v>223.07</v>
      </c>
      <c r="Y317" s="6"/>
      <c r="Z317" s="6">
        <f ca="1">('TUSD BE'!$AM$20+'TUSD BF'!$AM$20+'TUSD CVA'!$AM$20)*1</f>
        <v>679.24595390998343</v>
      </c>
      <c r="AA317" s="6">
        <f>('TE BE'!$AB$10+'TE BF'!$AB$10+'TE CVA'!$AB$10)*1</f>
        <v>77.958364182443049</v>
      </c>
      <c r="AB317" s="6">
        <f>$K$317*$V$317</f>
        <v>0</v>
      </c>
      <c r="AC317" s="6">
        <f>$M$317*$W$317</f>
        <v>953490.51979999989</v>
      </c>
      <c r="AD317" s="6">
        <f>$O$317*$X$317</f>
        <v>440681.92323999997</v>
      </c>
      <c r="AE317" s="6">
        <f>$K$317*$Y$317</f>
        <v>0</v>
      </c>
      <c r="AF317" s="6">
        <f ca="1">$M$317*$Z$317</f>
        <v>1341872.1178196974</v>
      </c>
      <c r="AG317" s="6">
        <f>$O$317*$AA$317</f>
        <v>154009.24311007006</v>
      </c>
    </row>
    <row r="318" spans="1:33" ht="11.25" customHeight="1" x14ac:dyDescent="0.3">
      <c r="A318" s="4" t="s">
        <v>27</v>
      </c>
      <c r="B318" s="4" t="s">
        <v>22</v>
      </c>
      <c r="C318" s="4" t="s">
        <v>23</v>
      </c>
      <c r="D318" s="4" t="s">
        <v>24</v>
      </c>
      <c r="E318" s="4" t="s">
        <v>24</v>
      </c>
      <c r="F318" s="4" t="s">
        <v>25</v>
      </c>
      <c r="G318" s="4" t="s">
        <v>25</v>
      </c>
      <c r="H318" s="4" t="s">
        <v>25</v>
      </c>
      <c r="I318" s="5">
        <v>44743</v>
      </c>
      <c r="J318" s="6">
        <v>0</v>
      </c>
      <c r="K318" s="6">
        <v>0</v>
      </c>
      <c r="L318" s="6">
        <v>-0.36</v>
      </c>
      <c r="M318" s="6">
        <v>-0.36</v>
      </c>
      <c r="N318" s="6">
        <v>-0.36</v>
      </c>
      <c r="O318" s="6">
        <v>-0.36</v>
      </c>
      <c r="P318" s="6">
        <v>0</v>
      </c>
      <c r="Q318" s="4" t="s">
        <v>26</v>
      </c>
      <c r="R318" s="4">
        <v>0</v>
      </c>
      <c r="S318" s="6">
        <v>0</v>
      </c>
      <c r="T318" s="6">
        <v>18</v>
      </c>
      <c r="U318" s="6">
        <v>42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482.65</v>
      </c>
      <c r="X318" s="6">
        <f>IF(ISERROR(VLOOKUP($U$318,'TAR FIN'!$A$1:$O$85,15,0)),0,VLOOKUP($U$318,'TAR FIN'!$A$1:$O$85,15,0))</f>
        <v>223.07</v>
      </c>
      <c r="Y318" s="6"/>
      <c r="Z318" s="6">
        <f ca="1">('TUSD BE'!$AM$20+'TUSD BF'!$AM$20+'TUSD CVA'!$AM$20)*1</f>
        <v>679.24595390998343</v>
      </c>
      <c r="AA318" s="6">
        <f>('TE BE'!$AB$10+'TE BF'!$AB$10+'TE CVA'!$AB$10)*1</f>
        <v>77.958364182443049</v>
      </c>
      <c r="AB318" s="6">
        <f>$K$318*$V$318</f>
        <v>0</v>
      </c>
      <c r="AC318" s="6">
        <f>$M$318*$W$318</f>
        <v>-173.75399999999999</v>
      </c>
      <c r="AD318" s="6">
        <f>$O$318*$X$318</f>
        <v>-80.305199999999999</v>
      </c>
      <c r="AE318" s="6">
        <f>$K$318*$Y$318</f>
        <v>0</v>
      </c>
      <c r="AF318" s="6">
        <f ca="1">$M$318*$Z$318</f>
        <v>-244.52854340759401</v>
      </c>
      <c r="AG318" s="6">
        <f>$O$318*$AA$318</f>
        <v>-28.065011105679496</v>
      </c>
    </row>
    <row r="319" spans="1:33" ht="11.25" customHeight="1" x14ac:dyDescent="0.3">
      <c r="A319" s="4" t="s">
        <v>28</v>
      </c>
      <c r="B319" s="4" t="s">
        <v>22</v>
      </c>
      <c r="C319" s="4" t="s">
        <v>23</v>
      </c>
      <c r="D319" s="4" t="s">
        <v>24</v>
      </c>
      <c r="E319" s="4" t="s">
        <v>24</v>
      </c>
      <c r="F319" s="4" t="s">
        <v>25</v>
      </c>
      <c r="G319" s="4" t="s">
        <v>25</v>
      </c>
      <c r="H319" s="4" t="s">
        <v>25</v>
      </c>
      <c r="I319" s="5">
        <v>44743</v>
      </c>
      <c r="J319" s="6">
        <v>0</v>
      </c>
      <c r="K319" s="6">
        <v>0</v>
      </c>
      <c r="L319" s="6">
        <v>49.317999999999998</v>
      </c>
      <c r="M319" s="6">
        <v>49.317999999999998</v>
      </c>
      <c r="N319" s="6">
        <v>49.317999999999998</v>
      </c>
      <c r="O319" s="6">
        <v>49.317999999999998</v>
      </c>
      <c r="P319" s="6">
        <v>314</v>
      </c>
      <c r="Q319" s="4" t="s">
        <v>26</v>
      </c>
      <c r="R319" s="4">
        <v>0</v>
      </c>
      <c r="S319" s="6">
        <v>0</v>
      </c>
      <c r="T319" s="6">
        <v>18</v>
      </c>
      <c r="U319" s="6">
        <v>42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482.65</v>
      </c>
      <c r="X319" s="6">
        <f>IF(ISERROR(VLOOKUP($U$319,'TAR FIN'!$A$1:$O$85,15,0)),0,VLOOKUP($U$319,'TAR FIN'!$A$1:$O$85,15,0))</f>
        <v>223.07</v>
      </c>
      <c r="Y319" s="6"/>
      <c r="Z319" s="6">
        <f ca="1">('TUSD BE'!$AM$20+'TUSD BF'!$AM$20+'TUSD CVA'!$AM$20)*1</f>
        <v>679.24595390998343</v>
      </c>
      <c r="AA319" s="6">
        <f>('TE BE'!$AB$10+'TE BF'!$AB$10+'TE CVA'!$AB$10)*1</f>
        <v>77.958364182443049</v>
      </c>
      <c r="AB319" s="6">
        <f>$K$319*$V$319</f>
        <v>0</v>
      </c>
      <c r="AC319" s="6">
        <f>$M$319*$W$319</f>
        <v>23803.332699999999</v>
      </c>
      <c r="AD319" s="6">
        <f>$O$319*$X$319</f>
        <v>11001.366259999999</v>
      </c>
      <c r="AE319" s="6">
        <f>$K$319*$Y$319</f>
        <v>0</v>
      </c>
      <c r="AF319" s="6">
        <f ca="1">$M$319*$Z$319</f>
        <v>33499.051954932562</v>
      </c>
      <c r="AG319" s="6">
        <f>$O$319*$AA$319</f>
        <v>3844.7506047497259</v>
      </c>
    </row>
    <row r="320" spans="1:33" ht="11.25" customHeight="1" x14ac:dyDescent="0.3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24</v>
      </c>
      <c r="F320" s="4" t="s">
        <v>25</v>
      </c>
      <c r="G320" s="4" t="s">
        <v>25</v>
      </c>
      <c r="H320" s="4" t="s">
        <v>25</v>
      </c>
      <c r="I320" s="5">
        <v>44774</v>
      </c>
      <c r="J320" s="6">
        <v>0</v>
      </c>
      <c r="K320" s="6">
        <v>0</v>
      </c>
      <c r="L320" s="6">
        <v>2253.9299999999998</v>
      </c>
      <c r="M320" s="6">
        <v>2253.9299999999998</v>
      </c>
      <c r="N320" s="6">
        <v>2253.9299999999998</v>
      </c>
      <c r="O320" s="6">
        <v>2253.9299999999998</v>
      </c>
      <c r="P320" s="6">
        <v>13661</v>
      </c>
      <c r="Q320" s="4" t="s">
        <v>26</v>
      </c>
      <c r="R320" s="4">
        <v>0</v>
      </c>
      <c r="S320" s="6">
        <v>0</v>
      </c>
      <c r="T320" s="6">
        <v>18</v>
      </c>
      <c r="U320" s="6">
        <v>42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482.65</v>
      </c>
      <c r="X320" s="6">
        <f>IF(ISERROR(VLOOKUP($U$320,'TAR FIN'!$A$1:$O$85,15,0)),0,VLOOKUP($U$320,'TAR FIN'!$A$1:$O$85,15,0))</f>
        <v>223.07</v>
      </c>
      <c r="Y320" s="6"/>
      <c r="Z320" s="6">
        <f ca="1">('TUSD BE'!$AM$20+'TUSD BF'!$AM$20+'TUSD CVA'!$AM$20)*1</f>
        <v>679.24595390998343</v>
      </c>
      <c r="AA320" s="6">
        <f>('TE BE'!$AB$10+'TE BF'!$AB$10+'TE CVA'!$AB$10)*1</f>
        <v>77.958364182443049</v>
      </c>
      <c r="AB320" s="6">
        <f>$K$320*$V$320</f>
        <v>0</v>
      </c>
      <c r="AC320" s="6">
        <f>$M$320*$W$320</f>
        <v>1087859.3144999999</v>
      </c>
      <c r="AD320" s="6">
        <f>$O$320*$X$320</f>
        <v>502784.16509999993</v>
      </c>
      <c r="AE320" s="6">
        <f>$K$320*$Y$320</f>
        <v>0</v>
      </c>
      <c r="AF320" s="6">
        <f ca="1">$M$320*$Z$320</f>
        <v>1530972.8328963288</v>
      </c>
      <c r="AG320" s="6">
        <f>$O$320*$AA$320</f>
        <v>175712.69578173384</v>
      </c>
    </row>
    <row r="321" spans="1:33" ht="11.25" customHeight="1" x14ac:dyDescent="0.3">
      <c r="A321" s="4" t="s">
        <v>28</v>
      </c>
      <c r="B321" s="4" t="s">
        <v>22</v>
      </c>
      <c r="C321" s="4" t="s">
        <v>23</v>
      </c>
      <c r="D321" s="4" t="s">
        <v>24</v>
      </c>
      <c r="E321" s="4" t="s">
        <v>24</v>
      </c>
      <c r="F321" s="4" t="s">
        <v>25</v>
      </c>
      <c r="G321" s="4" t="s">
        <v>25</v>
      </c>
      <c r="H321" s="4" t="s">
        <v>25</v>
      </c>
      <c r="I321" s="5">
        <v>44774</v>
      </c>
      <c r="J321" s="6">
        <v>0</v>
      </c>
      <c r="K321" s="6">
        <v>0</v>
      </c>
      <c r="L321" s="6">
        <v>50.036000000000001</v>
      </c>
      <c r="M321" s="6">
        <v>50.036000000000001</v>
      </c>
      <c r="N321" s="6">
        <v>50.036000000000001</v>
      </c>
      <c r="O321" s="6">
        <v>50.036000000000001</v>
      </c>
      <c r="P321" s="6">
        <v>335</v>
      </c>
      <c r="Q321" s="4" t="s">
        <v>26</v>
      </c>
      <c r="R321" s="4">
        <v>0</v>
      </c>
      <c r="S321" s="6">
        <v>0</v>
      </c>
      <c r="T321" s="6">
        <v>18</v>
      </c>
      <c r="U321" s="6">
        <v>42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482.65</v>
      </c>
      <c r="X321" s="6">
        <f>IF(ISERROR(VLOOKUP($U$321,'TAR FIN'!$A$1:$O$85,15,0)),0,VLOOKUP($U$321,'TAR FIN'!$A$1:$O$85,15,0))</f>
        <v>223.07</v>
      </c>
      <c r="Y321" s="6"/>
      <c r="Z321" s="6">
        <f ca="1">('TUSD BE'!$AM$20+'TUSD BF'!$AM$20+'TUSD CVA'!$AM$20)*1</f>
        <v>679.24595390998343</v>
      </c>
      <c r="AA321" s="6">
        <f>('TE BE'!$AB$10+'TE BF'!$AB$10+'TE CVA'!$AB$10)*1</f>
        <v>77.958364182443049</v>
      </c>
      <c r="AB321" s="6">
        <f>$K$321*$V$321</f>
        <v>0</v>
      </c>
      <c r="AC321" s="6">
        <f>$M$321*$W$321</f>
        <v>24149.875400000001</v>
      </c>
      <c r="AD321" s="6">
        <f>$O$321*$X$321</f>
        <v>11161.53052</v>
      </c>
      <c r="AE321" s="6">
        <f>$K$321*$Y$321</f>
        <v>0</v>
      </c>
      <c r="AF321" s="6">
        <f ca="1">$M$321*$Z$321</f>
        <v>33986.750549839933</v>
      </c>
      <c r="AG321" s="6">
        <f>$O$321*$AA$321</f>
        <v>3900.7247102327206</v>
      </c>
    </row>
    <row r="322" spans="1:33" ht="11.25" customHeight="1" x14ac:dyDescent="0.3">
      <c r="A322" s="4" t="s">
        <v>21</v>
      </c>
      <c r="B322" s="4" t="s">
        <v>22</v>
      </c>
      <c r="C322" s="4" t="s">
        <v>23</v>
      </c>
      <c r="D322" s="4" t="s">
        <v>24</v>
      </c>
      <c r="E322" s="4" t="s">
        <v>29</v>
      </c>
      <c r="F322" s="4" t="s">
        <v>25</v>
      </c>
      <c r="G322" s="4" t="s">
        <v>25</v>
      </c>
      <c r="H322" s="4" t="s">
        <v>25</v>
      </c>
      <c r="I322" s="5">
        <v>44440</v>
      </c>
      <c r="J322" s="6">
        <v>0</v>
      </c>
      <c r="K322" s="6">
        <v>0</v>
      </c>
      <c r="L322" s="6">
        <v>5.7</v>
      </c>
      <c r="M322" s="6">
        <v>5.7</v>
      </c>
      <c r="N322" s="6">
        <v>5.7</v>
      </c>
      <c r="O322" s="6">
        <v>5.7</v>
      </c>
      <c r="P322" s="6">
        <v>11</v>
      </c>
      <c r="Q322" s="4" t="s">
        <v>26</v>
      </c>
      <c r="R322" s="4">
        <v>0</v>
      </c>
      <c r="S322" s="6">
        <v>0</v>
      </c>
      <c r="T322" s="6">
        <v>13</v>
      </c>
      <c r="U322" s="6">
        <v>68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146.74</v>
      </c>
      <c r="X322" s="6">
        <f>IF(ISERROR(VLOOKUP($U$322,'TAR FIN'!$A$1:$O$85,15,0)),0,VLOOKUP($U$322,'TAR FIN'!$A$1:$O$85,15,0))</f>
        <v>78.069999999999993</v>
      </c>
      <c r="Y322" s="6"/>
      <c r="Z322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2" s="6">
        <f>('TE BE'!$AB$11+'TE BF'!$AB$11+'TE CVA'!$AB$11)*(1-CUSTOS!$M$34)</f>
        <v>27.285427463855065</v>
      </c>
      <c r="AB322" s="6">
        <f>$K$322*$V$322</f>
        <v>0</v>
      </c>
      <c r="AC322" s="6">
        <f>$M$322*$W$322</f>
        <v>836.41800000000012</v>
      </c>
      <c r="AD322" s="6">
        <f>$O$322*$X$322</f>
        <v>444.99899999999997</v>
      </c>
      <c r="AE322" s="6">
        <f>$K$322*$Y$322</f>
        <v>0</v>
      </c>
      <c r="AF322" s="6">
        <f ca="1">$M$322*$Z$322</f>
        <v>1152.6037404911829</v>
      </c>
      <c r="AG322" s="6">
        <f>$O$322*$AA$322</f>
        <v>155.52693654397387</v>
      </c>
    </row>
    <row r="323" spans="1:33" ht="11.25" customHeight="1" x14ac:dyDescent="0.3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29</v>
      </c>
      <c r="F323" s="4" t="s">
        <v>25</v>
      </c>
      <c r="G323" s="4" t="s">
        <v>25</v>
      </c>
      <c r="H323" s="4" t="s">
        <v>25</v>
      </c>
      <c r="I323" s="5">
        <v>44470</v>
      </c>
      <c r="J323" s="6">
        <v>0</v>
      </c>
      <c r="K323" s="6">
        <v>0</v>
      </c>
      <c r="L323" s="6">
        <v>5.7</v>
      </c>
      <c r="M323" s="6">
        <v>5.7</v>
      </c>
      <c r="N323" s="6">
        <v>5.7</v>
      </c>
      <c r="O323" s="6">
        <v>5.7</v>
      </c>
      <c r="P323" s="6">
        <v>9</v>
      </c>
      <c r="Q323" s="4" t="s">
        <v>26</v>
      </c>
      <c r="R323" s="4">
        <v>0</v>
      </c>
      <c r="S323" s="6">
        <v>0</v>
      </c>
      <c r="T323" s="6">
        <v>13</v>
      </c>
      <c r="U323" s="6">
        <v>68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146.74</v>
      </c>
      <c r="X323" s="6">
        <f>IF(ISERROR(VLOOKUP($U$323,'TAR FIN'!$A$1:$O$85,15,0)),0,VLOOKUP($U$323,'TAR FIN'!$A$1:$O$85,15,0))</f>
        <v>78.069999999999993</v>
      </c>
      <c r="Y323" s="6"/>
      <c r="Z323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3" s="6">
        <f>('TE BE'!$AB$11+'TE BF'!$AB$11+'TE CVA'!$AB$11)*(1-CUSTOS!$M$34)</f>
        <v>27.285427463855065</v>
      </c>
      <c r="AB323" s="6">
        <f>$K$323*$V$323</f>
        <v>0</v>
      </c>
      <c r="AC323" s="6">
        <f>$M$323*$W$323</f>
        <v>836.41800000000012</v>
      </c>
      <c r="AD323" s="6">
        <f>$O$323*$X$323</f>
        <v>444.99899999999997</v>
      </c>
      <c r="AE323" s="6">
        <f>$K$323*$Y$323</f>
        <v>0</v>
      </c>
      <c r="AF323" s="6">
        <f ca="1">$M$323*$Z$323</f>
        <v>1152.6037404911829</v>
      </c>
      <c r="AG323" s="6">
        <f>$O$323*$AA$323</f>
        <v>155.52693654397387</v>
      </c>
    </row>
    <row r="324" spans="1:33" ht="11.25" customHeight="1" x14ac:dyDescent="0.3">
      <c r="A324" s="4" t="s">
        <v>21</v>
      </c>
      <c r="B324" s="4" t="s">
        <v>22</v>
      </c>
      <c r="C324" s="4" t="s">
        <v>23</v>
      </c>
      <c r="D324" s="4" t="s">
        <v>24</v>
      </c>
      <c r="E324" s="4" t="s">
        <v>29</v>
      </c>
      <c r="F324" s="4" t="s">
        <v>25</v>
      </c>
      <c r="G324" s="4" t="s">
        <v>25</v>
      </c>
      <c r="H324" s="4" t="s">
        <v>25</v>
      </c>
      <c r="I324" s="5">
        <v>44501</v>
      </c>
      <c r="J324" s="6">
        <v>0</v>
      </c>
      <c r="K324" s="6">
        <v>0</v>
      </c>
      <c r="L324" s="6">
        <v>5.82</v>
      </c>
      <c r="M324" s="6">
        <v>5.82</v>
      </c>
      <c r="N324" s="6">
        <v>5.82</v>
      </c>
      <c r="O324" s="6">
        <v>5.82</v>
      </c>
      <c r="P324" s="6">
        <v>6</v>
      </c>
      <c r="Q324" s="4" t="s">
        <v>26</v>
      </c>
      <c r="R324" s="4">
        <v>0</v>
      </c>
      <c r="S324" s="6">
        <v>0</v>
      </c>
      <c r="T324" s="6">
        <v>13</v>
      </c>
      <c r="U324" s="6">
        <v>68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146.74</v>
      </c>
      <c r="X324" s="6">
        <f>IF(ISERROR(VLOOKUP($U$324,'TAR FIN'!$A$1:$O$85,15,0)),0,VLOOKUP($U$324,'TAR FIN'!$A$1:$O$85,15,0))</f>
        <v>78.069999999999993</v>
      </c>
      <c r="Y324" s="6"/>
      <c r="Z324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4" s="6">
        <f>('TE BE'!$AB$11+'TE BF'!$AB$11+'TE CVA'!$AB$11)*(1-CUSTOS!$M$34)</f>
        <v>27.285427463855065</v>
      </c>
      <c r="AB324" s="6">
        <f>$K$324*$V$324</f>
        <v>0</v>
      </c>
      <c r="AC324" s="6">
        <f>$M$324*$W$324</f>
        <v>854.02680000000009</v>
      </c>
      <c r="AD324" s="6">
        <f>$O$324*$X$324</f>
        <v>454.36739999999998</v>
      </c>
      <c r="AE324" s="6">
        <f>$K$324*$Y$324</f>
        <v>0</v>
      </c>
      <c r="AF324" s="6">
        <f ca="1">$M$324*$Z$324</f>
        <v>1176.8690823962604</v>
      </c>
      <c r="AG324" s="6">
        <f>$O$324*$AA$324</f>
        <v>158.8011878396365</v>
      </c>
    </row>
    <row r="325" spans="1:33" ht="11.25" customHeight="1" x14ac:dyDescent="0.3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44531</v>
      </c>
      <c r="J325" s="6">
        <v>0</v>
      </c>
      <c r="K325" s="6">
        <v>0</v>
      </c>
      <c r="L325" s="6">
        <v>5.79</v>
      </c>
      <c r="M325" s="6">
        <v>5.79</v>
      </c>
      <c r="N325" s="6">
        <v>5.79</v>
      </c>
      <c r="O325" s="6">
        <v>5.79</v>
      </c>
      <c r="P325" s="6">
        <v>6</v>
      </c>
      <c r="Q325" s="4" t="s">
        <v>26</v>
      </c>
      <c r="R325" s="4">
        <v>0</v>
      </c>
      <c r="S325" s="6">
        <v>0</v>
      </c>
      <c r="T325" s="6">
        <v>13</v>
      </c>
      <c r="U325" s="6">
        <v>68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146.74</v>
      </c>
      <c r="X325" s="6">
        <f>IF(ISERROR(VLOOKUP($U$325,'TAR FIN'!$A$1:$O$85,15,0)),0,VLOOKUP($U$325,'TAR FIN'!$A$1:$O$85,15,0))</f>
        <v>78.069999999999993</v>
      </c>
      <c r="Y325" s="6"/>
      <c r="Z325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5" s="6">
        <f>('TE BE'!$AB$11+'TE BF'!$AB$11+'TE CVA'!$AB$11)*(1-CUSTOS!$M$34)</f>
        <v>27.285427463855065</v>
      </c>
      <c r="AB325" s="6">
        <f>$K$325*$V$325</f>
        <v>0</v>
      </c>
      <c r="AC325" s="6">
        <f>$M$325*$W$325</f>
        <v>849.6246000000001</v>
      </c>
      <c r="AD325" s="6">
        <f>$O$325*$X$325</f>
        <v>452.02529999999996</v>
      </c>
      <c r="AE325" s="6">
        <f>$K$325*$Y$325</f>
        <v>0</v>
      </c>
      <c r="AF325" s="6">
        <f ca="1">$M$325*$Z$325</f>
        <v>1170.802746919991</v>
      </c>
      <c r="AG325" s="6">
        <f>$O$325*$AA$325</f>
        <v>157.98262501572083</v>
      </c>
    </row>
    <row r="326" spans="1:33" ht="11.25" customHeight="1" x14ac:dyDescent="0.3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44562</v>
      </c>
      <c r="J326" s="6">
        <v>0</v>
      </c>
      <c r="K326" s="6">
        <v>0</v>
      </c>
      <c r="L326" s="6">
        <v>5.73</v>
      </c>
      <c r="M326" s="6">
        <v>5.73</v>
      </c>
      <c r="N326" s="6">
        <v>5.73</v>
      </c>
      <c r="O326" s="6">
        <v>5.73</v>
      </c>
      <c r="P326" s="6">
        <v>4</v>
      </c>
      <c r="Q326" s="4" t="s">
        <v>26</v>
      </c>
      <c r="R326" s="4">
        <v>0</v>
      </c>
      <c r="S326" s="6">
        <v>0</v>
      </c>
      <c r="T326" s="6">
        <v>13</v>
      </c>
      <c r="U326" s="6">
        <v>68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146.74</v>
      </c>
      <c r="X326" s="6">
        <f>IF(ISERROR(VLOOKUP($U$326,'TAR FIN'!$A$1:$O$85,15,0)),0,VLOOKUP($U$326,'TAR FIN'!$A$1:$O$85,15,0))</f>
        <v>78.069999999999993</v>
      </c>
      <c r="Y326" s="6"/>
      <c r="Z326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6" s="6">
        <f>('TE BE'!$AB$11+'TE BF'!$AB$11+'TE CVA'!$AB$11)*(1-CUSTOS!$M$34)</f>
        <v>27.285427463855065</v>
      </c>
      <c r="AB326" s="6">
        <f>$K$326*$V$326</f>
        <v>0</v>
      </c>
      <c r="AC326" s="6">
        <f>$M$326*$W$326</f>
        <v>840.82020000000011</v>
      </c>
      <c r="AD326" s="6">
        <f>$O$326*$X$326</f>
        <v>447.34109999999998</v>
      </c>
      <c r="AE326" s="6">
        <f>$K$326*$Y$326</f>
        <v>0</v>
      </c>
      <c r="AF326" s="6">
        <f ca="1">$M$326*$Z$326</f>
        <v>1158.6700759674522</v>
      </c>
      <c r="AG326" s="6">
        <f>$O$326*$AA$326</f>
        <v>156.34549936788954</v>
      </c>
    </row>
    <row r="327" spans="1:33" ht="11.25" customHeight="1" x14ac:dyDescent="0.3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5.85</v>
      </c>
      <c r="M327" s="6">
        <v>5.85</v>
      </c>
      <c r="N327" s="6">
        <v>5.85</v>
      </c>
      <c r="O327" s="6">
        <v>5.85</v>
      </c>
      <c r="P327" s="6">
        <v>3</v>
      </c>
      <c r="Q327" s="4" t="s">
        <v>26</v>
      </c>
      <c r="R327" s="4">
        <v>0</v>
      </c>
      <c r="S327" s="6">
        <v>0</v>
      </c>
      <c r="T327" s="6">
        <v>13</v>
      </c>
      <c r="U327" s="6">
        <v>68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146.74</v>
      </c>
      <c r="X327" s="6">
        <f>IF(ISERROR(VLOOKUP($U$327,'TAR FIN'!$A$1:$O$85,15,0)),0,VLOOKUP($U$327,'TAR FIN'!$A$1:$O$85,15,0))</f>
        <v>78.069999999999993</v>
      </c>
      <c r="Y327" s="6"/>
      <c r="Z327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7" s="6">
        <f>('TE BE'!$AB$11+'TE BF'!$AB$11+'TE CVA'!$AB$11)*(1-CUSTOS!$M$34)</f>
        <v>27.285427463855065</v>
      </c>
      <c r="AB327" s="6">
        <f>$K$327*$V$327</f>
        <v>0</v>
      </c>
      <c r="AC327" s="6">
        <f>$M$327*$W$327</f>
        <v>858.42899999999997</v>
      </c>
      <c r="AD327" s="6">
        <f>$O$327*$X$327</f>
        <v>456.70949999999993</v>
      </c>
      <c r="AE327" s="6">
        <f>$K$327*$Y$327</f>
        <v>0</v>
      </c>
      <c r="AF327" s="6">
        <f ca="1">$M$327*$Z$327</f>
        <v>1182.9354178725296</v>
      </c>
      <c r="AG327" s="6">
        <f>$O$327*$AA$327</f>
        <v>159.61975066355211</v>
      </c>
    </row>
    <row r="328" spans="1:33" ht="11.25" customHeight="1" x14ac:dyDescent="0.3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44621</v>
      </c>
      <c r="J328" s="6">
        <v>0</v>
      </c>
      <c r="K328" s="6">
        <v>0</v>
      </c>
      <c r="L328" s="6">
        <v>6</v>
      </c>
      <c r="M328" s="6">
        <v>6</v>
      </c>
      <c r="N328" s="6">
        <v>6</v>
      </c>
      <c r="O328" s="6">
        <v>6</v>
      </c>
      <c r="P328" s="6">
        <v>4</v>
      </c>
      <c r="Q328" s="4" t="s">
        <v>26</v>
      </c>
      <c r="R328" s="4">
        <v>0</v>
      </c>
      <c r="S328" s="6">
        <v>0</v>
      </c>
      <c r="T328" s="6">
        <v>13</v>
      </c>
      <c r="U328" s="6">
        <v>68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146.74</v>
      </c>
      <c r="X328" s="6">
        <f>IF(ISERROR(VLOOKUP($U$328,'TAR FIN'!$A$1:$O$85,15,0)),0,VLOOKUP($U$328,'TAR FIN'!$A$1:$O$85,15,0))</f>
        <v>78.069999999999993</v>
      </c>
      <c r="Y328" s="6"/>
      <c r="Z328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8" s="6">
        <f>('TE BE'!$AB$11+'TE BF'!$AB$11+'TE CVA'!$AB$11)*(1-CUSTOS!$M$34)</f>
        <v>27.285427463855065</v>
      </c>
      <c r="AB328" s="6">
        <f>$K$328*$V$328</f>
        <v>0</v>
      </c>
      <c r="AC328" s="6">
        <f>$M$328*$W$328</f>
        <v>880.44</v>
      </c>
      <c r="AD328" s="6">
        <f>$O$328*$X$328</f>
        <v>468.41999999999996</v>
      </c>
      <c r="AE328" s="6">
        <f>$K$328*$Y$328</f>
        <v>0</v>
      </c>
      <c r="AF328" s="6">
        <f ca="1">$M$328*$Z$328</f>
        <v>1213.2670952538765</v>
      </c>
      <c r="AG328" s="6">
        <f>$O$328*$AA$328</f>
        <v>163.7125647831304</v>
      </c>
    </row>
    <row r="329" spans="1:33" ht="11.25" customHeight="1" x14ac:dyDescent="0.3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44652</v>
      </c>
      <c r="J329" s="6">
        <v>0</v>
      </c>
      <c r="K329" s="6">
        <v>0</v>
      </c>
      <c r="L329" s="6">
        <v>8.82</v>
      </c>
      <c r="M329" s="6">
        <v>8.82</v>
      </c>
      <c r="N329" s="6">
        <v>8.82</v>
      </c>
      <c r="O329" s="6">
        <v>8.82</v>
      </c>
      <c r="P329" s="6">
        <v>14</v>
      </c>
      <c r="Q329" s="4" t="s">
        <v>26</v>
      </c>
      <c r="R329" s="4">
        <v>0</v>
      </c>
      <c r="S329" s="6">
        <v>0</v>
      </c>
      <c r="T329" s="6">
        <v>13</v>
      </c>
      <c r="U329" s="6">
        <v>68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146.74</v>
      </c>
      <c r="X329" s="6">
        <f>IF(ISERROR(VLOOKUP($U$329,'TAR FIN'!$A$1:$O$85,15,0)),0,VLOOKUP($U$329,'TAR FIN'!$A$1:$O$85,15,0))</f>
        <v>78.069999999999993</v>
      </c>
      <c r="Y329" s="6"/>
      <c r="Z329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29" s="6">
        <f>('TE BE'!$AB$11+'TE BF'!$AB$11+'TE CVA'!$AB$11)*(1-CUSTOS!$M$34)</f>
        <v>27.285427463855065</v>
      </c>
      <c r="AB329" s="6">
        <f>$K$329*$V$329</f>
        <v>0</v>
      </c>
      <c r="AC329" s="6">
        <f>$M$329*$W$329</f>
        <v>1294.2468000000001</v>
      </c>
      <c r="AD329" s="6">
        <f>$O$329*$X$329</f>
        <v>688.57740000000001</v>
      </c>
      <c r="AE329" s="6">
        <f>$K$329*$Y$329</f>
        <v>0</v>
      </c>
      <c r="AF329" s="6">
        <f ca="1">$M$329*$Z$329</f>
        <v>1783.5026300231987</v>
      </c>
      <c r="AG329" s="6">
        <f>$O$329*$AA$329</f>
        <v>240.65747023120167</v>
      </c>
    </row>
    <row r="330" spans="1:33" ht="11.25" customHeight="1" x14ac:dyDescent="0.3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44682</v>
      </c>
      <c r="J330" s="6">
        <v>0</v>
      </c>
      <c r="K330" s="6">
        <v>0</v>
      </c>
      <c r="L330" s="6">
        <v>8.82</v>
      </c>
      <c r="M330" s="6">
        <v>8.82</v>
      </c>
      <c r="N330" s="6">
        <v>8.82</v>
      </c>
      <c r="O330" s="6">
        <v>8.82</v>
      </c>
      <c r="P330" s="6">
        <v>11</v>
      </c>
      <c r="Q330" s="4" t="s">
        <v>26</v>
      </c>
      <c r="R330" s="4">
        <v>0</v>
      </c>
      <c r="S330" s="6">
        <v>0</v>
      </c>
      <c r="T330" s="6">
        <v>13</v>
      </c>
      <c r="U330" s="6">
        <v>68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146.74</v>
      </c>
      <c r="X330" s="6">
        <f>IF(ISERROR(VLOOKUP($U$330,'TAR FIN'!$A$1:$O$85,15,0)),0,VLOOKUP($U$330,'TAR FIN'!$A$1:$O$85,15,0))</f>
        <v>78.069999999999993</v>
      </c>
      <c r="Y330" s="6"/>
      <c r="Z330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30" s="6">
        <f>('TE BE'!$AB$11+'TE BF'!$AB$11+'TE CVA'!$AB$11)*(1-CUSTOS!$M$34)</f>
        <v>27.285427463855065</v>
      </c>
      <c r="AB330" s="6">
        <f>$K$330*$V$330</f>
        <v>0</v>
      </c>
      <c r="AC330" s="6">
        <f>$M$330*$W$330</f>
        <v>1294.2468000000001</v>
      </c>
      <c r="AD330" s="6">
        <f>$O$330*$X$330</f>
        <v>688.57740000000001</v>
      </c>
      <c r="AE330" s="6">
        <f>$K$330*$Y$330</f>
        <v>0</v>
      </c>
      <c r="AF330" s="6">
        <f ca="1">$M$330*$Z$330</f>
        <v>1783.5026300231987</v>
      </c>
      <c r="AG330" s="6">
        <f>$O$330*$AA$330</f>
        <v>240.65747023120167</v>
      </c>
    </row>
    <row r="331" spans="1:33" ht="11.25" customHeight="1" x14ac:dyDescent="0.3">
      <c r="A331" s="4" t="s">
        <v>21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44713</v>
      </c>
      <c r="J331" s="6">
        <v>0</v>
      </c>
      <c r="K331" s="6">
        <v>0</v>
      </c>
      <c r="L331" s="6">
        <v>8.58</v>
      </c>
      <c r="M331" s="6">
        <v>8.58</v>
      </c>
      <c r="N331" s="6">
        <v>8.58</v>
      </c>
      <c r="O331" s="6">
        <v>8.58</v>
      </c>
      <c r="P331" s="6">
        <v>13</v>
      </c>
      <c r="Q331" s="4" t="s">
        <v>26</v>
      </c>
      <c r="R331" s="4">
        <v>0</v>
      </c>
      <c r="S331" s="6">
        <v>0</v>
      </c>
      <c r="T331" s="6">
        <v>13</v>
      </c>
      <c r="U331" s="6">
        <v>68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146.74</v>
      </c>
      <c r="X331" s="6">
        <f>IF(ISERROR(VLOOKUP($U$331,'TAR FIN'!$A$1:$O$85,15,0)),0,VLOOKUP($U$331,'TAR FIN'!$A$1:$O$85,15,0))</f>
        <v>78.069999999999993</v>
      </c>
      <c r="Y331" s="6"/>
      <c r="Z331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31" s="6">
        <f>('TE BE'!$AB$11+'TE BF'!$AB$11+'TE CVA'!$AB$11)*(1-CUSTOS!$M$34)</f>
        <v>27.285427463855065</v>
      </c>
      <c r="AB331" s="6">
        <f>$K$331*$V$331</f>
        <v>0</v>
      </c>
      <c r="AC331" s="6">
        <f>$M$331*$W$331</f>
        <v>1259.0292000000002</v>
      </c>
      <c r="AD331" s="6">
        <f>$O$331*$X$331</f>
        <v>669.84059999999999</v>
      </c>
      <c r="AE331" s="6">
        <f>$K$331*$Y$331</f>
        <v>0</v>
      </c>
      <c r="AF331" s="6">
        <f ca="1">$M$331*$Z$331</f>
        <v>1734.9719462130436</v>
      </c>
      <c r="AG331" s="6">
        <f>$O$331*$AA$331</f>
        <v>234.10896763987645</v>
      </c>
    </row>
    <row r="332" spans="1:33" ht="11.25" customHeight="1" x14ac:dyDescent="0.3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44743</v>
      </c>
      <c r="J332" s="6">
        <v>0</v>
      </c>
      <c r="K332" s="6">
        <v>0</v>
      </c>
      <c r="L332" s="6">
        <v>8.3230000000000004</v>
      </c>
      <c r="M332" s="6">
        <v>8.3230000000000004</v>
      </c>
      <c r="N332" s="6">
        <v>8.3230000000000004</v>
      </c>
      <c r="O332" s="6">
        <v>8.3230000000000004</v>
      </c>
      <c r="P332" s="6">
        <v>15</v>
      </c>
      <c r="Q332" s="4" t="s">
        <v>26</v>
      </c>
      <c r="R332" s="4">
        <v>0</v>
      </c>
      <c r="S332" s="6">
        <v>0</v>
      </c>
      <c r="T332" s="6">
        <v>13</v>
      </c>
      <c r="U332" s="6">
        <v>68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146.74</v>
      </c>
      <c r="X332" s="6">
        <f>IF(ISERROR(VLOOKUP($U$332,'TAR FIN'!$A$1:$O$85,15,0)),0,VLOOKUP($U$332,'TAR FIN'!$A$1:$O$85,15,0))</f>
        <v>78.069999999999993</v>
      </c>
      <c r="Y332" s="6"/>
      <c r="Z332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32" s="6">
        <f>('TE BE'!$AB$11+'TE BF'!$AB$11+'TE CVA'!$AB$11)*(1-CUSTOS!$M$34)</f>
        <v>27.285427463855065</v>
      </c>
      <c r="AB332" s="6">
        <f>$K$332*$V$332</f>
        <v>0</v>
      </c>
      <c r="AC332" s="6">
        <f>$M$332*$W$332</f>
        <v>1221.3170200000002</v>
      </c>
      <c r="AD332" s="6">
        <f>$O$332*$X$332</f>
        <v>649.77661000000001</v>
      </c>
      <c r="AE332" s="6">
        <f>$K$332*$Y$332</f>
        <v>0</v>
      </c>
      <c r="AF332" s="6">
        <f ca="1">$M$332*$Z$332</f>
        <v>1683.0036722996692</v>
      </c>
      <c r="AG332" s="6">
        <f>$O$332*$AA$332</f>
        <v>227.09661278166573</v>
      </c>
    </row>
    <row r="333" spans="1:33" ht="11.25" customHeight="1" x14ac:dyDescent="0.3">
      <c r="A333" s="4" t="s">
        <v>21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44774</v>
      </c>
      <c r="J333" s="6">
        <v>0</v>
      </c>
      <c r="K333" s="6">
        <v>0</v>
      </c>
      <c r="L333" s="6">
        <v>8.19</v>
      </c>
      <c r="M333" s="6">
        <v>8.19</v>
      </c>
      <c r="N333" s="6">
        <v>8.19</v>
      </c>
      <c r="O333" s="6">
        <v>8.19</v>
      </c>
      <c r="P333" s="6">
        <v>9</v>
      </c>
      <c r="Q333" s="4" t="s">
        <v>26</v>
      </c>
      <c r="R333" s="4">
        <v>0</v>
      </c>
      <c r="S333" s="6">
        <v>0</v>
      </c>
      <c r="T333" s="6">
        <v>13</v>
      </c>
      <c r="U333" s="6">
        <v>68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146.74</v>
      </c>
      <c r="X333" s="6">
        <f>IF(ISERROR(VLOOKUP($U$333,'TAR FIN'!$A$1:$O$85,15,0)),0,VLOOKUP($U$333,'TAR FIN'!$A$1:$O$85,15,0))</f>
        <v>78.069999999999993</v>
      </c>
      <c r="Y333" s="6"/>
      <c r="Z333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333" s="6">
        <f>('TE BE'!$AB$11+'TE BF'!$AB$11+'TE CVA'!$AB$11)*(1-CUSTOS!$M$34)</f>
        <v>27.285427463855065</v>
      </c>
      <c r="AB333" s="6">
        <f>$K$333*$V$333</f>
        <v>0</v>
      </c>
      <c r="AC333" s="6">
        <f>$M$333*$W$333</f>
        <v>1201.8006</v>
      </c>
      <c r="AD333" s="6">
        <f>$O$333*$X$333</f>
        <v>639.39329999999995</v>
      </c>
      <c r="AE333" s="6">
        <f>$K$333*$Y$333</f>
        <v>0</v>
      </c>
      <c r="AF333" s="6">
        <f ca="1">$M$333*$Z$333</f>
        <v>1656.1095850215415</v>
      </c>
      <c r="AG333" s="6">
        <f>$O$333*$AA$333</f>
        <v>223.46765092897297</v>
      </c>
    </row>
    <row r="334" spans="1:33" ht="11.25" customHeight="1" x14ac:dyDescent="0.3">
      <c r="A334" s="4" t="s">
        <v>21</v>
      </c>
      <c r="B334" s="4" t="s">
        <v>22</v>
      </c>
      <c r="C334" s="4" t="s">
        <v>23</v>
      </c>
      <c r="D334" s="4" t="s">
        <v>24</v>
      </c>
      <c r="E334" s="4" t="s">
        <v>30</v>
      </c>
      <c r="F334" s="4" t="s">
        <v>25</v>
      </c>
      <c r="G334" s="4" t="s">
        <v>25</v>
      </c>
      <c r="H334" s="4" t="s">
        <v>25</v>
      </c>
      <c r="I334" s="5">
        <v>44440</v>
      </c>
      <c r="J334" s="6">
        <v>0</v>
      </c>
      <c r="K334" s="6">
        <v>0</v>
      </c>
      <c r="L334" s="6">
        <v>11.907999999999999</v>
      </c>
      <c r="M334" s="6">
        <v>11.907999999999999</v>
      </c>
      <c r="N334" s="6">
        <v>11.907999999999999</v>
      </c>
      <c r="O334" s="6">
        <v>11.907999999999999</v>
      </c>
      <c r="P334" s="6">
        <v>22</v>
      </c>
      <c r="Q334" s="4" t="s">
        <v>26</v>
      </c>
      <c r="R334" s="4">
        <v>0</v>
      </c>
      <c r="S334" s="6">
        <v>0</v>
      </c>
      <c r="T334" s="6">
        <v>9</v>
      </c>
      <c r="U334" s="6">
        <v>66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251.56</v>
      </c>
      <c r="X334" s="6">
        <f>IF(ISERROR(VLOOKUP($U$334,'TAR FIN'!$A$1:$O$85,15,0)),0,VLOOKUP($U$334,'TAR FIN'!$A$1:$O$85,15,0))</f>
        <v>133.84</v>
      </c>
      <c r="Y334" s="6"/>
      <c r="Z334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34" s="6">
        <f>('TE BE'!$AB$12+'TE BF'!$AB$12+'TE CVA'!$AB$12)*(1-CUSTOS!$M$35)</f>
        <v>46.775018509465831</v>
      </c>
      <c r="AB334" s="6">
        <f>$K$334*$V$334</f>
        <v>0</v>
      </c>
      <c r="AC334" s="6">
        <f>$M$334*$W$334</f>
        <v>2995.5764799999997</v>
      </c>
      <c r="AD334" s="6">
        <f>$O$334*$X$334</f>
        <v>1593.7667200000001</v>
      </c>
      <c r="AE334" s="6">
        <f>$K$334*$Y$334</f>
        <v>0</v>
      </c>
      <c r="AF334" s="6">
        <f ca="1">$M$334*$Z$334</f>
        <v>4127.8813057951893</v>
      </c>
      <c r="AG334" s="6">
        <f>$O$334*$AA$334</f>
        <v>556.9969204107191</v>
      </c>
    </row>
    <row r="335" spans="1:33" ht="11.25" customHeight="1" x14ac:dyDescent="0.3">
      <c r="A335" s="4" t="s">
        <v>21</v>
      </c>
      <c r="B335" s="4" t="s">
        <v>22</v>
      </c>
      <c r="C335" s="4" t="s">
        <v>23</v>
      </c>
      <c r="D335" s="4" t="s">
        <v>24</v>
      </c>
      <c r="E335" s="4" t="s">
        <v>30</v>
      </c>
      <c r="F335" s="4" t="s">
        <v>25</v>
      </c>
      <c r="G335" s="4" t="s">
        <v>25</v>
      </c>
      <c r="H335" s="4" t="s">
        <v>25</v>
      </c>
      <c r="I335" s="5">
        <v>44470</v>
      </c>
      <c r="J335" s="6">
        <v>0</v>
      </c>
      <c r="K335" s="6">
        <v>0</v>
      </c>
      <c r="L335" s="6">
        <v>11.816000000000001</v>
      </c>
      <c r="M335" s="6">
        <v>11.816000000000001</v>
      </c>
      <c r="N335" s="6">
        <v>11.816000000000001</v>
      </c>
      <c r="O335" s="6">
        <v>11.816000000000001</v>
      </c>
      <c r="P335" s="6">
        <v>31</v>
      </c>
      <c r="Q335" s="4" t="s">
        <v>26</v>
      </c>
      <c r="R335" s="4">
        <v>0</v>
      </c>
      <c r="S335" s="6">
        <v>0</v>
      </c>
      <c r="T335" s="6">
        <v>9</v>
      </c>
      <c r="U335" s="6">
        <v>66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251.56</v>
      </c>
      <c r="X335" s="6">
        <f>IF(ISERROR(VLOOKUP($U$335,'TAR FIN'!$A$1:$O$85,15,0)),0,VLOOKUP($U$335,'TAR FIN'!$A$1:$O$85,15,0))</f>
        <v>133.84</v>
      </c>
      <c r="Y335" s="6"/>
      <c r="Z335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35" s="6">
        <f>('TE BE'!$AB$12+'TE BF'!$AB$12+'TE CVA'!$AB$12)*(1-CUSTOS!$M$35)</f>
        <v>46.775018509465831</v>
      </c>
      <c r="AB335" s="6">
        <f>$K$335*$V$335</f>
        <v>0</v>
      </c>
      <c r="AC335" s="6">
        <f>$M$335*$W$335</f>
        <v>2972.4329600000001</v>
      </c>
      <c r="AD335" s="6">
        <f>$O$335*$X$335</f>
        <v>1581.4534400000002</v>
      </c>
      <c r="AE335" s="6">
        <f>$K$335*$Y$335</f>
        <v>0</v>
      </c>
      <c r="AF335" s="6">
        <f ca="1">$M$335*$Z$335</f>
        <v>4095.989713577088</v>
      </c>
      <c r="AG335" s="6">
        <f>$O$335*$AA$335</f>
        <v>552.69361870784826</v>
      </c>
    </row>
    <row r="336" spans="1:33" ht="11.25" customHeight="1" x14ac:dyDescent="0.3">
      <c r="A336" s="4" t="s">
        <v>21</v>
      </c>
      <c r="B336" s="4" t="s">
        <v>22</v>
      </c>
      <c r="C336" s="4" t="s">
        <v>23</v>
      </c>
      <c r="D336" s="4" t="s">
        <v>24</v>
      </c>
      <c r="E336" s="4" t="s">
        <v>30</v>
      </c>
      <c r="F336" s="4" t="s">
        <v>25</v>
      </c>
      <c r="G336" s="4" t="s">
        <v>25</v>
      </c>
      <c r="H336" s="4" t="s">
        <v>25</v>
      </c>
      <c r="I336" s="5">
        <v>44501</v>
      </c>
      <c r="J336" s="6">
        <v>0</v>
      </c>
      <c r="K336" s="6">
        <v>0</v>
      </c>
      <c r="L336" s="6">
        <v>12.362</v>
      </c>
      <c r="M336" s="6">
        <v>12.362</v>
      </c>
      <c r="N336" s="6">
        <v>12.362</v>
      </c>
      <c r="O336" s="6">
        <v>12.362</v>
      </c>
      <c r="P336" s="6">
        <v>26</v>
      </c>
      <c r="Q336" s="4" t="s">
        <v>26</v>
      </c>
      <c r="R336" s="4">
        <v>0</v>
      </c>
      <c r="S336" s="6">
        <v>0</v>
      </c>
      <c r="T336" s="6">
        <v>9</v>
      </c>
      <c r="U336" s="6">
        <v>66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251.56</v>
      </c>
      <c r="X336" s="6">
        <f>IF(ISERROR(VLOOKUP($U$336,'TAR FIN'!$A$1:$O$85,15,0)),0,VLOOKUP($U$336,'TAR FIN'!$A$1:$O$85,15,0))</f>
        <v>133.84</v>
      </c>
      <c r="Y336" s="6"/>
      <c r="Z336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36" s="6">
        <f>('TE BE'!$AB$12+'TE BF'!$AB$12+'TE CVA'!$AB$12)*(1-CUSTOS!$M$35)</f>
        <v>46.775018509465831</v>
      </c>
      <c r="AB336" s="6">
        <f>$K$336*$V$336</f>
        <v>0</v>
      </c>
      <c r="AC336" s="6">
        <f>$M$336*$W$336</f>
        <v>3109.7847200000001</v>
      </c>
      <c r="AD336" s="6">
        <f>$O$336*$X$336</f>
        <v>1654.53008</v>
      </c>
      <c r="AE336" s="6">
        <f>$K$336*$Y$336</f>
        <v>0</v>
      </c>
      <c r="AF336" s="6">
        <f ca="1">$M$336*$Z$336</f>
        <v>4285.2593804366925</v>
      </c>
      <c r="AG336" s="6">
        <f>$O$336*$AA$336</f>
        <v>578.23277881401657</v>
      </c>
    </row>
    <row r="337" spans="1:33" ht="11.25" customHeight="1" x14ac:dyDescent="0.3">
      <c r="A337" s="4" t="s">
        <v>21</v>
      </c>
      <c r="B337" s="4" t="s">
        <v>22</v>
      </c>
      <c r="C337" s="4" t="s">
        <v>23</v>
      </c>
      <c r="D337" s="4" t="s">
        <v>24</v>
      </c>
      <c r="E337" s="4" t="s">
        <v>30</v>
      </c>
      <c r="F337" s="4" t="s">
        <v>25</v>
      </c>
      <c r="G337" s="4" t="s">
        <v>25</v>
      </c>
      <c r="H337" s="4" t="s">
        <v>25</v>
      </c>
      <c r="I337" s="5">
        <v>44531</v>
      </c>
      <c r="J337" s="6">
        <v>0</v>
      </c>
      <c r="K337" s="6">
        <v>0</v>
      </c>
      <c r="L337" s="6">
        <v>12.407</v>
      </c>
      <c r="M337" s="6">
        <v>12.407</v>
      </c>
      <c r="N337" s="6">
        <v>12.407</v>
      </c>
      <c r="O337" s="6">
        <v>12.407</v>
      </c>
      <c r="P337" s="6">
        <v>33</v>
      </c>
      <c r="Q337" s="4" t="s">
        <v>26</v>
      </c>
      <c r="R337" s="4">
        <v>0</v>
      </c>
      <c r="S337" s="6">
        <v>0</v>
      </c>
      <c r="T337" s="6">
        <v>9</v>
      </c>
      <c r="U337" s="6">
        <v>66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251.56</v>
      </c>
      <c r="X337" s="6">
        <f>IF(ISERROR(VLOOKUP($U$337,'TAR FIN'!$A$1:$O$85,15,0)),0,VLOOKUP($U$337,'TAR FIN'!$A$1:$O$85,15,0))</f>
        <v>133.84</v>
      </c>
      <c r="Y337" s="6"/>
      <c r="Z337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37" s="6">
        <f>('TE BE'!$AB$12+'TE BF'!$AB$12+'TE CVA'!$AB$12)*(1-CUSTOS!$M$35)</f>
        <v>46.775018509465831</v>
      </c>
      <c r="AB337" s="6">
        <f>$K$337*$V$337</f>
        <v>0</v>
      </c>
      <c r="AC337" s="6">
        <f>$M$337*$W$337</f>
        <v>3121.1049200000002</v>
      </c>
      <c r="AD337" s="6">
        <f>$O$337*$X$337</f>
        <v>1660.55288</v>
      </c>
      <c r="AE337" s="6">
        <f>$K$337*$Y$337</f>
        <v>0</v>
      </c>
      <c r="AF337" s="6">
        <f ca="1">$M$337*$Z$337</f>
        <v>4300.8585288042423</v>
      </c>
      <c r="AG337" s="6">
        <f>$O$337*$AA$337</f>
        <v>580.33765464694261</v>
      </c>
    </row>
    <row r="338" spans="1:33" ht="11.25" customHeight="1" x14ac:dyDescent="0.3">
      <c r="A338" s="4" t="s">
        <v>21</v>
      </c>
      <c r="B338" s="4" t="s">
        <v>22</v>
      </c>
      <c r="C338" s="4" t="s">
        <v>23</v>
      </c>
      <c r="D338" s="4" t="s">
        <v>24</v>
      </c>
      <c r="E338" s="4" t="s">
        <v>30</v>
      </c>
      <c r="F338" s="4" t="s">
        <v>25</v>
      </c>
      <c r="G338" s="4" t="s">
        <v>25</v>
      </c>
      <c r="H338" s="4" t="s">
        <v>25</v>
      </c>
      <c r="I338" s="5">
        <v>44562</v>
      </c>
      <c r="J338" s="6">
        <v>0</v>
      </c>
      <c r="K338" s="6">
        <v>0</v>
      </c>
      <c r="L338" s="6">
        <v>12.515000000000001</v>
      </c>
      <c r="M338" s="6">
        <v>12.515000000000001</v>
      </c>
      <c r="N338" s="6">
        <v>12.515000000000001</v>
      </c>
      <c r="O338" s="6">
        <v>12.515000000000001</v>
      </c>
      <c r="P338" s="6">
        <v>24</v>
      </c>
      <c r="Q338" s="4" t="s">
        <v>26</v>
      </c>
      <c r="R338" s="4">
        <v>0</v>
      </c>
      <c r="S338" s="6">
        <v>0</v>
      </c>
      <c r="T338" s="6">
        <v>9</v>
      </c>
      <c r="U338" s="6">
        <v>66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251.56</v>
      </c>
      <c r="X338" s="6">
        <f>IF(ISERROR(VLOOKUP($U$338,'TAR FIN'!$A$1:$O$85,15,0)),0,VLOOKUP($U$338,'TAR FIN'!$A$1:$O$85,15,0))</f>
        <v>133.84</v>
      </c>
      <c r="Y338" s="6"/>
      <c r="Z338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38" s="6">
        <f>('TE BE'!$AB$12+'TE BF'!$AB$12+'TE CVA'!$AB$12)*(1-CUSTOS!$M$35)</f>
        <v>46.775018509465831</v>
      </c>
      <c r="AB338" s="6">
        <f>$K$338*$V$338</f>
        <v>0</v>
      </c>
      <c r="AC338" s="6">
        <f>$M$338*$W$338</f>
        <v>3148.2734</v>
      </c>
      <c r="AD338" s="6">
        <f>$O$338*$X$338</f>
        <v>1675.0076000000001</v>
      </c>
      <c r="AE338" s="6">
        <f>$K$338*$Y$338</f>
        <v>0</v>
      </c>
      <c r="AF338" s="6">
        <f ca="1">$M$338*$Z$338</f>
        <v>4338.2964848863621</v>
      </c>
      <c r="AG338" s="6">
        <f>$O$338*$AA$338</f>
        <v>585.38935664596488</v>
      </c>
    </row>
    <row r="339" spans="1:33" ht="11.25" customHeight="1" x14ac:dyDescent="0.3">
      <c r="A339" s="4" t="s">
        <v>21</v>
      </c>
      <c r="B339" s="4" t="s">
        <v>22</v>
      </c>
      <c r="C339" s="4" t="s">
        <v>23</v>
      </c>
      <c r="D339" s="4" t="s">
        <v>24</v>
      </c>
      <c r="E339" s="4" t="s">
        <v>30</v>
      </c>
      <c r="F339" s="4" t="s">
        <v>25</v>
      </c>
      <c r="G339" s="4" t="s">
        <v>25</v>
      </c>
      <c r="H339" s="4" t="s">
        <v>25</v>
      </c>
      <c r="I339" s="5">
        <v>44593</v>
      </c>
      <c r="J339" s="6">
        <v>0</v>
      </c>
      <c r="K339" s="6">
        <v>0</v>
      </c>
      <c r="L339" s="6">
        <v>12.965</v>
      </c>
      <c r="M339" s="6">
        <v>12.965</v>
      </c>
      <c r="N339" s="6">
        <v>12.965</v>
      </c>
      <c r="O339" s="6">
        <v>12.965</v>
      </c>
      <c r="P339" s="6">
        <v>16</v>
      </c>
      <c r="Q339" s="4" t="s">
        <v>26</v>
      </c>
      <c r="R339" s="4">
        <v>0</v>
      </c>
      <c r="S339" s="6">
        <v>0</v>
      </c>
      <c r="T339" s="6">
        <v>9</v>
      </c>
      <c r="U339" s="6">
        <v>66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251.56</v>
      </c>
      <c r="X339" s="6">
        <f>IF(ISERROR(VLOOKUP($U$339,'TAR FIN'!$A$1:$O$85,15,0)),0,VLOOKUP($U$339,'TAR FIN'!$A$1:$O$85,15,0))</f>
        <v>133.84</v>
      </c>
      <c r="Y339" s="6"/>
      <c r="Z339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39" s="6">
        <f>('TE BE'!$AB$12+'TE BF'!$AB$12+'TE CVA'!$AB$12)*(1-CUSTOS!$M$35)</f>
        <v>46.775018509465831</v>
      </c>
      <c r="AB339" s="6">
        <f>$K$339*$V$339</f>
        <v>0</v>
      </c>
      <c r="AC339" s="6">
        <f>$M$339*$W$339</f>
        <v>3261.4753999999998</v>
      </c>
      <c r="AD339" s="6">
        <f>$O$339*$X$339</f>
        <v>1735.2356</v>
      </c>
      <c r="AE339" s="6">
        <f>$K$339*$Y$339</f>
        <v>0</v>
      </c>
      <c r="AF339" s="6">
        <f ca="1">$M$339*$Z$339</f>
        <v>4494.2879685618609</v>
      </c>
      <c r="AG339" s="6">
        <f>$O$339*$AA$339</f>
        <v>606.43811497522449</v>
      </c>
    </row>
    <row r="340" spans="1:33" ht="11.25" customHeight="1" x14ac:dyDescent="0.3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44621</v>
      </c>
      <c r="J340" s="6">
        <v>0</v>
      </c>
      <c r="K340" s="6">
        <v>0</v>
      </c>
      <c r="L340" s="6">
        <v>13.321999999999999</v>
      </c>
      <c r="M340" s="6">
        <v>13.321999999999999</v>
      </c>
      <c r="N340" s="6">
        <v>13.321999999999999</v>
      </c>
      <c r="O340" s="6">
        <v>13.321999999999999</v>
      </c>
      <c r="P340" s="6">
        <v>17</v>
      </c>
      <c r="Q340" s="4" t="s">
        <v>26</v>
      </c>
      <c r="R340" s="4">
        <v>0</v>
      </c>
      <c r="S340" s="6">
        <v>0</v>
      </c>
      <c r="T340" s="6">
        <v>9</v>
      </c>
      <c r="U340" s="6">
        <v>66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251.56</v>
      </c>
      <c r="X340" s="6">
        <f>IF(ISERROR(VLOOKUP($U$340,'TAR FIN'!$A$1:$O$85,15,0)),0,VLOOKUP($U$340,'TAR FIN'!$A$1:$O$85,15,0))</f>
        <v>133.84</v>
      </c>
      <c r="Y340" s="6"/>
      <c r="Z340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40" s="6">
        <f>('TE BE'!$AB$12+'TE BF'!$AB$12+'TE CVA'!$AB$12)*(1-CUSTOS!$M$35)</f>
        <v>46.775018509465831</v>
      </c>
      <c r="AB340" s="6">
        <f>$K$340*$V$340</f>
        <v>0</v>
      </c>
      <c r="AC340" s="6">
        <f>$M$340*$W$340</f>
        <v>3351.2823199999998</v>
      </c>
      <c r="AD340" s="6">
        <f>$O$340*$X$340</f>
        <v>1783.01648</v>
      </c>
      <c r="AE340" s="6">
        <f>$K$340*$Y$340</f>
        <v>0</v>
      </c>
      <c r="AF340" s="6">
        <f ca="1">$M$340*$Z$340</f>
        <v>4618.0412122777561</v>
      </c>
      <c r="AG340" s="6">
        <f>$O$340*$AA$340</f>
        <v>623.13679658310377</v>
      </c>
    </row>
    <row r="341" spans="1:33" ht="11.25" customHeight="1" x14ac:dyDescent="0.3">
      <c r="A341" s="4" t="s">
        <v>21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44652</v>
      </c>
      <c r="J341" s="6">
        <v>0</v>
      </c>
      <c r="K341" s="6">
        <v>0</v>
      </c>
      <c r="L341" s="6">
        <v>18.669</v>
      </c>
      <c r="M341" s="6">
        <v>18.669</v>
      </c>
      <c r="N341" s="6">
        <v>18.669</v>
      </c>
      <c r="O341" s="6">
        <v>18.669</v>
      </c>
      <c r="P341" s="6">
        <v>38</v>
      </c>
      <c r="Q341" s="4" t="s">
        <v>26</v>
      </c>
      <c r="R341" s="4">
        <v>0</v>
      </c>
      <c r="S341" s="6">
        <v>0</v>
      </c>
      <c r="T341" s="6">
        <v>9</v>
      </c>
      <c r="U341" s="6">
        <v>66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251.56</v>
      </c>
      <c r="X341" s="6">
        <f>IF(ISERROR(VLOOKUP($U$341,'TAR FIN'!$A$1:$O$85,15,0)),0,VLOOKUP($U$341,'TAR FIN'!$A$1:$O$85,15,0))</f>
        <v>133.84</v>
      </c>
      <c r="Y341" s="6"/>
      <c r="Z341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41" s="6">
        <f>('TE BE'!$AB$12+'TE BF'!$AB$12+'TE CVA'!$AB$12)*(1-CUSTOS!$M$35)</f>
        <v>46.775018509465831</v>
      </c>
      <c r="AB341" s="6">
        <f>$K$341*$V$341</f>
        <v>0</v>
      </c>
      <c r="AC341" s="6">
        <f>$M$341*$W$341</f>
        <v>4696.3736399999998</v>
      </c>
      <c r="AD341" s="6">
        <f>$O$341*$X$341</f>
        <v>2498.6589600000002</v>
      </c>
      <c r="AE341" s="6">
        <f>$K$341*$Y$341</f>
        <v>0</v>
      </c>
      <c r="AF341" s="6">
        <f ca="1">$M$341*$Z$341</f>
        <v>6471.5666860841784</v>
      </c>
      <c r="AG341" s="6">
        <f>$O$341*$AA$341</f>
        <v>873.2428205532176</v>
      </c>
    </row>
    <row r="342" spans="1:33" ht="11.25" customHeight="1" x14ac:dyDescent="0.3">
      <c r="A342" s="4" t="s">
        <v>21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44682</v>
      </c>
      <c r="J342" s="6">
        <v>0</v>
      </c>
      <c r="K342" s="6">
        <v>0</v>
      </c>
      <c r="L342" s="6">
        <v>18.667000000000002</v>
      </c>
      <c r="M342" s="6">
        <v>18.667000000000002</v>
      </c>
      <c r="N342" s="6">
        <v>18.667000000000002</v>
      </c>
      <c r="O342" s="6">
        <v>18.667000000000002</v>
      </c>
      <c r="P342" s="6">
        <v>37</v>
      </c>
      <c r="Q342" s="4" t="s">
        <v>26</v>
      </c>
      <c r="R342" s="4">
        <v>0</v>
      </c>
      <c r="S342" s="6">
        <v>0</v>
      </c>
      <c r="T342" s="6">
        <v>9</v>
      </c>
      <c r="U342" s="6">
        <v>66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251.56</v>
      </c>
      <c r="X342" s="6">
        <f>IF(ISERROR(VLOOKUP($U$342,'TAR FIN'!$A$1:$O$85,15,0)),0,VLOOKUP($U$342,'TAR FIN'!$A$1:$O$85,15,0))</f>
        <v>133.84</v>
      </c>
      <c r="Y342" s="6"/>
      <c r="Z342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42" s="6">
        <f>('TE BE'!$AB$12+'TE BF'!$AB$12+'TE CVA'!$AB$12)*(1-CUSTOS!$M$35)</f>
        <v>46.775018509465831</v>
      </c>
      <c r="AB342" s="6">
        <f>$K$342*$V$342</f>
        <v>0</v>
      </c>
      <c r="AC342" s="6">
        <f>$M$342*$W$342</f>
        <v>4695.8705200000004</v>
      </c>
      <c r="AD342" s="6">
        <f>$O$342*$X$342</f>
        <v>2498.3912800000003</v>
      </c>
      <c r="AE342" s="6">
        <f>$K$342*$Y$342</f>
        <v>0</v>
      </c>
      <c r="AF342" s="6">
        <f ca="1">$M$342*$Z$342</f>
        <v>6470.8733906011767</v>
      </c>
      <c r="AG342" s="6">
        <f>$O$342*$AA$342</f>
        <v>873.14927051619873</v>
      </c>
    </row>
    <row r="343" spans="1:33" ht="11.25" customHeight="1" x14ac:dyDescent="0.3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44713</v>
      </c>
      <c r="J343" s="6">
        <v>0</v>
      </c>
      <c r="K343" s="6">
        <v>0</v>
      </c>
      <c r="L343" s="6">
        <v>17.456</v>
      </c>
      <c r="M343" s="6">
        <v>17.456</v>
      </c>
      <c r="N343" s="6">
        <v>17.456</v>
      </c>
      <c r="O343" s="6">
        <v>17.456</v>
      </c>
      <c r="P343" s="6">
        <v>54</v>
      </c>
      <c r="Q343" s="4" t="s">
        <v>26</v>
      </c>
      <c r="R343" s="4">
        <v>0</v>
      </c>
      <c r="S343" s="6">
        <v>0</v>
      </c>
      <c r="T343" s="6">
        <v>9</v>
      </c>
      <c r="U343" s="6">
        <v>66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251.56</v>
      </c>
      <c r="X343" s="6">
        <f>IF(ISERROR(VLOOKUP($U$343,'TAR FIN'!$A$1:$O$85,15,0)),0,VLOOKUP($U$343,'TAR FIN'!$A$1:$O$85,15,0))</f>
        <v>133.84</v>
      </c>
      <c r="Y343" s="6"/>
      <c r="Z343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43" s="6">
        <f>('TE BE'!$AB$12+'TE BF'!$AB$12+'TE CVA'!$AB$12)*(1-CUSTOS!$M$35)</f>
        <v>46.775018509465831</v>
      </c>
      <c r="AB343" s="6">
        <f>$K$343*$V$343</f>
        <v>0</v>
      </c>
      <c r="AC343" s="6">
        <f>$M$343*$W$343</f>
        <v>4391.2313599999998</v>
      </c>
      <c r="AD343" s="6">
        <f>$O$343*$X$343</f>
        <v>2336.31104</v>
      </c>
      <c r="AE343" s="6">
        <f>$K$343*$Y$343</f>
        <v>0</v>
      </c>
      <c r="AF343" s="6">
        <f ca="1">$M$343*$Z$343</f>
        <v>6051.082975643335</v>
      </c>
      <c r="AG343" s="6">
        <f>$O$343*$AA$343</f>
        <v>816.50472310123553</v>
      </c>
    </row>
    <row r="344" spans="1:33" ht="11.25" customHeight="1" x14ac:dyDescent="0.3">
      <c r="A344" s="4" t="s">
        <v>21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44743</v>
      </c>
      <c r="J344" s="6">
        <v>0</v>
      </c>
      <c r="K344" s="6">
        <v>0</v>
      </c>
      <c r="L344" s="6">
        <v>16.745999999999999</v>
      </c>
      <c r="M344" s="6">
        <v>16.745999999999999</v>
      </c>
      <c r="N344" s="6">
        <v>16.745999999999999</v>
      </c>
      <c r="O344" s="6">
        <v>16.745999999999999</v>
      </c>
      <c r="P344" s="6">
        <v>57</v>
      </c>
      <c r="Q344" s="4" t="s">
        <v>26</v>
      </c>
      <c r="R344" s="4">
        <v>0</v>
      </c>
      <c r="S344" s="6">
        <v>0</v>
      </c>
      <c r="T344" s="6">
        <v>9</v>
      </c>
      <c r="U344" s="6">
        <v>66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251.56</v>
      </c>
      <c r="X344" s="6">
        <f>IF(ISERROR(VLOOKUP($U$344,'TAR FIN'!$A$1:$O$85,15,0)),0,VLOOKUP($U$344,'TAR FIN'!$A$1:$O$85,15,0))</f>
        <v>133.84</v>
      </c>
      <c r="Y344" s="6"/>
      <c r="Z344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44" s="6">
        <f>('TE BE'!$AB$12+'TE BF'!$AB$12+'TE CVA'!$AB$12)*(1-CUSTOS!$M$35)</f>
        <v>46.775018509465831</v>
      </c>
      <c r="AB344" s="6">
        <f>$K$344*$V$344</f>
        <v>0</v>
      </c>
      <c r="AC344" s="6">
        <f>$M$344*$W$344</f>
        <v>4212.6237599999995</v>
      </c>
      <c r="AD344" s="6">
        <f>$O$344*$X$344</f>
        <v>2241.2846399999999</v>
      </c>
      <c r="AE344" s="6">
        <f>$K$344*$Y$344</f>
        <v>0</v>
      </c>
      <c r="AF344" s="6">
        <f ca="1">$M$344*$Z$344</f>
        <v>5804.963079177548</v>
      </c>
      <c r="AG344" s="6">
        <f>$O$344*$AA$344</f>
        <v>783.29445995951471</v>
      </c>
    </row>
    <row r="345" spans="1:33" ht="11.25" customHeight="1" x14ac:dyDescent="0.3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44774</v>
      </c>
      <c r="J345" s="6">
        <v>0</v>
      </c>
      <c r="K345" s="6">
        <v>0</v>
      </c>
      <c r="L345" s="6">
        <v>17.123000000000001</v>
      </c>
      <c r="M345" s="6">
        <v>17.123000000000001</v>
      </c>
      <c r="N345" s="6">
        <v>17.123000000000001</v>
      </c>
      <c r="O345" s="6">
        <v>17.123000000000001</v>
      </c>
      <c r="P345" s="6">
        <v>43</v>
      </c>
      <c r="Q345" s="4" t="s">
        <v>26</v>
      </c>
      <c r="R345" s="4">
        <v>0</v>
      </c>
      <c r="S345" s="6">
        <v>0</v>
      </c>
      <c r="T345" s="6">
        <v>9</v>
      </c>
      <c r="U345" s="6">
        <v>66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251.56</v>
      </c>
      <c r="X345" s="6">
        <f>IF(ISERROR(VLOOKUP($U$345,'TAR FIN'!$A$1:$O$85,15,0)),0,VLOOKUP($U$345,'TAR FIN'!$A$1:$O$85,15,0))</f>
        <v>133.84</v>
      </c>
      <c r="Y345" s="6"/>
      <c r="Z345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345" s="6">
        <f>('TE BE'!$AB$12+'TE BF'!$AB$12+'TE CVA'!$AB$12)*(1-CUSTOS!$M$35)</f>
        <v>46.775018509465831</v>
      </c>
      <c r="AB345" s="6">
        <f>$K$345*$V$345</f>
        <v>0</v>
      </c>
      <c r="AC345" s="6">
        <f>$M$345*$W$345</f>
        <v>4307.4618800000007</v>
      </c>
      <c r="AD345" s="6">
        <f>$O$345*$X$345</f>
        <v>2291.7423200000003</v>
      </c>
      <c r="AE345" s="6">
        <f>$K$345*$Y$345</f>
        <v>0</v>
      </c>
      <c r="AF345" s="6">
        <f ca="1">$M$345*$Z$345</f>
        <v>5935.6492777234662</v>
      </c>
      <c r="AG345" s="6">
        <f>$O$345*$AA$345</f>
        <v>800.92864193758351</v>
      </c>
    </row>
    <row r="346" spans="1:33" ht="11.25" customHeight="1" x14ac:dyDescent="0.3">
      <c r="A346" s="4" t="s">
        <v>21</v>
      </c>
      <c r="B346" s="4" t="s">
        <v>22</v>
      </c>
      <c r="C346" s="4" t="s">
        <v>23</v>
      </c>
      <c r="D346" s="4" t="s">
        <v>24</v>
      </c>
      <c r="E346" s="4" t="s">
        <v>31</v>
      </c>
      <c r="F346" s="4" t="s">
        <v>25</v>
      </c>
      <c r="G346" s="4" t="s">
        <v>25</v>
      </c>
      <c r="H346" s="4" t="s">
        <v>25</v>
      </c>
      <c r="I346" s="5">
        <v>44440</v>
      </c>
      <c r="J346" s="6">
        <v>0</v>
      </c>
      <c r="K346" s="6">
        <v>0</v>
      </c>
      <c r="L346" s="6">
        <v>13.037000000000001</v>
      </c>
      <c r="M346" s="6">
        <v>13.037000000000001</v>
      </c>
      <c r="N346" s="6">
        <v>13.037000000000001</v>
      </c>
      <c r="O346" s="6">
        <v>13.037000000000001</v>
      </c>
      <c r="P346" s="6">
        <v>96</v>
      </c>
      <c r="Q346" s="4" t="s">
        <v>26</v>
      </c>
      <c r="R346" s="4">
        <v>0</v>
      </c>
      <c r="S346" s="6">
        <v>0</v>
      </c>
      <c r="T346" s="6">
        <v>11</v>
      </c>
      <c r="U346" s="6">
        <v>79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377.34</v>
      </c>
      <c r="X346" s="6">
        <f>IF(ISERROR(VLOOKUP($U$346,'TAR FIN'!$A$1:$O$85,15,0)),0,VLOOKUP($U$346,'TAR FIN'!$A$1:$O$85,15,0))</f>
        <v>200.76</v>
      </c>
      <c r="Y346" s="6"/>
      <c r="Z346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46" s="6">
        <f>('TE BE'!$AB$13+'TE BF'!$AB$13+'TE CVA'!$AB$13)*(1-CUSTOS!$M$36)</f>
        <v>70.162527764198742</v>
      </c>
      <c r="AB346" s="6">
        <f>$K$346*$V$346</f>
        <v>0</v>
      </c>
      <c r="AC346" s="6">
        <f>$M$346*$W$346</f>
        <v>4919.3815800000002</v>
      </c>
      <c r="AD346" s="6">
        <f>$O$346*$X$346</f>
        <v>2617.3081200000001</v>
      </c>
      <c r="AE346" s="6">
        <f>$K$346*$Y$346</f>
        <v>0</v>
      </c>
      <c r="AF346" s="6">
        <f ca="1">$M$346*$Z$346</f>
        <v>6778.8699089249103</v>
      </c>
      <c r="AG346" s="6">
        <f>$O$346*$AA$346</f>
        <v>914.70887446185907</v>
      </c>
    </row>
    <row r="347" spans="1:33" ht="11.25" customHeight="1" x14ac:dyDescent="0.3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31</v>
      </c>
      <c r="F347" s="4" t="s">
        <v>25</v>
      </c>
      <c r="G347" s="4" t="s">
        <v>25</v>
      </c>
      <c r="H347" s="4" t="s">
        <v>25</v>
      </c>
      <c r="I347" s="5">
        <v>44470</v>
      </c>
      <c r="J347" s="6">
        <v>0</v>
      </c>
      <c r="K347" s="6">
        <v>0</v>
      </c>
      <c r="L347" s="6">
        <v>11.964</v>
      </c>
      <c r="M347" s="6">
        <v>11.964</v>
      </c>
      <c r="N347" s="6">
        <v>11.964</v>
      </c>
      <c r="O347" s="6">
        <v>11.964</v>
      </c>
      <c r="P347" s="6">
        <v>98</v>
      </c>
      <c r="Q347" s="4" t="s">
        <v>26</v>
      </c>
      <c r="R347" s="4">
        <v>0</v>
      </c>
      <c r="S347" s="6">
        <v>0</v>
      </c>
      <c r="T347" s="6">
        <v>11</v>
      </c>
      <c r="U347" s="6">
        <v>79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377.34</v>
      </c>
      <c r="X347" s="6">
        <f>IF(ISERROR(VLOOKUP($U$347,'TAR FIN'!$A$1:$O$85,15,0)),0,VLOOKUP($U$347,'TAR FIN'!$A$1:$O$85,15,0))</f>
        <v>200.76</v>
      </c>
      <c r="Y347" s="6"/>
      <c r="Z347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47" s="6">
        <f>('TE BE'!$AB$13+'TE BF'!$AB$13+'TE CVA'!$AB$13)*(1-CUSTOS!$M$36)</f>
        <v>70.162527764198742</v>
      </c>
      <c r="AB347" s="6">
        <f>$K$347*$V$347</f>
        <v>0</v>
      </c>
      <c r="AC347" s="6">
        <f>$M$347*$W$347</f>
        <v>4514.4957599999998</v>
      </c>
      <c r="AD347" s="6">
        <f>$O$347*$X$347</f>
        <v>2401.89264</v>
      </c>
      <c r="AE347" s="6">
        <f>$K$347*$Y$347</f>
        <v>0</v>
      </c>
      <c r="AF347" s="6">
        <f ca="1">$M$347*$Z$347</f>
        <v>6220.9403689788778</v>
      </c>
      <c r="AG347" s="6">
        <f>$O$347*$AA$347</f>
        <v>839.42448217087383</v>
      </c>
    </row>
    <row r="348" spans="1:33" ht="11.25" customHeight="1" x14ac:dyDescent="0.3">
      <c r="A348" s="4" t="s">
        <v>21</v>
      </c>
      <c r="B348" s="4" t="s">
        <v>22</v>
      </c>
      <c r="C348" s="4" t="s">
        <v>23</v>
      </c>
      <c r="D348" s="4" t="s">
        <v>24</v>
      </c>
      <c r="E348" s="4" t="s">
        <v>31</v>
      </c>
      <c r="F348" s="4" t="s">
        <v>25</v>
      </c>
      <c r="G348" s="4" t="s">
        <v>25</v>
      </c>
      <c r="H348" s="4" t="s">
        <v>25</v>
      </c>
      <c r="I348" s="5">
        <v>44501</v>
      </c>
      <c r="J348" s="6">
        <v>0</v>
      </c>
      <c r="K348" s="6">
        <v>0</v>
      </c>
      <c r="L348" s="6">
        <v>12.827999999999999</v>
      </c>
      <c r="M348" s="6">
        <v>12.827999999999999</v>
      </c>
      <c r="N348" s="6">
        <v>12.827999999999999</v>
      </c>
      <c r="O348" s="6">
        <v>12.827999999999999</v>
      </c>
      <c r="P348" s="6">
        <v>105</v>
      </c>
      <c r="Q348" s="4" t="s">
        <v>26</v>
      </c>
      <c r="R348" s="4">
        <v>0</v>
      </c>
      <c r="S348" s="6">
        <v>0</v>
      </c>
      <c r="T348" s="6">
        <v>11</v>
      </c>
      <c r="U348" s="6">
        <v>79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377.34</v>
      </c>
      <c r="X348" s="6">
        <f>IF(ISERROR(VLOOKUP($U$348,'TAR FIN'!$A$1:$O$85,15,0)),0,VLOOKUP($U$348,'TAR FIN'!$A$1:$O$85,15,0))</f>
        <v>200.76</v>
      </c>
      <c r="Y348" s="6"/>
      <c r="Z348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48" s="6">
        <f>('TE BE'!$AB$13+'TE BF'!$AB$13+'TE CVA'!$AB$13)*(1-CUSTOS!$M$36)</f>
        <v>70.162527764198742</v>
      </c>
      <c r="AB348" s="6">
        <f>$K$348*$V$348</f>
        <v>0</v>
      </c>
      <c r="AC348" s="6">
        <f>$M$348*$W$348</f>
        <v>4840.5175199999994</v>
      </c>
      <c r="AD348" s="6">
        <f>$O$348*$X$348</f>
        <v>2575.3492799999999</v>
      </c>
      <c r="AE348" s="6">
        <f>$K$348*$Y$348</f>
        <v>0</v>
      </c>
      <c r="AF348" s="6">
        <f ca="1">$M$348*$Z$348</f>
        <v>6670.1958419643124</v>
      </c>
      <c r="AG348" s="6">
        <f>$O$348*$AA$348</f>
        <v>900.04490615914142</v>
      </c>
    </row>
    <row r="349" spans="1:33" ht="11.25" customHeight="1" x14ac:dyDescent="0.3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31</v>
      </c>
      <c r="F349" s="4" t="s">
        <v>25</v>
      </c>
      <c r="G349" s="4" t="s">
        <v>25</v>
      </c>
      <c r="H349" s="4" t="s">
        <v>25</v>
      </c>
      <c r="I349" s="5">
        <v>44531</v>
      </c>
      <c r="J349" s="6">
        <v>0</v>
      </c>
      <c r="K349" s="6">
        <v>0</v>
      </c>
      <c r="L349" s="6">
        <v>11.624000000000001</v>
      </c>
      <c r="M349" s="6">
        <v>11.624000000000001</v>
      </c>
      <c r="N349" s="6">
        <v>11.624000000000001</v>
      </c>
      <c r="O349" s="6">
        <v>11.624000000000001</v>
      </c>
      <c r="P349" s="6">
        <v>109</v>
      </c>
      <c r="Q349" s="4" t="s">
        <v>26</v>
      </c>
      <c r="R349" s="4">
        <v>0</v>
      </c>
      <c r="S349" s="6">
        <v>0</v>
      </c>
      <c r="T349" s="6">
        <v>11</v>
      </c>
      <c r="U349" s="6">
        <v>79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377.34</v>
      </c>
      <c r="X349" s="6">
        <f>IF(ISERROR(VLOOKUP($U$349,'TAR FIN'!$A$1:$O$85,15,0)),0,VLOOKUP($U$349,'TAR FIN'!$A$1:$O$85,15,0))</f>
        <v>200.76</v>
      </c>
      <c r="Y349" s="6"/>
      <c r="Z349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49" s="6">
        <f>('TE BE'!$AB$13+'TE BF'!$AB$13+'TE CVA'!$AB$13)*(1-CUSTOS!$M$36)</f>
        <v>70.162527764198742</v>
      </c>
      <c r="AB349" s="6">
        <f>$K$349*$V$349</f>
        <v>0</v>
      </c>
      <c r="AC349" s="6">
        <f>$M$349*$W$349</f>
        <v>4386.2001600000003</v>
      </c>
      <c r="AD349" s="6">
        <f>$O$349*$X$349</f>
        <v>2333.6342399999999</v>
      </c>
      <c r="AE349" s="6">
        <f>$K$349*$Y$349</f>
        <v>0</v>
      </c>
      <c r="AF349" s="6">
        <f ca="1">$M$349*$Z$349</f>
        <v>6044.1500208133129</v>
      </c>
      <c r="AG349" s="6">
        <f>$O$349*$AA$349</f>
        <v>815.56922273104624</v>
      </c>
    </row>
    <row r="350" spans="1:33" ht="11.25" customHeight="1" x14ac:dyDescent="0.3">
      <c r="A350" s="4" t="s">
        <v>21</v>
      </c>
      <c r="B350" s="4" t="s">
        <v>22</v>
      </c>
      <c r="C350" s="4" t="s">
        <v>23</v>
      </c>
      <c r="D350" s="4" t="s">
        <v>24</v>
      </c>
      <c r="E350" s="4" t="s">
        <v>31</v>
      </c>
      <c r="F350" s="4" t="s">
        <v>25</v>
      </c>
      <c r="G350" s="4" t="s">
        <v>25</v>
      </c>
      <c r="H350" s="4" t="s">
        <v>25</v>
      </c>
      <c r="I350" s="5">
        <v>44562</v>
      </c>
      <c r="J350" s="6">
        <v>0</v>
      </c>
      <c r="K350" s="6">
        <v>0</v>
      </c>
      <c r="L350" s="6">
        <v>13.792999999999999</v>
      </c>
      <c r="M350" s="6">
        <v>13.792999999999999</v>
      </c>
      <c r="N350" s="6">
        <v>13.792999999999999</v>
      </c>
      <c r="O350" s="6">
        <v>13.792999999999999</v>
      </c>
      <c r="P350" s="6">
        <v>96</v>
      </c>
      <c r="Q350" s="4" t="s">
        <v>26</v>
      </c>
      <c r="R350" s="4">
        <v>0</v>
      </c>
      <c r="S350" s="6">
        <v>0</v>
      </c>
      <c r="T350" s="6">
        <v>11</v>
      </c>
      <c r="U350" s="6">
        <v>79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377.34</v>
      </c>
      <c r="X350" s="6">
        <f>IF(ISERROR(VLOOKUP($U$350,'TAR FIN'!$A$1:$O$85,15,0)),0,VLOOKUP($U$350,'TAR FIN'!$A$1:$O$85,15,0))</f>
        <v>200.76</v>
      </c>
      <c r="Y350" s="6"/>
      <c r="Z350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0" s="6">
        <f>('TE BE'!$AB$13+'TE BF'!$AB$13+'TE CVA'!$AB$13)*(1-CUSTOS!$M$36)</f>
        <v>70.162527764198742</v>
      </c>
      <c r="AB350" s="6">
        <f>$K$350*$V$350</f>
        <v>0</v>
      </c>
      <c r="AC350" s="6">
        <f>$M$350*$W$350</f>
        <v>5204.6506199999994</v>
      </c>
      <c r="AD350" s="6">
        <f>$O$350*$X$350</f>
        <v>2769.0826799999995</v>
      </c>
      <c r="AE350" s="6">
        <f>$K$350*$Y$350</f>
        <v>0</v>
      </c>
      <c r="AF350" s="6">
        <f ca="1">$M$350*$Z$350</f>
        <v>7171.968447787166</v>
      </c>
      <c r="AG350" s="6">
        <f>$O$350*$AA$350</f>
        <v>967.75174545159325</v>
      </c>
    </row>
    <row r="351" spans="1:33" ht="11.25" customHeight="1" x14ac:dyDescent="0.3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31</v>
      </c>
      <c r="F351" s="4" t="s">
        <v>25</v>
      </c>
      <c r="G351" s="4" t="s">
        <v>25</v>
      </c>
      <c r="H351" s="4" t="s">
        <v>25</v>
      </c>
      <c r="I351" s="5">
        <v>44593</v>
      </c>
      <c r="J351" s="6">
        <v>0</v>
      </c>
      <c r="K351" s="6">
        <v>0</v>
      </c>
      <c r="L351" s="6">
        <v>16.074000000000002</v>
      </c>
      <c r="M351" s="6">
        <v>16.074000000000002</v>
      </c>
      <c r="N351" s="6">
        <v>16.074000000000002</v>
      </c>
      <c r="O351" s="6">
        <v>16.074000000000002</v>
      </c>
      <c r="P351" s="6">
        <v>83</v>
      </c>
      <c r="Q351" s="4" t="s">
        <v>26</v>
      </c>
      <c r="R351" s="4">
        <v>0</v>
      </c>
      <c r="S351" s="6">
        <v>0</v>
      </c>
      <c r="T351" s="6">
        <v>11</v>
      </c>
      <c r="U351" s="6">
        <v>79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377.34</v>
      </c>
      <c r="X351" s="6">
        <f>IF(ISERROR(VLOOKUP($U$351,'TAR FIN'!$A$1:$O$85,15,0)),0,VLOOKUP($U$351,'TAR FIN'!$A$1:$O$85,15,0))</f>
        <v>200.76</v>
      </c>
      <c r="Y351" s="6"/>
      <c r="Z351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1" s="6">
        <f>('TE BE'!$AB$13+'TE BF'!$AB$13+'TE CVA'!$AB$13)*(1-CUSTOS!$M$36)</f>
        <v>70.162527764198742</v>
      </c>
      <c r="AB351" s="6">
        <f>$K$351*$V$351</f>
        <v>0</v>
      </c>
      <c r="AC351" s="6">
        <f>$M$351*$W$351</f>
        <v>6065.3631599999999</v>
      </c>
      <c r="AD351" s="6">
        <f>$O$351*$X$351</f>
        <v>3227.0162400000004</v>
      </c>
      <c r="AE351" s="6">
        <f>$K$351*$Y$351</f>
        <v>0</v>
      </c>
      <c r="AF351" s="6">
        <f ca="1">$M$351*$Z$351</f>
        <v>8358.023695333206</v>
      </c>
      <c r="AG351" s="6">
        <f>$O$351*$AA$351</f>
        <v>1127.7924712817307</v>
      </c>
    </row>
    <row r="352" spans="1:33" ht="11.25" customHeight="1" x14ac:dyDescent="0.3">
      <c r="A352" s="4" t="s">
        <v>21</v>
      </c>
      <c r="B352" s="4" t="s">
        <v>22</v>
      </c>
      <c r="C352" s="4" t="s">
        <v>23</v>
      </c>
      <c r="D352" s="4" t="s">
        <v>24</v>
      </c>
      <c r="E352" s="4" t="s">
        <v>31</v>
      </c>
      <c r="F352" s="4" t="s">
        <v>25</v>
      </c>
      <c r="G352" s="4" t="s">
        <v>25</v>
      </c>
      <c r="H352" s="4" t="s">
        <v>25</v>
      </c>
      <c r="I352" s="5">
        <v>44621</v>
      </c>
      <c r="J352" s="6">
        <v>0</v>
      </c>
      <c r="K352" s="6">
        <v>0</v>
      </c>
      <c r="L352" s="6">
        <v>16.405999999999999</v>
      </c>
      <c r="M352" s="6">
        <v>16.405999999999999</v>
      </c>
      <c r="N352" s="6">
        <v>16.405999999999999</v>
      </c>
      <c r="O352" s="6">
        <v>16.405999999999999</v>
      </c>
      <c r="P352" s="6">
        <v>92</v>
      </c>
      <c r="Q352" s="4" t="s">
        <v>26</v>
      </c>
      <c r="R352" s="4">
        <v>0</v>
      </c>
      <c r="S352" s="6">
        <v>0</v>
      </c>
      <c r="T352" s="6">
        <v>11</v>
      </c>
      <c r="U352" s="6">
        <v>79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377.34</v>
      </c>
      <c r="X352" s="6">
        <f>IF(ISERROR(VLOOKUP($U$352,'TAR FIN'!$A$1:$O$85,15,0)),0,VLOOKUP($U$352,'TAR FIN'!$A$1:$O$85,15,0))</f>
        <v>200.76</v>
      </c>
      <c r="Y352" s="6"/>
      <c r="Z352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2" s="6">
        <f>('TE BE'!$AB$13+'TE BF'!$AB$13+'TE CVA'!$AB$13)*(1-CUSTOS!$M$36)</f>
        <v>70.162527764198742</v>
      </c>
      <c r="AB352" s="6">
        <f>$K$352*$V$352</f>
        <v>0</v>
      </c>
      <c r="AC352" s="6">
        <f>$M$352*$W$352</f>
        <v>6190.6400399999993</v>
      </c>
      <c r="AD352" s="6">
        <f>$O$352*$X$352</f>
        <v>3293.6685599999996</v>
      </c>
      <c r="AE352" s="6">
        <f>$K$352*$Y$352</f>
        <v>0</v>
      </c>
      <c r="AF352" s="6">
        <f ca="1">$M$352*$Z$352</f>
        <v>8530.6542706007567</v>
      </c>
      <c r="AG352" s="6">
        <f>$O$352*$AA$352</f>
        <v>1151.0864304994445</v>
      </c>
    </row>
    <row r="353" spans="1:33" ht="11.25" customHeight="1" x14ac:dyDescent="0.3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31</v>
      </c>
      <c r="F353" s="4" t="s">
        <v>25</v>
      </c>
      <c r="G353" s="4" t="s">
        <v>25</v>
      </c>
      <c r="H353" s="4" t="s">
        <v>25</v>
      </c>
      <c r="I353" s="5">
        <v>44652</v>
      </c>
      <c r="J353" s="6">
        <v>0</v>
      </c>
      <c r="K353" s="6">
        <v>0</v>
      </c>
      <c r="L353" s="6">
        <v>20.940999999999999</v>
      </c>
      <c r="M353" s="6">
        <v>20.940999999999999</v>
      </c>
      <c r="N353" s="6">
        <v>20.940999999999999</v>
      </c>
      <c r="O353" s="6">
        <v>20.940999999999999</v>
      </c>
      <c r="P353" s="6">
        <v>140</v>
      </c>
      <c r="Q353" s="4" t="s">
        <v>26</v>
      </c>
      <c r="R353" s="4">
        <v>0</v>
      </c>
      <c r="S353" s="6">
        <v>0</v>
      </c>
      <c r="T353" s="6">
        <v>11</v>
      </c>
      <c r="U353" s="6">
        <v>79</v>
      </c>
      <c r="V353" s="6">
        <f>IF(ISERROR(VLOOKUP($S$353,'TAR FIN'!$A$1:$O$85,15,0)),0,VLOOKUP($S$353,'TAR FIN'!$A$1:$O$85,15,0))</f>
        <v>0</v>
      </c>
      <c r="W353" s="6">
        <f>IF(ISERROR(VLOOKUP($T$353,'TAR FIN'!$A$1:$O$85,15,0)),0,VLOOKUP($T$353,'TAR FIN'!$A$1:$O$85,15,0))</f>
        <v>377.34</v>
      </c>
      <c r="X353" s="6">
        <f>IF(ISERROR(VLOOKUP($U$353,'TAR FIN'!$A$1:$O$85,15,0)),0,VLOOKUP($U$353,'TAR FIN'!$A$1:$O$85,15,0))</f>
        <v>200.76</v>
      </c>
      <c r="Y353" s="6"/>
      <c r="Z353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3" s="6">
        <f>('TE BE'!$AB$13+'TE BF'!$AB$13+'TE CVA'!$AB$13)*(1-CUSTOS!$M$36)</f>
        <v>70.162527764198742</v>
      </c>
      <c r="AB353" s="6">
        <f>$K$353*$V$353</f>
        <v>0</v>
      </c>
      <c r="AC353" s="6">
        <f>$M$353*$W$353</f>
        <v>7901.8769399999992</v>
      </c>
      <c r="AD353" s="6">
        <f>$O$353*$X$353</f>
        <v>4204.1151599999994</v>
      </c>
      <c r="AE353" s="6">
        <f>$K$353*$Y$353</f>
        <v>0</v>
      </c>
      <c r="AF353" s="6">
        <f ca="1">$M$353*$Z$353</f>
        <v>10888.725532162041</v>
      </c>
      <c r="AG353" s="6">
        <f>$O$353*$AA$353</f>
        <v>1469.2734939100858</v>
      </c>
    </row>
    <row r="354" spans="1:33" ht="11.25" customHeight="1" x14ac:dyDescent="0.3">
      <c r="A354" s="4" t="s">
        <v>21</v>
      </c>
      <c r="B354" s="4" t="s">
        <v>22</v>
      </c>
      <c r="C354" s="4" t="s">
        <v>23</v>
      </c>
      <c r="D354" s="4" t="s">
        <v>24</v>
      </c>
      <c r="E354" s="4" t="s">
        <v>31</v>
      </c>
      <c r="F354" s="4" t="s">
        <v>25</v>
      </c>
      <c r="G354" s="4" t="s">
        <v>25</v>
      </c>
      <c r="H354" s="4" t="s">
        <v>25</v>
      </c>
      <c r="I354" s="5">
        <v>44682</v>
      </c>
      <c r="J354" s="6">
        <v>0</v>
      </c>
      <c r="K354" s="6">
        <v>0</v>
      </c>
      <c r="L354" s="6">
        <v>20.719000000000001</v>
      </c>
      <c r="M354" s="6">
        <v>20.719000000000001</v>
      </c>
      <c r="N354" s="6">
        <v>20.719000000000001</v>
      </c>
      <c r="O354" s="6">
        <v>20.719000000000001</v>
      </c>
      <c r="P354" s="6">
        <v>141</v>
      </c>
      <c r="Q354" s="4" t="s">
        <v>26</v>
      </c>
      <c r="R354" s="4">
        <v>0</v>
      </c>
      <c r="S354" s="6">
        <v>0</v>
      </c>
      <c r="T354" s="6">
        <v>11</v>
      </c>
      <c r="U354" s="6">
        <v>79</v>
      </c>
      <c r="V354" s="6">
        <f>IF(ISERROR(VLOOKUP($S$354,'TAR FIN'!$A$1:$O$85,15,0)),0,VLOOKUP($S$354,'TAR FIN'!$A$1:$O$85,15,0))</f>
        <v>0</v>
      </c>
      <c r="W354" s="6">
        <f>IF(ISERROR(VLOOKUP($T$354,'TAR FIN'!$A$1:$O$85,15,0)),0,VLOOKUP($T$354,'TAR FIN'!$A$1:$O$85,15,0))</f>
        <v>377.34</v>
      </c>
      <c r="X354" s="6">
        <f>IF(ISERROR(VLOOKUP($U$354,'TAR FIN'!$A$1:$O$85,15,0)),0,VLOOKUP($U$354,'TAR FIN'!$A$1:$O$85,15,0))</f>
        <v>200.76</v>
      </c>
      <c r="Y354" s="6"/>
      <c r="Z354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4" s="6">
        <f>('TE BE'!$AB$13+'TE BF'!$AB$13+'TE CVA'!$AB$13)*(1-CUSTOS!$M$36)</f>
        <v>70.162527764198742</v>
      </c>
      <c r="AB354" s="6">
        <f>$K$354*$V$354</f>
        <v>0</v>
      </c>
      <c r="AC354" s="6">
        <f>$M$354*$W$354</f>
        <v>7818.1074600000002</v>
      </c>
      <c r="AD354" s="6">
        <f>$O$354*$X$354</f>
        <v>4159.5464400000001</v>
      </c>
      <c r="AE354" s="6">
        <f>$K$354*$Y$354</f>
        <v>0</v>
      </c>
      <c r="AF354" s="6">
        <f ca="1">$M$354*$Z$354</f>
        <v>10773.291834242174</v>
      </c>
      <c r="AG354" s="6">
        <f>$O$354*$AA$354</f>
        <v>1453.6974127464339</v>
      </c>
    </row>
    <row r="355" spans="1:33" ht="11.25" customHeight="1" x14ac:dyDescent="0.3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31</v>
      </c>
      <c r="F355" s="4" t="s">
        <v>25</v>
      </c>
      <c r="G355" s="4" t="s">
        <v>25</v>
      </c>
      <c r="H355" s="4" t="s">
        <v>25</v>
      </c>
      <c r="I355" s="5">
        <v>44713</v>
      </c>
      <c r="J355" s="6">
        <v>0</v>
      </c>
      <c r="K355" s="6">
        <v>0</v>
      </c>
      <c r="L355" s="6">
        <v>20.085000000000001</v>
      </c>
      <c r="M355" s="6">
        <v>20.085000000000001</v>
      </c>
      <c r="N355" s="6">
        <v>20.085000000000001</v>
      </c>
      <c r="O355" s="6">
        <v>20.085000000000001</v>
      </c>
      <c r="P355" s="6">
        <v>118</v>
      </c>
      <c r="Q355" s="4" t="s">
        <v>26</v>
      </c>
      <c r="R355" s="4">
        <v>0</v>
      </c>
      <c r="S355" s="6">
        <v>0</v>
      </c>
      <c r="T355" s="6">
        <v>11</v>
      </c>
      <c r="U355" s="6">
        <v>79</v>
      </c>
      <c r="V355" s="6">
        <f>IF(ISERROR(VLOOKUP($S$355,'TAR FIN'!$A$1:$O$85,15,0)),0,VLOOKUP($S$355,'TAR FIN'!$A$1:$O$85,15,0))</f>
        <v>0</v>
      </c>
      <c r="W355" s="6">
        <f>IF(ISERROR(VLOOKUP($T$355,'TAR FIN'!$A$1:$O$85,15,0)),0,VLOOKUP($T$355,'TAR FIN'!$A$1:$O$85,15,0))</f>
        <v>377.34</v>
      </c>
      <c r="X355" s="6">
        <f>IF(ISERROR(VLOOKUP($U$355,'TAR FIN'!$A$1:$O$85,15,0)),0,VLOOKUP($U$355,'TAR FIN'!$A$1:$O$85,15,0))</f>
        <v>200.76</v>
      </c>
      <c r="Y355" s="6"/>
      <c r="Z355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5" s="6">
        <f>('TE BE'!$AB$13+'TE BF'!$AB$13+'TE CVA'!$AB$13)*(1-CUSTOS!$M$36)</f>
        <v>70.162527764198742</v>
      </c>
      <c r="AB355" s="6">
        <f>$K$355*$V$355</f>
        <v>0</v>
      </c>
      <c r="AC355" s="6">
        <f>$M$355*$W$355</f>
        <v>7578.8738999999996</v>
      </c>
      <c r="AD355" s="6">
        <f>$O$355*$X$355</f>
        <v>4032.2646</v>
      </c>
      <c r="AE355" s="6">
        <f>$K$355*$Y$355</f>
        <v>0</v>
      </c>
      <c r="AF355" s="6">
        <f ca="1">$M$355*$Z$355</f>
        <v>10443.629832074621</v>
      </c>
      <c r="AG355" s="6">
        <f>$O$355*$AA$355</f>
        <v>1409.2143701439318</v>
      </c>
    </row>
    <row r="356" spans="1:33" ht="11.25" customHeight="1" x14ac:dyDescent="0.3">
      <c r="A356" s="4" t="s">
        <v>21</v>
      </c>
      <c r="B356" s="4" t="s">
        <v>22</v>
      </c>
      <c r="C356" s="4" t="s">
        <v>23</v>
      </c>
      <c r="D356" s="4" t="s">
        <v>24</v>
      </c>
      <c r="E356" s="4" t="s">
        <v>31</v>
      </c>
      <c r="F356" s="4" t="s">
        <v>25</v>
      </c>
      <c r="G356" s="4" t="s">
        <v>25</v>
      </c>
      <c r="H356" s="4" t="s">
        <v>25</v>
      </c>
      <c r="I356" s="5">
        <v>44743</v>
      </c>
      <c r="J356" s="6">
        <v>0</v>
      </c>
      <c r="K356" s="6">
        <v>0</v>
      </c>
      <c r="L356" s="6">
        <v>16.491</v>
      </c>
      <c r="M356" s="6">
        <v>16.491</v>
      </c>
      <c r="N356" s="6">
        <v>16.491</v>
      </c>
      <c r="O356" s="6">
        <v>16.491</v>
      </c>
      <c r="P356" s="6">
        <v>134</v>
      </c>
      <c r="Q356" s="4" t="s">
        <v>26</v>
      </c>
      <c r="R356" s="4">
        <v>0</v>
      </c>
      <c r="S356" s="6">
        <v>0</v>
      </c>
      <c r="T356" s="6">
        <v>11</v>
      </c>
      <c r="U356" s="6">
        <v>79</v>
      </c>
      <c r="V356" s="6">
        <f>IF(ISERROR(VLOOKUP($S$356,'TAR FIN'!$A$1:$O$85,15,0)),0,VLOOKUP($S$356,'TAR FIN'!$A$1:$O$85,15,0))</f>
        <v>0</v>
      </c>
      <c r="W356" s="6">
        <f>IF(ISERROR(VLOOKUP($T$356,'TAR FIN'!$A$1:$O$85,15,0)),0,VLOOKUP($T$356,'TAR FIN'!$A$1:$O$85,15,0))</f>
        <v>377.34</v>
      </c>
      <c r="X356" s="6">
        <f>IF(ISERROR(VLOOKUP($U$356,'TAR FIN'!$A$1:$O$85,15,0)),0,VLOOKUP($U$356,'TAR FIN'!$A$1:$O$85,15,0))</f>
        <v>200.76</v>
      </c>
      <c r="Y356" s="6"/>
      <c r="Z356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6" s="6">
        <f>('TE BE'!$AB$13+'TE BF'!$AB$13+'TE CVA'!$AB$13)*(1-CUSTOS!$M$36)</f>
        <v>70.162527764198742</v>
      </c>
      <c r="AB356" s="6">
        <f>$K$356*$V$356</f>
        <v>0</v>
      </c>
      <c r="AC356" s="6">
        <f>$M$356*$W$356</f>
        <v>6222.7139399999996</v>
      </c>
      <c r="AD356" s="6">
        <f>$O$356*$X$356</f>
        <v>3310.7331599999998</v>
      </c>
      <c r="AE356" s="6">
        <f>$K$356*$Y$356</f>
        <v>0</v>
      </c>
      <c r="AF356" s="6">
        <f ca="1">$M$356*$Z$356</f>
        <v>8574.8518576421484</v>
      </c>
      <c r="AG356" s="6">
        <f>$O$356*$AA$356</f>
        <v>1157.0502453594015</v>
      </c>
    </row>
    <row r="357" spans="1:33" ht="11.25" customHeight="1" x14ac:dyDescent="0.3">
      <c r="A357" s="4" t="s">
        <v>21</v>
      </c>
      <c r="B357" s="4" t="s">
        <v>22</v>
      </c>
      <c r="C357" s="4" t="s">
        <v>23</v>
      </c>
      <c r="D357" s="4" t="s">
        <v>24</v>
      </c>
      <c r="E357" s="4" t="s">
        <v>31</v>
      </c>
      <c r="F357" s="4" t="s">
        <v>25</v>
      </c>
      <c r="G357" s="4" t="s">
        <v>25</v>
      </c>
      <c r="H357" s="4" t="s">
        <v>25</v>
      </c>
      <c r="I357" s="5">
        <v>44774</v>
      </c>
      <c r="J357" s="6">
        <v>0</v>
      </c>
      <c r="K357" s="6">
        <v>0</v>
      </c>
      <c r="L357" s="6">
        <v>19.074999999999999</v>
      </c>
      <c r="M357" s="6">
        <v>19.074999999999999</v>
      </c>
      <c r="N357" s="6">
        <v>19.074999999999999</v>
      </c>
      <c r="O357" s="6">
        <v>19.074999999999999</v>
      </c>
      <c r="P357" s="6">
        <v>122</v>
      </c>
      <c r="Q357" s="4" t="s">
        <v>26</v>
      </c>
      <c r="R357" s="4">
        <v>0</v>
      </c>
      <c r="S357" s="6">
        <v>0</v>
      </c>
      <c r="T357" s="6">
        <v>11</v>
      </c>
      <c r="U357" s="6">
        <v>79</v>
      </c>
      <c r="V357" s="6">
        <f>IF(ISERROR(VLOOKUP($S$357,'TAR FIN'!$A$1:$O$85,15,0)),0,VLOOKUP($S$357,'TAR FIN'!$A$1:$O$85,15,0))</f>
        <v>0</v>
      </c>
      <c r="W357" s="6">
        <f>IF(ISERROR(VLOOKUP($T$357,'TAR FIN'!$A$1:$O$85,15,0)),0,VLOOKUP($T$357,'TAR FIN'!$A$1:$O$85,15,0))</f>
        <v>377.34</v>
      </c>
      <c r="X357" s="6">
        <f>IF(ISERROR(VLOOKUP($U$357,'TAR FIN'!$A$1:$O$85,15,0)),0,VLOOKUP($U$357,'TAR FIN'!$A$1:$O$85,15,0))</f>
        <v>200.76</v>
      </c>
      <c r="Y357" s="6"/>
      <c r="Z357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357" s="6">
        <f>('TE BE'!$AB$13+'TE BF'!$AB$13+'TE CVA'!$AB$13)*(1-CUSTOS!$M$36)</f>
        <v>70.162527764198742</v>
      </c>
      <c r="AB357" s="6">
        <f>$K$357*$V$357</f>
        <v>0</v>
      </c>
      <c r="AC357" s="6">
        <f>$M$357*$W$357</f>
        <v>7197.7604999999994</v>
      </c>
      <c r="AD357" s="6">
        <f>$O$357*$X$357</f>
        <v>3829.4969999999998</v>
      </c>
      <c r="AE357" s="6">
        <f>$K$357*$Y$357</f>
        <v>0</v>
      </c>
      <c r="AF357" s="6">
        <f ca="1">$M$357*$Z$357</f>
        <v>9918.4585037004417</v>
      </c>
      <c r="AG357" s="6">
        <f>$O$357*$AA$357</f>
        <v>1338.3502171020909</v>
      </c>
    </row>
    <row r="358" spans="1:33" ht="11.25" customHeight="1" x14ac:dyDescent="0.3">
      <c r="A358" s="4" t="s">
        <v>21</v>
      </c>
      <c r="B358" s="4" t="s">
        <v>22</v>
      </c>
      <c r="C358" s="4" t="s">
        <v>23</v>
      </c>
      <c r="D358" s="4" t="s">
        <v>24</v>
      </c>
      <c r="E358" s="4" t="s">
        <v>32</v>
      </c>
      <c r="F358" s="4" t="s">
        <v>25</v>
      </c>
      <c r="G358" s="4" t="s">
        <v>25</v>
      </c>
      <c r="H358" s="4" t="s">
        <v>25</v>
      </c>
      <c r="I358" s="5">
        <v>44440</v>
      </c>
      <c r="J358" s="6">
        <v>0</v>
      </c>
      <c r="K358" s="6">
        <v>0</v>
      </c>
      <c r="L358" s="6">
        <v>6.2409999999999997</v>
      </c>
      <c r="M358" s="6">
        <v>6.2409999999999997</v>
      </c>
      <c r="N358" s="6">
        <v>6.2409999999999997</v>
      </c>
      <c r="O358" s="6">
        <v>6.2409999999999997</v>
      </c>
      <c r="P358" s="6">
        <v>61</v>
      </c>
      <c r="Q358" s="4" t="s">
        <v>26</v>
      </c>
      <c r="R358" s="4">
        <v>0</v>
      </c>
      <c r="S358" s="6">
        <v>0</v>
      </c>
      <c r="T358" s="6">
        <v>20</v>
      </c>
      <c r="U358" s="6">
        <v>61</v>
      </c>
      <c r="V358" s="6">
        <f>IF(ISERROR(VLOOKUP($S$358,'TAR FIN'!$A$1:$O$85,15,0)),0,VLOOKUP($S$358,'TAR FIN'!$A$1:$O$85,15,0))</f>
        <v>0</v>
      </c>
      <c r="W358" s="6">
        <f>IF(ISERROR(VLOOKUP($T$358,'TAR FIN'!$A$1:$O$85,15,0)),0,VLOOKUP($T$358,'TAR FIN'!$A$1:$O$85,15,0))</f>
        <v>419.27</v>
      </c>
      <c r="X358" s="6">
        <f>IF(ISERROR(VLOOKUP($U$358,'TAR FIN'!$A$1:$O$85,15,0)),0,VLOOKUP($U$358,'TAR FIN'!$A$1:$O$85,15,0))</f>
        <v>223.07</v>
      </c>
      <c r="Y358" s="6"/>
      <c r="Z358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58" s="6">
        <f>('TE BE'!$AB$14+'TE BF'!$AB$14+'TE CVA'!$AB$14)*(1-CUSTOS!$M$37)</f>
        <v>77.958364182443049</v>
      </c>
      <c r="AB358" s="6">
        <f>$K$358*$V$358</f>
        <v>0</v>
      </c>
      <c r="AC358" s="6">
        <f>$M$358*$W$358</f>
        <v>2616.6640699999998</v>
      </c>
      <c r="AD358" s="6">
        <f>$O$358*$X$358</f>
        <v>1392.1798699999999</v>
      </c>
      <c r="AE358" s="6">
        <f>$K$358*$Y$358</f>
        <v>0</v>
      </c>
      <c r="AF358" s="6">
        <f ca="1">$M$358*$Z$358</f>
        <v>3605.7142578473545</v>
      </c>
      <c r="AG358" s="6">
        <f>$O$358*$AA$358</f>
        <v>486.53815086262705</v>
      </c>
    </row>
    <row r="359" spans="1:33" ht="11.25" customHeight="1" x14ac:dyDescent="0.3">
      <c r="A359" s="4" t="s">
        <v>21</v>
      </c>
      <c r="B359" s="4" t="s">
        <v>22</v>
      </c>
      <c r="C359" s="4" t="s">
        <v>23</v>
      </c>
      <c r="D359" s="4" t="s">
        <v>24</v>
      </c>
      <c r="E359" s="4" t="s">
        <v>32</v>
      </c>
      <c r="F359" s="4" t="s">
        <v>25</v>
      </c>
      <c r="G359" s="4" t="s">
        <v>25</v>
      </c>
      <c r="H359" s="4" t="s">
        <v>25</v>
      </c>
      <c r="I359" s="5">
        <v>44470</v>
      </c>
      <c r="J359" s="6">
        <v>0</v>
      </c>
      <c r="K359" s="6">
        <v>0</v>
      </c>
      <c r="L359" s="6">
        <v>4.742</v>
      </c>
      <c r="M359" s="6">
        <v>4.742</v>
      </c>
      <c r="N359" s="6">
        <v>4.742</v>
      </c>
      <c r="O359" s="6">
        <v>4.742</v>
      </c>
      <c r="P359" s="6">
        <v>52</v>
      </c>
      <c r="Q359" s="4" t="s">
        <v>26</v>
      </c>
      <c r="R359" s="4">
        <v>0</v>
      </c>
      <c r="S359" s="6">
        <v>0</v>
      </c>
      <c r="T359" s="6">
        <v>20</v>
      </c>
      <c r="U359" s="6">
        <v>61</v>
      </c>
      <c r="V359" s="6">
        <f>IF(ISERROR(VLOOKUP($S$359,'TAR FIN'!$A$1:$O$85,15,0)),0,VLOOKUP($S$359,'TAR FIN'!$A$1:$O$85,15,0))</f>
        <v>0</v>
      </c>
      <c r="W359" s="6">
        <f>IF(ISERROR(VLOOKUP($T$359,'TAR FIN'!$A$1:$O$85,15,0)),0,VLOOKUP($T$359,'TAR FIN'!$A$1:$O$85,15,0))</f>
        <v>419.27</v>
      </c>
      <c r="X359" s="6">
        <f>IF(ISERROR(VLOOKUP($U$359,'TAR FIN'!$A$1:$O$85,15,0)),0,VLOOKUP($U$359,'TAR FIN'!$A$1:$O$85,15,0))</f>
        <v>223.07</v>
      </c>
      <c r="Y359" s="6"/>
      <c r="Z359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59" s="6">
        <f>('TE BE'!$AB$14+'TE BF'!$AB$14+'TE CVA'!$AB$14)*(1-CUSTOS!$M$37)</f>
        <v>77.958364182443049</v>
      </c>
      <c r="AB359" s="6">
        <f>$K$359*$V$359</f>
        <v>0</v>
      </c>
      <c r="AC359" s="6">
        <f>$M$359*$W$359</f>
        <v>1988.1783399999999</v>
      </c>
      <c r="AD359" s="6">
        <f>$O$359*$X$359</f>
        <v>1057.7979399999999</v>
      </c>
      <c r="AE359" s="6">
        <f>$K$359*$Y$359</f>
        <v>0</v>
      </c>
      <c r="AF359" s="6">
        <f ca="1">$M$359*$Z$359</f>
        <v>2739.6726503304208</v>
      </c>
      <c r="AG359" s="6">
        <f>$O$359*$AA$359</f>
        <v>369.67856295314493</v>
      </c>
    </row>
    <row r="360" spans="1:33" ht="11.25" customHeight="1" x14ac:dyDescent="0.3">
      <c r="A360" s="4" t="s">
        <v>21</v>
      </c>
      <c r="B360" s="4" t="s">
        <v>22</v>
      </c>
      <c r="C360" s="4" t="s">
        <v>23</v>
      </c>
      <c r="D360" s="4" t="s">
        <v>24</v>
      </c>
      <c r="E360" s="4" t="s">
        <v>32</v>
      </c>
      <c r="F360" s="4" t="s">
        <v>25</v>
      </c>
      <c r="G360" s="4" t="s">
        <v>25</v>
      </c>
      <c r="H360" s="4" t="s">
        <v>25</v>
      </c>
      <c r="I360" s="5">
        <v>44501</v>
      </c>
      <c r="J360" s="6">
        <v>0</v>
      </c>
      <c r="K360" s="6">
        <v>0</v>
      </c>
      <c r="L360" s="6">
        <v>5.9029999999999996</v>
      </c>
      <c r="M360" s="6">
        <v>5.9029999999999996</v>
      </c>
      <c r="N360" s="6">
        <v>5.9029999999999996</v>
      </c>
      <c r="O360" s="6">
        <v>5.9029999999999996</v>
      </c>
      <c r="P360" s="6">
        <v>56</v>
      </c>
      <c r="Q360" s="4" t="s">
        <v>26</v>
      </c>
      <c r="R360" s="4">
        <v>0</v>
      </c>
      <c r="S360" s="6">
        <v>0</v>
      </c>
      <c r="T360" s="6">
        <v>20</v>
      </c>
      <c r="U360" s="6">
        <v>61</v>
      </c>
      <c r="V360" s="6">
        <f>IF(ISERROR(VLOOKUP($S$360,'TAR FIN'!$A$1:$O$85,15,0)),0,VLOOKUP($S$360,'TAR FIN'!$A$1:$O$85,15,0))</f>
        <v>0</v>
      </c>
      <c r="W360" s="6">
        <f>IF(ISERROR(VLOOKUP($T$360,'TAR FIN'!$A$1:$O$85,15,0)),0,VLOOKUP($T$360,'TAR FIN'!$A$1:$O$85,15,0))</f>
        <v>419.27</v>
      </c>
      <c r="X360" s="6">
        <f>IF(ISERROR(VLOOKUP($U$360,'TAR FIN'!$A$1:$O$85,15,0)),0,VLOOKUP($U$360,'TAR FIN'!$A$1:$O$85,15,0))</f>
        <v>223.07</v>
      </c>
      <c r="Y360" s="6"/>
      <c r="Z360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0" s="6">
        <f>('TE BE'!$AB$14+'TE BF'!$AB$14+'TE CVA'!$AB$14)*(1-CUSTOS!$M$37)</f>
        <v>77.958364182443049</v>
      </c>
      <c r="AB360" s="6">
        <f>$K$360*$V$360</f>
        <v>0</v>
      </c>
      <c r="AC360" s="6">
        <f>$M$360*$W$360</f>
        <v>2474.9508099999998</v>
      </c>
      <c r="AD360" s="6">
        <f>$O$360*$X$360</f>
        <v>1316.7822099999998</v>
      </c>
      <c r="AE360" s="6">
        <f>$K$360*$Y$360</f>
        <v>0</v>
      </c>
      <c r="AF360" s="6">
        <f ca="1">$M$360*$Z$360</f>
        <v>3410.4360301350639</v>
      </c>
      <c r="AG360" s="6">
        <f>$O$360*$AA$360</f>
        <v>460.18822376896128</v>
      </c>
    </row>
    <row r="361" spans="1:33" ht="11.25" customHeight="1" x14ac:dyDescent="0.3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32</v>
      </c>
      <c r="F361" s="4" t="s">
        <v>25</v>
      </c>
      <c r="G361" s="4" t="s">
        <v>25</v>
      </c>
      <c r="H361" s="4" t="s">
        <v>25</v>
      </c>
      <c r="I361" s="5">
        <v>44531</v>
      </c>
      <c r="J361" s="6">
        <v>0</v>
      </c>
      <c r="K361" s="6">
        <v>0</v>
      </c>
      <c r="L361" s="6">
        <v>3.8780000000000001</v>
      </c>
      <c r="M361" s="6">
        <v>3.8780000000000001</v>
      </c>
      <c r="N361" s="6">
        <v>3.8780000000000001</v>
      </c>
      <c r="O361" s="6">
        <v>3.8780000000000001</v>
      </c>
      <c r="P361" s="6">
        <v>46</v>
      </c>
      <c r="Q361" s="4" t="s">
        <v>26</v>
      </c>
      <c r="R361" s="4">
        <v>0</v>
      </c>
      <c r="S361" s="6">
        <v>0</v>
      </c>
      <c r="T361" s="6">
        <v>20</v>
      </c>
      <c r="U361" s="6">
        <v>61</v>
      </c>
      <c r="V361" s="6">
        <f>IF(ISERROR(VLOOKUP($S$361,'TAR FIN'!$A$1:$O$85,15,0)),0,VLOOKUP($S$361,'TAR FIN'!$A$1:$O$85,15,0))</f>
        <v>0</v>
      </c>
      <c r="W361" s="6">
        <f>IF(ISERROR(VLOOKUP($T$361,'TAR FIN'!$A$1:$O$85,15,0)),0,VLOOKUP($T$361,'TAR FIN'!$A$1:$O$85,15,0))</f>
        <v>419.27</v>
      </c>
      <c r="X361" s="6">
        <f>IF(ISERROR(VLOOKUP($U$361,'TAR FIN'!$A$1:$O$85,15,0)),0,VLOOKUP($U$361,'TAR FIN'!$A$1:$O$85,15,0))</f>
        <v>223.07</v>
      </c>
      <c r="Y361" s="6"/>
      <c r="Z361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1" s="6">
        <f>('TE BE'!$AB$14+'TE BF'!$AB$14+'TE CVA'!$AB$14)*(1-CUSTOS!$M$37)</f>
        <v>77.958364182443049</v>
      </c>
      <c r="AB361" s="6">
        <f>$K$361*$V$361</f>
        <v>0</v>
      </c>
      <c r="AC361" s="6">
        <f>$M$361*$W$361</f>
        <v>1625.9290599999999</v>
      </c>
      <c r="AD361" s="6">
        <f>$O$361*$X$361</f>
        <v>865.06546000000003</v>
      </c>
      <c r="AE361" s="6">
        <f>$K$361*$Y$361</f>
        <v>0</v>
      </c>
      <c r="AF361" s="6">
        <f ca="1">$M$361*$Z$361</f>
        <v>2240.4999025688257</v>
      </c>
      <c r="AG361" s="6">
        <f>$O$361*$AA$361</f>
        <v>302.32253629951413</v>
      </c>
    </row>
    <row r="362" spans="1:33" ht="11.25" customHeight="1" x14ac:dyDescent="0.3">
      <c r="A362" s="4" t="s">
        <v>21</v>
      </c>
      <c r="B362" s="4" t="s">
        <v>22</v>
      </c>
      <c r="C362" s="4" t="s">
        <v>23</v>
      </c>
      <c r="D362" s="4" t="s">
        <v>24</v>
      </c>
      <c r="E362" s="4" t="s">
        <v>32</v>
      </c>
      <c r="F362" s="4" t="s">
        <v>25</v>
      </c>
      <c r="G362" s="4" t="s">
        <v>25</v>
      </c>
      <c r="H362" s="4" t="s">
        <v>25</v>
      </c>
      <c r="I362" s="5">
        <v>44562</v>
      </c>
      <c r="J362" s="6">
        <v>0</v>
      </c>
      <c r="K362" s="6">
        <v>0</v>
      </c>
      <c r="L362" s="6">
        <v>7.048</v>
      </c>
      <c r="M362" s="6">
        <v>7.048</v>
      </c>
      <c r="N362" s="6">
        <v>7.048</v>
      </c>
      <c r="O362" s="6">
        <v>7.048</v>
      </c>
      <c r="P362" s="6">
        <v>67</v>
      </c>
      <c r="Q362" s="4" t="s">
        <v>26</v>
      </c>
      <c r="R362" s="4">
        <v>0</v>
      </c>
      <c r="S362" s="6">
        <v>0</v>
      </c>
      <c r="T362" s="6">
        <v>20</v>
      </c>
      <c r="U362" s="6">
        <v>61</v>
      </c>
      <c r="V362" s="6">
        <f>IF(ISERROR(VLOOKUP($S$362,'TAR FIN'!$A$1:$O$85,15,0)),0,VLOOKUP($S$362,'TAR FIN'!$A$1:$O$85,15,0))</f>
        <v>0</v>
      </c>
      <c r="W362" s="6">
        <f>IF(ISERROR(VLOOKUP($T$362,'TAR FIN'!$A$1:$O$85,15,0)),0,VLOOKUP($T$362,'TAR FIN'!$A$1:$O$85,15,0))</f>
        <v>419.27</v>
      </c>
      <c r="X362" s="6">
        <f>IF(ISERROR(VLOOKUP($U$362,'TAR FIN'!$A$1:$O$85,15,0)),0,VLOOKUP($U$362,'TAR FIN'!$A$1:$O$85,15,0))</f>
        <v>223.07</v>
      </c>
      <c r="Y362" s="6"/>
      <c r="Z362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2" s="6">
        <f>('TE BE'!$AB$14+'TE BF'!$AB$14+'TE CVA'!$AB$14)*(1-CUSTOS!$M$37)</f>
        <v>77.958364182443049</v>
      </c>
      <c r="AB362" s="6">
        <f>$K$362*$V$362</f>
        <v>0</v>
      </c>
      <c r="AC362" s="6">
        <f>$M$362*$W$362</f>
        <v>2955.01496</v>
      </c>
      <c r="AD362" s="6">
        <f>$O$362*$X$362</f>
        <v>1572.1973599999999</v>
      </c>
      <c r="AE362" s="6">
        <f>$K$362*$Y$362</f>
        <v>0</v>
      </c>
      <c r="AF362" s="6">
        <f ca="1">$M$362*$Z$362</f>
        <v>4071.9554701663442</v>
      </c>
      <c r="AG362" s="6">
        <f>$O$362*$AA$362</f>
        <v>549.45055075785865</v>
      </c>
    </row>
    <row r="363" spans="1:33" ht="11.25" customHeight="1" x14ac:dyDescent="0.3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32</v>
      </c>
      <c r="F363" s="4" t="s">
        <v>25</v>
      </c>
      <c r="G363" s="4" t="s">
        <v>25</v>
      </c>
      <c r="H363" s="4" t="s">
        <v>25</v>
      </c>
      <c r="I363" s="5">
        <v>44593</v>
      </c>
      <c r="J363" s="6">
        <v>0</v>
      </c>
      <c r="K363" s="6">
        <v>0</v>
      </c>
      <c r="L363" s="6">
        <v>10.411</v>
      </c>
      <c r="M363" s="6">
        <v>10.411</v>
      </c>
      <c r="N363" s="6">
        <v>10.411</v>
      </c>
      <c r="O363" s="6">
        <v>10.411</v>
      </c>
      <c r="P363" s="6">
        <v>93</v>
      </c>
      <c r="Q363" s="4" t="s">
        <v>26</v>
      </c>
      <c r="R363" s="4">
        <v>0</v>
      </c>
      <c r="S363" s="6">
        <v>0</v>
      </c>
      <c r="T363" s="6">
        <v>20</v>
      </c>
      <c r="U363" s="6">
        <v>61</v>
      </c>
      <c r="V363" s="6">
        <f>IF(ISERROR(VLOOKUP($S$363,'TAR FIN'!$A$1:$O$85,15,0)),0,VLOOKUP($S$363,'TAR FIN'!$A$1:$O$85,15,0))</f>
        <v>0</v>
      </c>
      <c r="W363" s="6">
        <f>IF(ISERROR(VLOOKUP($T$363,'TAR FIN'!$A$1:$O$85,15,0)),0,VLOOKUP($T$363,'TAR FIN'!$A$1:$O$85,15,0))</f>
        <v>419.27</v>
      </c>
      <c r="X363" s="6">
        <f>IF(ISERROR(VLOOKUP($U$363,'TAR FIN'!$A$1:$O$85,15,0)),0,VLOOKUP($U$363,'TAR FIN'!$A$1:$O$85,15,0))</f>
        <v>223.07</v>
      </c>
      <c r="Y363" s="6"/>
      <c r="Z363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3" s="6">
        <f>('TE BE'!$AB$14+'TE BF'!$AB$14+'TE CVA'!$AB$14)*(1-CUSTOS!$M$37)</f>
        <v>77.958364182443049</v>
      </c>
      <c r="AB363" s="6">
        <f>$K$363*$V$363</f>
        <v>0</v>
      </c>
      <c r="AC363" s="6">
        <f>$M$363*$W$363</f>
        <v>4365.0199699999994</v>
      </c>
      <c r="AD363" s="6">
        <f>$O$363*$X$363</f>
        <v>2322.38177</v>
      </c>
      <c r="AE363" s="6">
        <f>$K$363*$Y$363</f>
        <v>0</v>
      </c>
      <c r="AF363" s="6">
        <f ca="1">$M$363*$Z$363</f>
        <v>6014.9160612800524</v>
      </c>
      <c r="AG363" s="6">
        <f>$O$363*$AA$363</f>
        <v>811.62452950341458</v>
      </c>
    </row>
    <row r="364" spans="1:33" ht="11.25" customHeight="1" x14ac:dyDescent="0.3">
      <c r="A364" s="4" t="s">
        <v>21</v>
      </c>
      <c r="B364" s="4" t="s">
        <v>22</v>
      </c>
      <c r="C364" s="4" t="s">
        <v>23</v>
      </c>
      <c r="D364" s="4" t="s">
        <v>24</v>
      </c>
      <c r="E364" s="4" t="s">
        <v>32</v>
      </c>
      <c r="F364" s="4" t="s">
        <v>25</v>
      </c>
      <c r="G364" s="4" t="s">
        <v>25</v>
      </c>
      <c r="H364" s="4" t="s">
        <v>25</v>
      </c>
      <c r="I364" s="5">
        <v>44621</v>
      </c>
      <c r="J364" s="6">
        <v>0</v>
      </c>
      <c r="K364" s="6">
        <v>0</v>
      </c>
      <c r="L364" s="6">
        <v>10.984</v>
      </c>
      <c r="M364" s="6">
        <v>10.984</v>
      </c>
      <c r="N364" s="6">
        <v>10.984</v>
      </c>
      <c r="O364" s="6">
        <v>10.984</v>
      </c>
      <c r="P364" s="6">
        <v>87</v>
      </c>
      <c r="Q364" s="4" t="s">
        <v>26</v>
      </c>
      <c r="R364" s="4">
        <v>0</v>
      </c>
      <c r="S364" s="6">
        <v>0</v>
      </c>
      <c r="T364" s="6">
        <v>20</v>
      </c>
      <c r="U364" s="6">
        <v>61</v>
      </c>
      <c r="V364" s="6">
        <f>IF(ISERROR(VLOOKUP($S$364,'TAR FIN'!$A$1:$O$85,15,0)),0,VLOOKUP($S$364,'TAR FIN'!$A$1:$O$85,15,0))</f>
        <v>0</v>
      </c>
      <c r="W364" s="6">
        <f>IF(ISERROR(VLOOKUP($T$364,'TAR FIN'!$A$1:$O$85,15,0)),0,VLOOKUP($T$364,'TAR FIN'!$A$1:$O$85,15,0))</f>
        <v>419.27</v>
      </c>
      <c r="X364" s="6">
        <f>IF(ISERROR(VLOOKUP($U$364,'TAR FIN'!$A$1:$O$85,15,0)),0,VLOOKUP($U$364,'TAR FIN'!$A$1:$O$85,15,0))</f>
        <v>223.07</v>
      </c>
      <c r="Y364" s="6"/>
      <c r="Z364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4" s="6">
        <f>('TE BE'!$AB$14+'TE BF'!$AB$14+'TE CVA'!$AB$14)*(1-CUSTOS!$M$37)</f>
        <v>77.958364182443049</v>
      </c>
      <c r="AB364" s="6">
        <f>$K$364*$V$364</f>
        <v>0</v>
      </c>
      <c r="AC364" s="6">
        <f>$M$364*$W$364</f>
        <v>4605.2616799999996</v>
      </c>
      <c r="AD364" s="6">
        <f>$O$364*$X$364</f>
        <v>2450.2008799999999</v>
      </c>
      <c r="AE364" s="6">
        <f>$K$364*$Y$364</f>
        <v>0</v>
      </c>
      <c r="AF364" s="6">
        <f ca="1">$M$364*$Z$364</f>
        <v>6345.9646544136103</v>
      </c>
      <c r="AG364" s="6">
        <f>$O$364*$AA$364</f>
        <v>856.29467217995443</v>
      </c>
    </row>
    <row r="365" spans="1:33" ht="11.25" customHeight="1" x14ac:dyDescent="0.3">
      <c r="A365" s="4" t="s">
        <v>21</v>
      </c>
      <c r="B365" s="4" t="s">
        <v>22</v>
      </c>
      <c r="C365" s="4" t="s">
        <v>23</v>
      </c>
      <c r="D365" s="4" t="s">
        <v>24</v>
      </c>
      <c r="E365" s="4" t="s">
        <v>32</v>
      </c>
      <c r="F365" s="4" t="s">
        <v>25</v>
      </c>
      <c r="G365" s="4" t="s">
        <v>25</v>
      </c>
      <c r="H365" s="4" t="s">
        <v>25</v>
      </c>
      <c r="I365" s="5">
        <v>44652</v>
      </c>
      <c r="J365" s="6">
        <v>0</v>
      </c>
      <c r="K365" s="6">
        <v>0</v>
      </c>
      <c r="L365" s="6">
        <v>11.212</v>
      </c>
      <c r="M365" s="6">
        <v>11.212</v>
      </c>
      <c r="N365" s="6">
        <v>11.212</v>
      </c>
      <c r="O365" s="6">
        <v>11.212</v>
      </c>
      <c r="P365" s="6">
        <v>102</v>
      </c>
      <c r="Q365" s="4" t="s">
        <v>26</v>
      </c>
      <c r="R365" s="4">
        <v>0</v>
      </c>
      <c r="S365" s="6">
        <v>0</v>
      </c>
      <c r="T365" s="6">
        <v>20</v>
      </c>
      <c r="U365" s="6">
        <v>61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419.27</v>
      </c>
      <c r="X365" s="6">
        <f>IF(ISERROR(VLOOKUP($U$365,'TAR FIN'!$A$1:$O$85,15,0)),0,VLOOKUP($U$365,'TAR FIN'!$A$1:$O$85,15,0))</f>
        <v>223.07</v>
      </c>
      <c r="Y365" s="6"/>
      <c r="Z365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5" s="6">
        <f>('TE BE'!$AB$14+'TE BF'!$AB$14+'TE CVA'!$AB$14)*(1-CUSTOS!$M$37)</f>
        <v>77.958364182443049</v>
      </c>
      <c r="AB365" s="6">
        <f>$K$365*$V$365</f>
        <v>0</v>
      </c>
      <c r="AC365" s="6">
        <f>$M$365*$W$365</f>
        <v>4700.8552399999999</v>
      </c>
      <c r="AD365" s="6">
        <f>$O$365*$X$365</f>
        <v>2501.0608399999996</v>
      </c>
      <c r="AE365" s="6">
        <f>$K$365*$Y$365</f>
        <v>0</v>
      </c>
      <c r="AF365" s="6">
        <f ca="1">$M$365*$Z$365</f>
        <v>6477.6907961840316</v>
      </c>
      <c r="AG365" s="6">
        <f>$O$365*$AA$365</f>
        <v>874.06917921355148</v>
      </c>
    </row>
    <row r="366" spans="1:33" ht="11.25" customHeight="1" x14ac:dyDescent="0.3">
      <c r="A366" s="4" t="s">
        <v>21</v>
      </c>
      <c r="B366" s="4" t="s">
        <v>22</v>
      </c>
      <c r="C366" s="4" t="s">
        <v>23</v>
      </c>
      <c r="D366" s="4" t="s">
        <v>24</v>
      </c>
      <c r="E366" s="4" t="s">
        <v>32</v>
      </c>
      <c r="F366" s="4" t="s">
        <v>25</v>
      </c>
      <c r="G366" s="4" t="s">
        <v>25</v>
      </c>
      <c r="H366" s="4" t="s">
        <v>25</v>
      </c>
      <c r="I366" s="5">
        <v>44682</v>
      </c>
      <c r="J366" s="6">
        <v>0</v>
      </c>
      <c r="K366" s="6">
        <v>0</v>
      </c>
      <c r="L366" s="6">
        <v>10.695</v>
      </c>
      <c r="M366" s="6">
        <v>10.695</v>
      </c>
      <c r="N366" s="6">
        <v>10.695</v>
      </c>
      <c r="O366" s="6">
        <v>10.695</v>
      </c>
      <c r="P366" s="6">
        <v>105</v>
      </c>
      <c r="Q366" s="4" t="s">
        <v>26</v>
      </c>
      <c r="R366" s="4">
        <v>0</v>
      </c>
      <c r="S366" s="6">
        <v>0</v>
      </c>
      <c r="T366" s="6">
        <v>20</v>
      </c>
      <c r="U366" s="6">
        <v>61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419.27</v>
      </c>
      <c r="X366" s="6">
        <f>IF(ISERROR(VLOOKUP($U$366,'TAR FIN'!$A$1:$O$85,15,0)),0,VLOOKUP($U$366,'TAR FIN'!$A$1:$O$85,15,0))</f>
        <v>223.07</v>
      </c>
      <c r="Y366" s="6"/>
      <c r="Z366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6" s="6">
        <f>('TE BE'!$AB$14+'TE BF'!$AB$14+'TE CVA'!$AB$14)*(1-CUSTOS!$M$37)</f>
        <v>77.958364182443049</v>
      </c>
      <c r="AB366" s="6">
        <f>$K$366*$V$366</f>
        <v>0</v>
      </c>
      <c r="AC366" s="6">
        <f>$M$366*$W$366</f>
        <v>4484.0926499999996</v>
      </c>
      <c r="AD366" s="6">
        <f>$O$366*$X$366</f>
        <v>2385.7336500000001</v>
      </c>
      <c r="AE366" s="6">
        <f>$K$366*$Y$366</f>
        <v>0</v>
      </c>
      <c r="AF366" s="6">
        <f ca="1">$M$366*$Z$366</f>
        <v>6178.9959922572434</v>
      </c>
      <c r="AG366" s="6">
        <f>$O$366*$AA$366</f>
        <v>833.76470493122838</v>
      </c>
    </row>
    <row r="367" spans="1:33" ht="11.25" customHeight="1" x14ac:dyDescent="0.3">
      <c r="A367" s="4" t="s">
        <v>21</v>
      </c>
      <c r="B367" s="4" t="s">
        <v>22</v>
      </c>
      <c r="C367" s="4" t="s">
        <v>23</v>
      </c>
      <c r="D367" s="4" t="s">
        <v>24</v>
      </c>
      <c r="E367" s="4" t="s">
        <v>32</v>
      </c>
      <c r="F367" s="4" t="s">
        <v>25</v>
      </c>
      <c r="G367" s="4" t="s">
        <v>25</v>
      </c>
      <c r="H367" s="4" t="s">
        <v>25</v>
      </c>
      <c r="I367" s="5">
        <v>44713</v>
      </c>
      <c r="J367" s="6">
        <v>0</v>
      </c>
      <c r="K367" s="6">
        <v>0</v>
      </c>
      <c r="L367" s="6">
        <v>10.532</v>
      </c>
      <c r="M367" s="6">
        <v>10.532</v>
      </c>
      <c r="N367" s="6">
        <v>10.532</v>
      </c>
      <c r="O367" s="6">
        <v>10.532</v>
      </c>
      <c r="P367" s="6">
        <v>101</v>
      </c>
      <c r="Q367" s="4" t="s">
        <v>26</v>
      </c>
      <c r="R367" s="4">
        <v>0</v>
      </c>
      <c r="S367" s="6">
        <v>0</v>
      </c>
      <c r="T367" s="6">
        <v>20</v>
      </c>
      <c r="U367" s="6">
        <v>61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419.27</v>
      </c>
      <c r="X367" s="6">
        <f>IF(ISERROR(VLOOKUP($U$367,'TAR FIN'!$A$1:$O$85,15,0)),0,VLOOKUP($U$367,'TAR FIN'!$A$1:$O$85,15,0))</f>
        <v>223.07</v>
      </c>
      <c r="Y367" s="6"/>
      <c r="Z367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7" s="6">
        <f>('TE BE'!$AB$14+'TE BF'!$AB$14+'TE CVA'!$AB$14)*(1-CUSTOS!$M$37)</f>
        <v>77.958364182443049</v>
      </c>
      <c r="AB367" s="6">
        <f>$K$367*$V$367</f>
        <v>0</v>
      </c>
      <c r="AC367" s="6">
        <f>$M$367*$W$367</f>
        <v>4415.7516399999995</v>
      </c>
      <c r="AD367" s="6">
        <f>$O$367*$X$367</f>
        <v>2349.3732399999999</v>
      </c>
      <c r="AE367" s="6">
        <f>$K$367*$Y$367</f>
        <v>0</v>
      </c>
      <c r="AF367" s="6">
        <f ca="1">$M$367*$Z$367</f>
        <v>6084.8233558161091</v>
      </c>
      <c r="AG367" s="6">
        <f>$O$367*$AA$367</f>
        <v>821.05749156949014</v>
      </c>
    </row>
    <row r="368" spans="1:33" ht="11.25" customHeight="1" x14ac:dyDescent="0.3">
      <c r="A368" s="4" t="s">
        <v>21</v>
      </c>
      <c r="B368" s="4" t="s">
        <v>22</v>
      </c>
      <c r="C368" s="4" t="s">
        <v>23</v>
      </c>
      <c r="D368" s="4" t="s">
        <v>24</v>
      </c>
      <c r="E368" s="4" t="s">
        <v>32</v>
      </c>
      <c r="F368" s="4" t="s">
        <v>25</v>
      </c>
      <c r="G368" s="4" t="s">
        <v>25</v>
      </c>
      <c r="H368" s="4" t="s">
        <v>25</v>
      </c>
      <c r="I368" s="5">
        <v>44743</v>
      </c>
      <c r="J368" s="6">
        <v>0</v>
      </c>
      <c r="K368" s="6">
        <v>0</v>
      </c>
      <c r="L368" s="6">
        <v>6.1269999999999998</v>
      </c>
      <c r="M368" s="6">
        <v>6.1269999999999998</v>
      </c>
      <c r="N368" s="6">
        <v>6.1269999999999998</v>
      </c>
      <c r="O368" s="6">
        <v>6.1269999999999998</v>
      </c>
      <c r="P368" s="6">
        <v>74</v>
      </c>
      <c r="Q368" s="4" t="s">
        <v>26</v>
      </c>
      <c r="R368" s="4">
        <v>0</v>
      </c>
      <c r="S368" s="6">
        <v>0</v>
      </c>
      <c r="T368" s="6">
        <v>20</v>
      </c>
      <c r="U368" s="6">
        <v>61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419.27</v>
      </c>
      <c r="X368" s="6">
        <f>IF(ISERROR(VLOOKUP($U$368,'TAR FIN'!$A$1:$O$85,15,0)),0,VLOOKUP($U$368,'TAR FIN'!$A$1:$O$85,15,0))</f>
        <v>223.07</v>
      </c>
      <c r="Y368" s="6"/>
      <c r="Z368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8" s="6">
        <f>('TE BE'!$AB$14+'TE BF'!$AB$14+'TE CVA'!$AB$14)*(1-CUSTOS!$M$37)</f>
        <v>77.958364182443049</v>
      </c>
      <c r="AB368" s="6">
        <f>$K$368*$V$368</f>
        <v>0</v>
      </c>
      <c r="AC368" s="6">
        <f>$M$368*$W$368</f>
        <v>2568.8672899999997</v>
      </c>
      <c r="AD368" s="6">
        <f>$O$368*$X$368</f>
        <v>1366.7498899999998</v>
      </c>
      <c r="AE368" s="6">
        <f>$K$368*$Y$368</f>
        <v>0</v>
      </c>
      <c r="AF368" s="6">
        <f ca="1">$M$368*$Z$368</f>
        <v>3539.8511869621439</v>
      </c>
      <c r="AG368" s="6">
        <f>$O$368*$AA$368</f>
        <v>477.65089734582853</v>
      </c>
    </row>
    <row r="369" spans="1:33" ht="11.25" customHeight="1" x14ac:dyDescent="0.3">
      <c r="A369" s="4" t="s">
        <v>21</v>
      </c>
      <c r="B369" s="4" t="s">
        <v>22</v>
      </c>
      <c r="C369" s="4" t="s">
        <v>23</v>
      </c>
      <c r="D369" s="4" t="s">
        <v>24</v>
      </c>
      <c r="E369" s="4" t="s">
        <v>32</v>
      </c>
      <c r="F369" s="4" t="s">
        <v>25</v>
      </c>
      <c r="G369" s="4" t="s">
        <v>25</v>
      </c>
      <c r="H369" s="4" t="s">
        <v>25</v>
      </c>
      <c r="I369" s="5">
        <v>44774</v>
      </c>
      <c r="J369" s="6">
        <v>0</v>
      </c>
      <c r="K369" s="6">
        <v>0</v>
      </c>
      <c r="L369" s="6">
        <v>10.805999999999999</v>
      </c>
      <c r="M369" s="6">
        <v>10.805999999999999</v>
      </c>
      <c r="N369" s="6">
        <v>10.805999999999999</v>
      </c>
      <c r="O369" s="6">
        <v>10.805999999999999</v>
      </c>
      <c r="P369" s="6">
        <v>99</v>
      </c>
      <c r="Q369" s="4" t="s">
        <v>26</v>
      </c>
      <c r="R369" s="4">
        <v>0</v>
      </c>
      <c r="S369" s="6">
        <v>0</v>
      </c>
      <c r="T369" s="6">
        <v>20</v>
      </c>
      <c r="U369" s="6">
        <v>61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419.27</v>
      </c>
      <c r="X369" s="6">
        <f>IF(ISERROR(VLOOKUP($U$369,'TAR FIN'!$A$1:$O$85,15,0)),0,VLOOKUP($U$369,'TAR FIN'!$A$1:$O$85,15,0))</f>
        <v>223.07</v>
      </c>
      <c r="Y369" s="6"/>
      <c r="Z369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369" s="6">
        <f>('TE BE'!$AB$14+'TE BF'!$AB$14+'TE CVA'!$AB$14)*(1-CUSTOS!$M$37)</f>
        <v>77.958364182443049</v>
      </c>
      <c r="AB369" s="6">
        <f>$K$369*$V$369</f>
        <v>0</v>
      </c>
      <c r="AC369" s="6">
        <f>$M$369*$W$369</f>
        <v>4530.6316199999992</v>
      </c>
      <c r="AD369" s="6">
        <f>$O$369*$X$369</f>
        <v>2410.4944199999995</v>
      </c>
      <c r="AE369" s="6">
        <f>$K$369*$Y$369</f>
        <v>0</v>
      </c>
      <c r="AF369" s="6">
        <f ca="1">$M$369*$Z$369</f>
        <v>6243.1258244349483</v>
      </c>
      <c r="AG369" s="6">
        <f>$O$369*$AA$369</f>
        <v>842.41808335547955</v>
      </c>
    </row>
    <row r="370" spans="1:33" ht="11.25" customHeight="1" x14ac:dyDescent="0.3">
      <c r="A370" s="4" t="s">
        <v>21</v>
      </c>
      <c r="B370" s="4" t="s">
        <v>42</v>
      </c>
      <c r="C370" s="4" t="s">
        <v>23</v>
      </c>
      <c r="D370" s="4" t="s">
        <v>43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44440</v>
      </c>
      <c r="J370" s="6">
        <v>0</v>
      </c>
      <c r="K370" s="6">
        <v>0</v>
      </c>
      <c r="L370" s="6">
        <v>37.402000000000001</v>
      </c>
      <c r="M370" s="6">
        <v>37.402000000000001</v>
      </c>
      <c r="N370" s="6">
        <v>37.402000000000001</v>
      </c>
      <c r="O370" s="6">
        <v>37.402000000000001</v>
      </c>
      <c r="P370" s="6">
        <v>174</v>
      </c>
      <c r="Q370" s="4" t="s">
        <v>26</v>
      </c>
      <c r="R370" s="4">
        <v>0</v>
      </c>
      <c r="S370" s="6">
        <v>0</v>
      </c>
      <c r="T370" s="6">
        <v>75</v>
      </c>
      <c r="U370" s="6">
        <v>53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424.73</v>
      </c>
      <c r="X370" s="6">
        <f>IF(ISERROR(VLOOKUP($U$370,'TAR FIN'!$A$1:$O$85,15,0)),0,VLOOKUP($U$370,'TAR FIN'!$A$1:$O$85,15,0))</f>
        <v>196.3</v>
      </c>
      <c r="Y370" s="6"/>
      <c r="Z370" s="6">
        <f ca="1">('TUSD BE'!$AM$33+'TUSD BF'!$AM$33+'TUSD CVA'!$AM$33)*(1-CUSTOS!$M$38)</f>
        <v>631.69873713628454</v>
      </c>
      <c r="AA370" s="6">
        <f>('TE BE'!$AB$23+'TE BF'!$AB$23+'TE CVA'!$AB$23)*(1-CUSTOS!$M$38)</f>
        <v>72.501278689672034</v>
      </c>
      <c r="AB370" s="6">
        <f>$K$370*$V$370</f>
        <v>0</v>
      </c>
      <c r="AC370" s="6">
        <f>$M$370*$W$370</f>
        <v>15885.751460000001</v>
      </c>
      <c r="AD370" s="6">
        <f>$O$370*$X$370</f>
        <v>7342.0126000000009</v>
      </c>
      <c r="AE370" s="6">
        <f>$K$370*$Y$370</f>
        <v>0</v>
      </c>
      <c r="AF370" s="6">
        <f ca="1">$M$370*$Z$370</f>
        <v>23626.796166371314</v>
      </c>
      <c r="AG370" s="6">
        <f>$O$370*$AA$370</f>
        <v>2711.6928255511134</v>
      </c>
    </row>
    <row r="371" spans="1:33" ht="11.25" customHeight="1" x14ac:dyDescent="0.3">
      <c r="A371" s="4" t="s">
        <v>28</v>
      </c>
      <c r="B371" s="4" t="s">
        <v>42</v>
      </c>
      <c r="C371" s="4" t="s">
        <v>23</v>
      </c>
      <c r="D371" s="4" t="s">
        <v>43</v>
      </c>
      <c r="E371" s="4" t="s">
        <v>25</v>
      </c>
      <c r="F371" s="4" t="s">
        <v>25</v>
      </c>
      <c r="G371" s="4" t="s">
        <v>25</v>
      </c>
      <c r="H371" s="4" t="s">
        <v>25</v>
      </c>
      <c r="I371" s="5">
        <v>44440</v>
      </c>
      <c r="J371" s="6">
        <v>0</v>
      </c>
      <c r="K371" s="6">
        <v>0</v>
      </c>
      <c r="L371" s="6">
        <v>2.456</v>
      </c>
      <c r="M371" s="6">
        <v>2.456</v>
      </c>
      <c r="N371" s="6">
        <v>2.456</v>
      </c>
      <c r="O371" s="6">
        <v>2.456</v>
      </c>
      <c r="P371" s="6">
        <v>5</v>
      </c>
      <c r="Q371" s="4" t="s">
        <v>26</v>
      </c>
      <c r="R371" s="4">
        <v>0</v>
      </c>
      <c r="S371" s="6">
        <v>0</v>
      </c>
      <c r="T371" s="6">
        <v>75</v>
      </c>
      <c r="U371" s="6">
        <v>53</v>
      </c>
      <c r="V371" s="6">
        <f>IF(ISERROR(VLOOKUP($S$371,'TAR FIN'!$A$1:$O$85,15,0)),0,VLOOKUP($S$371,'TAR FIN'!$A$1:$O$85,15,0))</f>
        <v>0</v>
      </c>
      <c r="W371" s="6">
        <f>IF(ISERROR(VLOOKUP($T$371,'TAR FIN'!$A$1:$O$85,15,0)),0,VLOOKUP($T$371,'TAR FIN'!$A$1:$O$85,15,0))</f>
        <v>424.73</v>
      </c>
      <c r="X371" s="6">
        <f>IF(ISERROR(VLOOKUP($U$371,'TAR FIN'!$A$1:$O$85,15,0)),0,VLOOKUP($U$371,'TAR FIN'!$A$1:$O$85,15,0))</f>
        <v>196.3</v>
      </c>
      <c r="Y371" s="6"/>
      <c r="Z371" s="6">
        <f ca="1">('TUSD BE'!$AM$33+'TUSD BF'!$AM$33+'TUSD CVA'!$AM$33)*(1-CUSTOS!$M$38)</f>
        <v>631.69873713628454</v>
      </c>
      <c r="AA371" s="6">
        <f>('TE BE'!$AB$23+'TE BF'!$AB$23+'TE CVA'!$AB$23)*(1-CUSTOS!$M$38)</f>
        <v>72.501278689672034</v>
      </c>
      <c r="AB371" s="6">
        <f>$K$371*$V$371</f>
        <v>0</v>
      </c>
      <c r="AC371" s="6">
        <f>$M$371*$W$371</f>
        <v>1043.13688</v>
      </c>
      <c r="AD371" s="6">
        <f>$O$371*$X$371</f>
        <v>482.11279999999999</v>
      </c>
      <c r="AE371" s="6">
        <f>$K$371*$Y$371</f>
        <v>0</v>
      </c>
      <c r="AF371" s="6">
        <f ca="1">$M$371*$Z$371</f>
        <v>1551.4520984067149</v>
      </c>
      <c r="AG371" s="6">
        <f>$O$371*$AA$371</f>
        <v>178.06314046183451</v>
      </c>
    </row>
    <row r="372" spans="1:33" ht="11.25" customHeight="1" x14ac:dyDescent="0.3">
      <c r="A372" s="4" t="s">
        <v>21</v>
      </c>
      <c r="B372" s="4" t="s">
        <v>42</v>
      </c>
      <c r="C372" s="4" t="s">
        <v>23</v>
      </c>
      <c r="D372" s="4" t="s">
        <v>43</v>
      </c>
      <c r="E372" s="4" t="s">
        <v>25</v>
      </c>
      <c r="F372" s="4" t="s">
        <v>25</v>
      </c>
      <c r="G372" s="4" t="s">
        <v>25</v>
      </c>
      <c r="H372" s="4" t="s">
        <v>25</v>
      </c>
      <c r="I372" s="5">
        <v>44470</v>
      </c>
      <c r="J372" s="6">
        <v>0</v>
      </c>
      <c r="K372" s="6">
        <v>0</v>
      </c>
      <c r="L372" s="6">
        <v>37.35</v>
      </c>
      <c r="M372" s="6">
        <v>37.35</v>
      </c>
      <c r="N372" s="6">
        <v>37.35</v>
      </c>
      <c r="O372" s="6">
        <v>37.35</v>
      </c>
      <c r="P372" s="6">
        <v>176</v>
      </c>
      <c r="Q372" s="4" t="s">
        <v>26</v>
      </c>
      <c r="R372" s="4">
        <v>0</v>
      </c>
      <c r="S372" s="6">
        <v>0</v>
      </c>
      <c r="T372" s="6">
        <v>75</v>
      </c>
      <c r="U372" s="6">
        <v>53</v>
      </c>
      <c r="V372" s="6">
        <f>IF(ISERROR(VLOOKUP($S$372,'TAR FIN'!$A$1:$O$85,15,0)),0,VLOOKUP($S$372,'TAR FIN'!$A$1:$O$85,15,0))</f>
        <v>0</v>
      </c>
      <c r="W372" s="6">
        <f>IF(ISERROR(VLOOKUP($T$372,'TAR FIN'!$A$1:$O$85,15,0)),0,VLOOKUP($T$372,'TAR FIN'!$A$1:$O$85,15,0))</f>
        <v>424.73</v>
      </c>
      <c r="X372" s="6">
        <f>IF(ISERROR(VLOOKUP($U$372,'TAR FIN'!$A$1:$O$85,15,0)),0,VLOOKUP($U$372,'TAR FIN'!$A$1:$O$85,15,0))</f>
        <v>196.3</v>
      </c>
      <c r="Y372" s="6"/>
      <c r="Z372" s="6">
        <f ca="1">('TUSD BE'!$AM$33+'TUSD BF'!$AM$33+'TUSD CVA'!$AM$33)*(1-CUSTOS!$M$38)</f>
        <v>631.69873713628454</v>
      </c>
      <c r="AA372" s="6">
        <f>('TE BE'!$AB$23+'TE BF'!$AB$23+'TE CVA'!$AB$23)*(1-CUSTOS!$M$38)</f>
        <v>72.501278689672034</v>
      </c>
      <c r="AB372" s="6">
        <f>$K$372*$V$372</f>
        <v>0</v>
      </c>
      <c r="AC372" s="6">
        <f>$M$372*$W$372</f>
        <v>15863.665500000001</v>
      </c>
      <c r="AD372" s="6">
        <f>$O$372*$X$372</f>
        <v>7331.8050000000003</v>
      </c>
      <c r="AE372" s="6">
        <f>$K$372*$Y$372</f>
        <v>0</v>
      </c>
      <c r="AF372" s="6">
        <f ca="1">$M$372*$Z$372</f>
        <v>23593.947832040227</v>
      </c>
      <c r="AG372" s="6">
        <f>$O$372*$AA$372</f>
        <v>2707.9227590592504</v>
      </c>
    </row>
    <row r="373" spans="1:33" ht="11.25" customHeight="1" x14ac:dyDescent="0.3">
      <c r="A373" s="4" t="s">
        <v>28</v>
      </c>
      <c r="B373" s="4" t="s">
        <v>42</v>
      </c>
      <c r="C373" s="4" t="s">
        <v>23</v>
      </c>
      <c r="D373" s="4" t="s">
        <v>43</v>
      </c>
      <c r="E373" s="4" t="s">
        <v>25</v>
      </c>
      <c r="F373" s="4" t="s">
        <v>25</v>
      </c>
      <c r="G373" s="4" t="s">
        <v>25</v>
      </c>
      <c r="H373" s="4" t="s">
        <v>25</v>
      </c>
      <c r="I373" s="5">
        <v>44470</v>
      </c>
      <c r="J373" s="6">
        <v>0</v>
      </c>
      <c r="K373" s="6">
        <v>0</v>
      </c>
      <c r="L373" s="6">
        <v>2.9449999999999998</v>
      </c>
      <c r="M373" s="6">
        <v>2.9449999999999998</v>
      </c>
      <c r="N373" s="6">
        <v>2.9449999999999998</v>
      </c>
      <c r="O373" s="6">
        <v>2.9449999999999998</v>
      </c>
      <c r="P373" s="6">
        <v>5</v>
      </c>
      <c r="Q373" s="4" t="s">
        <v>26</v>
      </c>
      <c r="R373" s="4">
        <v>0</v>
      </c>
      <c r="S373" s="6">
        <v>0</v>
      </c>
      <c r="T373" s="6">
        <v>75</v>
      </c>
      <c r="U373" s="6">
        <v>53</v>
      </c>
      <c r="V373" s="6">
        <f>IF(ISERROR(VLOOKUP($S$373,'TAR FIN'!$A$1:$O$85,15,0)),0,VLOOKUP($S$373,'TAR FIN'!$A$1:$O$85,15,0))</f>
        <v>0</v>
      </c>
      <c r="W373" s="6">
        <f>IF(ISERROR(VLOOKUP($T$373,'TAR FIN'!$A$1:$O$85,15,0)),0,VLOOKUP($T$373,'TAR FIN'!$A$1:$O$85,15,0))</f>
        <v>424.73</v>
      </c>
      <c r="X373" s="6">
        <f>IF(ISERROR(VLOOKUP($U$373,'TAR FIN'!$A$1:$O$85,15,0)),0,VLOOKUP($U$373,'TAR FIN'!$A$1:$O$85,15,0))</f>
        <v>196.3</v>
      </c>
      <c r="Y373" s="6"/>
      <c r="Z373" s="6">
        <f ca="1">('TUSD BE'!$AM$33+'TUSD BF'!$AM$33+'TUSD CVA'!$AM$33)*(1-CUSTOS!$M$38)</f>
        <v>631.69873713628454</v>
      </c>
      <c r="AA373" s="6">
        <f>('TE BE'!$AB$23+'TE BF'!$AB$23+'TE CVA'!$AB$23)*(1-CUSTOS!$M$38)</f>
        <v>72.501278689672034</v>
      </c>
      <c r="AB373" s="6">
        <f>$K$373*$V$373</f>
        <v>0</v>
      </c>
      <c r="AC373" s="6">
        <f>$M$373*$W$373</f>
        <v>1250.8298500000001</v>
      </c>
      <c r="AD373" s="6">
        <f>$O$373*$X$373</f>
        <v>578.10350000000005</v>
      </c>
      <c r="AE373" s="6">
        <f>$K$373*$Y$373</f>
        <v>0</v>
      </c>
      <c r="AF373" s="6">
        <f ca="1">$M$373*$Z$373</f>
        <v>1860.3527808663578</v>
      </c>
      <c r="AG373" s="6">
        <f>$O$373*$AA$373</f>
        <v>213.51626574108414</v>
      </c>
    </row>
    <row r="374" spans="1:33" ht="11.25" customHeight="1" x14ac:dyDescent="0.3">
      <c r="A374" s="4" t="s">
        <v>21</v>
      </c>
      <c r="B374" s="4" t="s">
        <v>42</v>
      </c>
      <c r="C374" s="4" t="s">
        <v>23</v>
      </c>
      <c r="D374" s="4" t="s">
        <v>43</v>
      </c>
      <c r="E374" s="4" t="s">
        <v>25</v>
      </c>
      <c r="F374" s="4" t="s">
        <v>25</v>
      </c>
      <c r="G374" s="4" t="s">
        <v>25</v>
      </c>
      <c r="H374" s="4" t="s">
        <v>25</v>
      </c>
      <c r="I374" s="5">
        <v>44501</v>
      </c>
      <c r="J374" s="6">
        <v>0</v>
      </c>
      <c r="K374" s="6">
        <v>0</v>
      </c>
      <c r="L374" s="6">
        <v>40.924999999999997</v>
      </c>
      <c r="M374" s="6">
        <v>40.924999999999997</v>
      </c>
      <c r="N374" s="6">
        <v>40.924999999999997</v>
      </c>
      <c r="O374" s="6">
        <v>40.924999999999997</v>
      </c>
      <c r="P374" s="6">
        <v>174</v>
      </c>
      <c r="Q374" s="4" t="s">
        <v>26</v>
      </c>
      <c r="R374" s="4">
        <v>0</v>
      </c>
      <c r="S374" s="6">
        <v>0</v>
      </c>
      <c r="T374" s="6">
        <v>75</v>
      </c>
      <c r="U374" s="6">
        <v>53</v>
      </c>
      <c r="V374" s="6">
        <f>IF(ISERROR(VLOOKUP($S$374,'TAR FIN'!$A$1:$O$85,15,0)),0,VLOOKUP($S$374,'TAR FIN'!$A$1:$O$85,15,0))</f>
        <v>0</v>
      </c>
      <c r="W374" s="6">
        <f>IF(ISERROR(VLOOKUP($T$374,'TAR FIN'!$A$1:$O$85,15,0)),0,VLOOKUP($T$374,'TAR FIN'!$A$1:$O$85,15,0))</f>
        <v>424.73</v>
      </c>
      <c r="X374" s="6">
        <f>IF(ISERROR(VLOOKUP($U$374,'TAR FIN'!$A$1:$O$85,15,0)),0,VLOOKUP($U$374,'TAR FIN'!$A$1:$O$85,15,0))</f>
        <v>196.3</v>
      </c>
      <c r="Y374" s="6"/>
      <c r="Z374" s="6">
        <f ca="1">('TUSD BE'!$AM$33+'TUSD BF'!$AM$33+'TUSD CVA'!$AM$33)*(1-CUSTOS!$M$38)</f>
        <v>631.69873713628454</v>
      </c>
      <c r="AA374" s="6">
        <f>('TE BE'!$AB$23+'TE BF'!$AB$23+'TE CVA'!$AB$23)*(1-CUSTOS!$M$38)</f>
        <v>72.501278689672034</v>
      </c>
      <c r="AB374" s="6">
        <f>$K$374*$V$374</f>
        <v>0</v>
      </c>
      <c r="AC374" s="6">
        <f>$M$374*$W$374</f>
        <v>17382.075249999998</v>
      </c>
      <c r="AD374" s="6">
        <f>$O$374*$X$374</f>
        <v>8033.5775000000003</v>
      </c>
      <c r="AE374" s="6">
        <f>$K$374*$Y$374</f>
        <v>0</v>
      </c>
      <c r="AF374" s="6">
        <f ca="1">$M$374*$Z$374</f>
        <v>25852.270817302444</v>
      </c>
      <c r="AG374" s="6">
        <f>$O$374*$AA$374</f>
        <v>2967.1148303748278</v>
      </c>
    </row>
    <row r="375" spans="1:33" ht="11.25" customHeight="1" x14ac:dyDescent="0.3">
      <c r="A375" s="4" t="s">
        <v>27</v>
      </c>
      <c r="B375" s="4" t="s">
        <v>42</v>
      </c>
      <c r="C375" s="4" t="s">
        <v>23</v>
      </c>
      <c r="D375" s="4" t="s">
        <v>43</v>
      </c>
      <c r="E375" s="4" t="s">
        <v>25</v>
      </c>
      <c r="F375" s="4" t="s">
        <v>25</v>
      </c>
      <c r="G375" s="4" t="s">
        <v>25</v>
      </c>
      <c r="H375" s="4" t="s">
        <v>25</v>
      </c>
      <c r="I375" s="5">
        <v>44501</v>
      </c>
      <c r="J375" s="6">
        <v>0</v>
      </c>
      <c r="K375" s="6">
        <v>0</v>
      </c>
      <c r="L375" s="6">
        <v>-1.7999999999999999E-2</v>
      </c>
      <c r="M375" s="6">
        <v>-1.7999999999999999E-2</v>
      </c>
      <c r="N375" s="6">
        <v>-1.7999999999999999E-2</v>
      </c>
      <c r="O375" s="6">
        <v>-1.7999999999999999E-2</v>
      </c>
      <c r="P375" s="6">
        <v>0</v>
      </c>
      <c r="Q375" s="4" t="s">
        <v>26</v>
      </c>
      <c r="R375" s="4">
        <v>0</v>
      </c>
      <c r="S375" s="6">
        <v>0</v>
      </c>
      <c r="T375" s="6">
        <v>75</v>
      </c>
      <c r="U375" s="6">
        <v>53</v>
      </c>
      <c r="V375" s="6">
        <f>IF(ISERROR(VLOOKUP($S$375,'TAR FIN'!$A$1:$O$85,15,0)),0,VLOOKUP($S$375,'TAR FIN'!$A$1:$O$85,15,0))</f>
        <v>0</v>
      </c>
      <c r="W375" s="6">
        <f>IF(ISERROR(VLOOKUP($T$375,'TAR FIN'!$A$1:$O$85,15,0)),0,VLOOKUP($T$375,'TAR FIN'!$A$1:$O$85,15,0))</f>
        <v>424.73</v>
      </c>
      <c r="X375" s="6">
        <f>IF(ISERROR(VLOOKUP($U$375,'TAR FIN'!$A$1:$O$85,15,0)),0,VLOOKUP($U$375,'TAR FIN'!$A$1:$O$85,15,0))</f>
        <v>196.3</v>
      </c>
      <c r="Y375" s="6"/>
      <c r="Z375" s="6">
        <f ca="1">('TUSD BE'!$AM$33+'TUSD BF'!$AM$33+'TUSD CVA'!$AM$33)*(1-CUSTOS!$M$38)</f>
        <v>631.69873713628454</v>
      </c>
      <c r="AA375" s="6">
        <f>('TE BE'!$AB$23+'TE BF'!$AB$23+'TE CVA'!$AB$23)*(1-CUSTOS!$M$38)</f>
        <v>72.501278689672034</v>
      </c>
      <c r="AB375" s="6">
        <f>$K$375*$V$375</f>
        <v>0</v>
      </c>
      <c r="AC375" s="6">
        <f>$M$375*$W$375</f>
        <v>-7.6451399999999996</v>
      </c>
      <c r="AD375" s="6">
        <f>$O$375*$X$375</f>
        <v>-3.5333999999999999</v>
      </c>
      <c r="AE375" s="6">
        <f>$K$375*$Y$375</f>
        <v>0</v>
      </c>
      <c r="AF375" s="6">
        <f ca="1">$M$375*$Z$375</f>
        <v>-11.37057726845312</v>
      </c>
      <c r="AG375" s="6">
        <f>$O$375*$AA$375</f>
        <v>-1.3050230164140966</v>
      </c>
    </row>
    <row r="376" spans="1:33" ht="11.25" customHeight="1" x14ac:dyDescent="0.3">
      <c r="A376" s="4" t="s">
        <v>28</v>
      </c>
      <c r="B376" s="4" t="s">
        <v>42</v>
      </c>
      <c r="C376" s="4" t="s">
        <v>23</v>
      </c>
      <c r="D376" s="4" t="s">
        <v>43</v>
      </c>
      <c r="E376" s="4" t="s">
        <v>25</v>
      </c>
      <c r="F376" s="4" t="s">
        <v>25</v>
      </c>
      <c r="G376" s="4" t="s">
        <v>25</v>
      </c>
      <c r="H376" s="4" t="s">
        <v>25</v>
      </c>
      <c r="I376" s="5">
        <v>44501</v>
      </c>
      <c r="J376" s="6">
        <v>0</v>
      </c>
      <c r="K376" s="6">
        <v>0</v>
      </c>
      <c r="L376" s="6">
        <v>0.43</v>
      </c>
      <c r="M376" s="6">
        <v>0.43</v>
      </c>
      <c r="N376" s="6">
        <v>0.43</v>
      </c>
      <c r="O376" s="6">
        <v>0.43</v>
      </c>
      <c r="P376" s="6">
        <v>5</v>
      </c>
      <c r="Q376" s="4" t="s">
        <v>26</v>
      </c>
      <c r="R376" s="4">
        <v>0</v>
      </c>
      <c r="S376" s="6">
        <v>0</v>
      </c>
      <c r="T376" s="6">
        <v>75</v>
      </c>
      <c r="U376" s="6">
        <v>53</v>
      </c>
      <c r="V376" s="6">
        <f>IF(ISERROR(VLOOKUP($S$376,'TAR FIN'!$A$1:$O$85,15,0)),0,VLOOKUP($S$376,'TAR FIN'!$A$1:$O$85,15,0))</f>
        <v>0</v>
      </c>
      <c r="W376" s="6">
        <f>IF(ISERROR(VLOOKUP($T$376,'TAR FIN'!$A$1:$O$85,15,0)),0,VLOOKUP($T$376,'TAR FIN'!$A$1:$O$85,15,0))</f>
        <v>424.73</v>
      </c>
      <c r="X376" s="6">
        <f>IF(ISERROR(VLOOKUP($U$376,'TAR FIN'!$A$1:$O$85,15,0)),0,VLOOKUP($U$376,'TAR FIN'!$A$1:$O$85,15,0))</f>
        <v>196.3</v>
      </c>
      <c r="Y376" s="6"/>
      <c r="Z376" s="6">
        <f ca="1">('TUSD BE'!$AM$33+'TUSD BF'!$AM$33+'TUSD CVA'!$AM$33)*(1-CUSTOS!$M$38)</f>
        <v>631.69873713628454</v>
      </c>
      <c r="AA376" s="6">
        <f>('TE BE'!$AB$23+'TE BF'!$AB$23+'TE CVA'!$AB$23)*(1-CUSTOS!$M$38)</f>
        <v>72.501278689672034</v>
      </c>
      <c r="AB376" s="6">
        <f>$K$376*$V$376</f>
        <v>0</v>
      </c>
      <c r="AC376" s="6">
        <f>$M$376*$W$376</f>
        <v>182.63390000000001</v>
      </c>
      <c r="AD376" s="6">
        <f>$O$376*$X$376</f>
        <v>84.409000000000006</v>
      </c>
      <c r="AE376" s="6">
        <f>$K$376*$Y$376</f>
        <v>0</v>
      </c>
      <c r="AF376" s="6">
        <f ca="1">$M$376*$Z$376</f>
        <v>271.63045696860235</v>
      </c>
      <c r="AG376" s="6">
        <f>$O$376*$AA$376</f>
        <v>31.175549836558975</v>
      </c>
    </row>
    <row r="377" spans="1:33" ht="11.25" customHeight="1" x14ac:dyDescent="0.3">
      <c r="A377" s="4" t="s">
        <v>21</v>
      </c>
      <c r="B377" s="4" t="s">
        <v>42</v>
      </c>
      <c r="C377" s="4" t="s">
        <v>23</v>
      </c>
      <c r="D377" s="4" t="s">
        <v>43</v>
      </c>
      <c r="E377" s="4" t="s">
        <v>25</v>
      </c>
      <c r="F377" s="4" t="s">
        <v>25</v>
      </c>
      <c r="G377" s="4" t="s">
        <v>25</v>
      </c>
      <c r="H377" s="4" t="s">
        <v>25</v>
      </c>
      <c r="I377" s="5">
        <v>44531</v>
      </c>
      <c r="J377" s="6">
        <v>0</v>
      </c>
      <c r="K377" s="6">
        <v>0</v>
      </c>
      <c r="L377" s="6">
        <v>46.731999999999999</v>
      </c>
      <c r="M377" s="6">
        <v>46.731999999999999</v>
      </c>
      <c r="N377" s="6">
        <v>46.731999999999999</v>
      </c>
      <c r="O377" s="6">
        <v>46.731999999999999</v>
      </c>
      <c r="P377" s="6">
        <v>175</v>
      </c>
      <c r="Q377" s="4" t="s">
        <v>26</v>
      </c>
      <c r="R377" s="4">
        <v>0</v>
      </c>
      <c r="S377" s="6">
        <v>0</v>
      </c>
      <c r="T377" s="6">
        <v>75</v>
      </c>
      <c r="U377" s="6">
        <v>53</v>
      </c>
      <c r="V377" s="6">
        <f>IF(ISERROR(VLOOKUP($S$377,'TAR FIN'!$A$1:$O$85,15,0)),0,VLOOKUP($S$377,'TAR FIN'!$A$1:$O$85,15,0))</f>
        <v>0</v>
      </c>
      <c r="W377" s="6">
        <f>IF(ISERROR(VLOOKUP($T$377,'TAR FIN'!$A$1:$O$85,15,0)),0,VLOOKUP($T$377,'TAR FIN'!$A$1:$O$85,15,0))</f>
        <v>424.73</v>
      </c>
      <c r="X377" s="6">
        <f>IF(ISERROR(VLOOKUP($U$377,'TAR FIN'!$A$1:$O$85,15,0)),0,VLOOKUP($U$377,'TAR FIN'!$A$1:$O$85,15,0))</f>
        <v>196.3</v>
      </c>
      <c r="Y377" s="6"/>
      <c r="Z377" s="6">
        <f ca="1">('TUSD BE'!$AM$33+'TUSD BF'!$AM$33+'TUSD CVA'!$AM$33)*(1-CUSTOS!$M$38)</f>
        <v>631.69873713628454</v>
      </c>
      <c r="AA377" s="6">
        <f>('TE BE'!$AB$23+'TE BF'!$AB$23+'TE CVA'!$AB$23)*(1-CUSTOS!$M$38)</f>
        <v>72.501278689672034</v>
      </c>
      <c r="AB377" s="6">
        <f>$K$377*$V$377</f>
        <v>0</v>
      </c>
      <c r="AC377" s="6">
        <f>$M$377*$W$377</f>
        <v>19848.482360000002</v>
      </c>
      <c r="AD377" s="6">
        <f>$O$377*$X$377</f>
        <v>9173.4916000000012</v>
      </c>
      <c r="AE377" s="6">
        <f>$K$377*$Y$377</f>
        <v>0</v>
      </c>
      <c r="AF377" s="6">
        <f ca="1">$M$377*$Z$377</f>
        <v>29520.545383852848</v>
      </c>
      <c r="AG377" s="6">
        <f>$O$377*$AA$377</f>
        <v>3388.1297557257535</v>
      </c>
    </row>
    <row r="378" spans="1:33" ht="11.25" customHeight="1" x14ac:dyDescent="0.3">
      <c r="A378" s="4" t="s">
        <v>28</v>
      </c>
      <c r="B378" s="4" t="s">
        <v>42</v>
      </c>
      <c r="C378" s="4" t="s">
        <v>23</v>
      </c>
      <c r="D378" s="4" t="s">
        <v>43</v>
      </c>
      <c r="E378" s="4" t="s">
        <v>25</v>
      </c>
      <c r="F378" s="4" t="s">
        <v>25</v>
      </c>
      <c r="G378" s="4" t="s">
        <v>25</v>
      </c>
      <c r="H378" s="4" t="s">
        <v>25</v>
      </c>
      <c r="I378" s="5">
        <v>44531</v>
      </c>
      <c r="J378" s="6">
        <v>0</v>
      </c>
      <c r="K378" s="6">
        <v>0</v>
      </c>
      <c r="L378" s="6">
        <v>0.43</v>
      </c>
      <c r="M378" s="6">
        <v>0.43</v>
      </c>
      <c r="N378" s="6">
        <v>0.43</v>
      </c>
      <c r="O378" s="6">
        <v>0.43</v>
      </c>
      <c r="P378" s="6">
        <v>5</v>
      </c>
      <c r="Q378" s="4" t="s">
        <v>26</v>
      </c>
      <c r="R378" s="4">
        <v>0</v>
      </c>
      <c r="S378" s="6">
        <v>0</v>
      </c>
      <c r="T378" s="6">
        <v>75</v>
      </c>
      <c r="U378" s="6">
        <v>53</v>
      </c>
      <c r="V378" s="6">
        <f>IF(ISERROR(VLOOKUP($S$378,'TAR FIN'!$A$1:$O$85,15,0)),0,VLOOKUP($S$378,'TAR FIN'!$A$1:$O$85,15,0))</f>
        <v>0</v>
      </c>
      <c r="W378" s="6">
        <f>IF(ISERROR(VLOOKUP($T$378,'TAR FIN'!$A$1:$O$85,15,0)),0,VLOOKUP($T$378,'TAR FIN'!$A$1:$O$85,15,0))</f>
        <v>424.73</v>
      </c>
      <c r="X378" s="6">
        <f>IF(ISERROR(VLOOKUP($U$378,'TAR FIN'!$A$1:$O$85,15,0)),0,VLOOKUP($U$378,'TAR FIN'!$A$1:$O$85,15,0))</f>
        <v>196.3</v>
      </c>
      <c r="Y378" s="6"/>
      <c r="Z378" s="6">
        <f ca="1">('TUSD BE'!$AM$33+'TUSD BF'!$AM$33+'TUSD CVA'!$AM$33)*(1-CUSTOS!$M$38)</f>
        <v>631.69873713628454</v>
      </c>
      <c r="AA378" s="6">
        <f>('TE BE'!$AB$23+'TE BF'!$AB$23+'TE CVA'!$AB$23)*(1-CUSTOS!$M$38)</f>
        <v>72.501278689672034</v>
      </c>
      <c r="AB378" s="6">
        <f>$K$378*$V$378</f>
        <v>0</v>
      </c>
      <c r="AC378" s="6">
        <f>$M$378*$W$378</f>
        <v>182.63390000000001</v>
      </c>
      <c r="AD378" s="6">
        <f>$O$378*$X$378</f>
        <v>84.409000000000006</v>
      </c>
      <c r="AE378" s="6">
        <f>$K$378*$Y$378</f>
        <v>0</v>
      </c>
      <c r="AF378" s="6">
        <f ca="1">$M$378*$Z$378</f>
        <v>271.63045696860235</v>
      </c>
      <c r="AG378" s="6">
        <f>$O$378*$AA$378</f>
        <v>31.175549836558975</v>
      </c>
    </row>
    <row r="379" spans="1:33" ht="11.25" customHeight="1" x14ac:dyDescent="0.3">
      <c r="A379" s="4" t="s">
        <v>21</v>
      </c>
      <c r="B379" s="4" t="s">
        <v>42</v>
      </c>
      <c r="C379" s="4" t="s">
        <v>23</v>
      </c>
      <c r="D379" s="4" t="s">
        <v>43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44562</v>
      </c>
      <c r="J379" s="6">
        <v>0</v>
      </c>
      <c r="K379" s="6">
        <v>0</v>
      </c>
      <c r="L379" s="6">
        <v>50.945999999999998</v>
      </c>
      <c r="M379" s="6">
        <v>50.945999999999998</v>
      </c>
      <c r="N379" s="6">
        <v>50.945999999999998</v>
      </c>
      <c r="O379" s="6">
        <v>50.945999999999998</v>
      </c>
      <c r="P379" s="6">
        <v>174</v>
      </c>
      <c r="Q379" s="4" t="s">
        <v>26</v>
      </c>
      <c r="R379" s="4">
        <v>0</v>
      </c>
      <c r="S379" s="6">
        <v>0</v>
      </c>
      <c r="T379" s="6">
        <v>75</v>
      </c>
      <c r="U379" s="6">
        <v>53</v>
      </c>
      <c r="V379" s="6">
        <f>IF(ISERROR(VLOOKUP($S$379,'TAR FIN'!$A$1:$O$85,15,0)),0,VLOOKUP($S$379,'TAR FIN'!$A$1:$O$85,15,0))</f>
        <v>0</v>
      </c>
      <c r="W379" s="6">
        <f>IF(ISERROR(VLOOKUP($T$379,'TAR FIN'!$A$1:$O$85,15,0)),0,VLOOKUP($T$379,'TAR FIN'!$A$1:$O$85,15,0))</f>
        <v>424.73</v>
      </c>
      <c r="X379" s="6">
        <f>IF(ISERROR(VLOOKUP($U$379,'TAR FIN'!$A$1:$O$85,15,0)),0,VLOOKUP($U$379,'TAR FIN'!$A$1:$O$85,15,0))</f>
        <v>196.3</v>
      </c>
      <c r="Y379" s="6"/>
      <c r="Z379" s="6">
        <f ca="1">('TUSD BE'!$AM$33+'TUSD BF'!$AM$33+'TUSD CVA'!$AM$33)*(1-CUSTOS!$M$38)</f>
        <v>631.69873713628454</v>
      </c>
      <c r="AA379" s="6">
        <f>('TE BE'!$AB$23+'TE BF'!$AB$23+'TE CVA'!$AB$23)*(1-CUSTOS!$M$38)</f>
        <v>72.501278689672034</v>
      </c>
      <c r="AB379" s="6">
        <f>$K$379*$V$379</f>
        <v>0</v>
      </c>
      <c r="AC379" s="6">
        <f>$M$379*$W$379</f>
        <v>21638.294580000002</v>
      </c>
      <c r="AD379" s="6">
        <f>$O$379*$X$379</f>
        <v>10000.6998</v>
      </c>
      <c r="AE379" s="6">
        <f>$K$379*$Y$379</f>
        <v>0</v>
      </c>
      <c r="AF379" s="6">
        <f ca="1">$M$379*$Z$379</f>
        <v>32182.52386214515</v>
      </c>
      <c r="AG379" s="6">
        <f>$O$379*$AA$379</f>
        <v>3693.6501441240312</v>
      </c>
    </row>
    <row r="380" spans="1:33" ht="11.25" customHeight="1" x14ac:dyDescent="0.3">
      <c r="A380" s="4" t="s">
        <v>28</v>
      </c>
      <c r="B380" s="4" t="s">
        <v>42</v>
      </c>
      <c r="C380" s="4" t="s">
        <v>23</v>
      </c>
      <c r="D380" s="4" t="s">
        <v>43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44562</v>
      </c>
      <c r="J380" s="6">
        <v>0</v>
      </c>
      <c r="K380" s="6">
        <v>0</v>
      </c>
      <c r="L380" s="6">
        <v>0.43</v>
      </c>
      <c r="M380" s="6">
        <v>0.43</v>
      </c>
      <c r="N380" s="6">
        <v>0.43</v>
      </c>
      <c r="O380" s="6">
        <v>0.43</v>
      </c>
      <c r="P380" s="6">
        <v>5</v>
      </c>
      <c r="Q380" s="4" t="s">
        <v>26</v>
      </c>
      <c r="R380" s="4">
        <v>0</v>
      </c>
      <c r="S380" s="6">
        <v>0</v>
      </c>
      <c r="T380" s="6">
        <v>75</v>
      </c>
      <c r="U380" s="6">
        <v>53</v>
      </c>
      <c r="V380" s="6">
        <f>IF(ISERROR(VLOOKUP($S$380,'TAR FIN'!$A$1:$O$85,15,0)),0,VLOOKUP($S$380,'TAR FIN'!$A$1:$O$85,15,0))</f>
        <v>0</v>
      </c>
      <c r="W380" s="6">
        <f>IF(ISERROR(VLOOKUP($T$380,'TAR FIN'!$A$1:$O$85,15,0)),0,VLOOKUP($T$380,'TAR FIN'!$A$1:$O$85,15,0))</f>
        <v>424.73</v>
      </c>
      <c r="X380" s="6">
        <f>IF(ISERROR(VLOOKUP($U$380,'TAR FIN'!$A$1:$O$85,15,0)),0,VLOOKUP($U$380,'TAR FIN'!$A$1:$O$85,15,0))</f>
        <v>196.3</v>
      </c>
      <c r="Y380" s="6"/>
      <c r="Z380" s="6">
        <f ca="1">('TUSD BE'!$AM$33+'TUSD BF'!$AM$33+'TUSD CVA'!$AM$33)*(1-CUSTOS!$M$38)</f>
        <v>631.69873713628454</v>
      </c>
      <c r="AA380" s="6">
        <f>('TE BE'!$AB$23+'TE BF'!$AB$23+'TE CVA'!$AB$23)*(1-CUSTOS!$M$38)</f>
        <v>72.501278689672034</v>
      </c>
      <c r="AB380" s="6">
        <f>$K$380*$V$380</f>
        <v>0</v>
      </c>
      <c r="AC380" s="6">
        <f>$M$380*$W$380</f>
        <v>182.63390000000001</v>
      </c>
      <c r="AD380" s="6">
        <f>$O$380*$X$380</f>
        <v>84.409000000000006</v>
      </c>
      <c r="AE380" s="6">
        <f>$K$380*$Y$380</f>
        <v>0</v>
      </c>
      <c r="AF380" s="6">
        <f ca="1">$M$380*$Z$380</f>
        <v>271.63045696860235</v>
      </c>
      <c r="AG380" s="6">
        <f>$O$380*$AA$380</f>
        <v>31.175549836558975</v>
      </c>
    </row>
    <row r="381" spans="1:33" ht="11.25" customHeight="1" x14ac:dyDescent="0.3">
      <c r="A381" s="4" t="s">
        <v>21</v>
      </c>
      <c r="B381" s="4" t="s">
        <v>42</v>
      </c>
      <c r="C381" s="4" t="s">
        <v>23</v>
      </c>
      <c r="D381" s="4" t="s">
        <v>43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44593</v>
      </c>
      <c r="J381" s="6">
        <v>0</v>
      </c>
      <c r="K381" s="6">
        <v>0</v>
      </c>
      <c r="L381" s="6">
        <v>61.805999999999997</v>
      </c>
      <c r="M381" s="6">
        <v>61.805999999999997</v>
      </c>
      <c r="N381" s="6">
        <v>61.805999999999997</v>
      </c>
      <c r="O381" s="6">
        <v>61.805999999999997</v>
      </c>
      <c r="P381" s="6">
        <v>174</v>
      </c>
      <c r="Q381" s="4" t="s">
        <v>26</v>
      </c>
      <c r="R381" s="4">
        <v>0</v>
      </c>
      <c r="S381" s="6">
        <v>0</v>
      </c>
      <c r="T381" s="6">
        <v>75</v>
      </c>
      <c r="U381" s="6">
        <v>53</v>
      </c>
      <c r="V381" s="6">
        <f>IF(ISERROR(VLOOKUP($S$381,'TAR FIN'!$A$1:$O$85,15,0)),0,VLOOKUP($S$381,'TAR FIN'!$A$1:$O$85,15,0))</f>
        <v>0</v>
      </c>
      <c r="W381" s="6">
        <f>IF(ISERROR(VLOOKUP($T$381,'TAR FIN'!$A$1:$O$85,15,0)),0,VLOOKUP($T$381,'TAR FIN'!$A$1:$O$85,15,0))</f>
        <v>424.73</v>
      </c>
      <c r="X381" s="6">
        <f>IF(ISERROR(VLOOKUP($U$381,'TAR FIN'!$A$1:$O$85,15,0)),0,VLOOKUP($U$381,'TAR FIN'!$A$1:$O$85,15,0))</f>
        <v>196.3</v>
      </c>
      <c r="Y381" s="6"/>
      <c r="Z381" s="6">
        <f ca="1">('TUSD BE'!$AM$33+'TUSD BF'!$AM$33+'TUSD CVA'!$AM$33)*(1-CUSTOS!$M$38)</f>
        <v>631.69873713628454</v>
      </c>
      <c r="AA381" s="6">
        <f>('TE BE'!$AB$23+'TE BF'!$AB$23+'TE CVA'!$AB$23)*(1-CUSTOS!$M$38)</f>
        <v>72.501278689672034</v>
      </c>
      <c r="AB381" s="6">
        <f>$K$381*$V$381</f>
        <v>0</v>
      </c>
      <c r="AC381" s="6">
        <f>$M$381*$W$381</f>
        <v>26250.862379999999</v>
      </c>
      <c r="AD381" s="6">
        <f>$O$381*$X$381</f>
        <v>12132.5178</v>
      </c>
      <c r="AE381" s="6">
        <f>$K$381*$Y$381</f>
        <v>0</v>
      </c>
      <c r="AF381" s="6">
        <f ca="1">$M$381*$Z$381</f>
        <v>39042.772147445197</v>
      </c>
      <c r="AG381" s="6">
        <f>$O$381*$AA$381</f>
        <v>4481.0140306938692</v>
      </c>
    </row>
    <row r="382" spans="1:33" ht="11.25" customHeight="1" x14ac:dyDescent="0.3">
      <c r="A382" s="4" t="s">
        <v>21</v>
      </c>
      <c r="B382" s="4" t="s">
        <v>42</v>
      </c>
      <c r="C382" s="4" t="s">
        <v>23</v>
      </c>
      <c r="D382" s="4" t="s">
        <v>43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44621</v>
      </c>
      <c r="J382" s="6">
        <v>0</v>
      </c>
      <c r="K382" s="6">
        <v>0</v>
      </c>
      <c r="L382" s="6">
        <v>47.210999999999999</v>
      </c>
      <c r="M382" s="6">
        <v>47.210999999999999</v>
      </c>
      <c r="N382" s="6">
        <v>47.210999999999999</v>
      </c>
      <c r="O382" s="6">
        <v>47.210999999999999</v>
      </c>
      <c r="P382" s="6">
        <v>174</v>
      </c>
      <c r="Q382" s="4" t="s">
        <v>26</v>
      </c>
      <c r="R382" s="4">
        <v>0</v>
      </c>
      <c r="S382" s="6">
        <v>0</v>
      </c>
      <c r="T382" s="6">
        <v>75</v>
      </c>
      <c r="U382" s="6">
        <v>53</v>
      </c>
      <c r="V382" s="6">
        <f>IF(ISERROR(VLOOKUP($S$382,'TAR FIN'!$A$1:$O$85,15,0)),0,VLOOKUP($S$382,'TAR FIN'!$A$1:$O$85,15,0))</f>
        <v>0</v>
      </c>
      <c r="W382" s="6">
        <f>IF(ISERROR(VLOOKUP($T$382,'TAR FIN'!$A$1:$O$85,15,0)),0,VLOOKUP($T$382,'TAR FIN'!$A$1:$O$85,15,0))</f>
        <v>424.73</v>
      </c>
      <c r="X382" s="6">
        <f>IF(ISERROR(VLOOKUP($U$382,'TAR FIN'!$A$1:$O$85,15,0)),0,VLOOKUP($U$382,'TAR FIN'!$A$1:$O$85,15,0))</f>
        <v>196.3</v>
      </c>
      <c r="Y382" s="6"/>
      <c r="Z382" s="6">
        <f ca="1">('TUSD BE'!$AM$33+'TUSD BF'!$AM$33+'TUSD CVA'!$AM$33)*(1-CUSTOS!$M$38)</f>
        <v>631.69873713628454</v>
      </c>
      <c r="AA382" s="6">
        <f>('TE BE'!$AB$23+'TE BF'!$AB$23+'TE CVA'!$AB$23)*(1-CUSTOS!$M$38)</f>
        <v>72.501278689672034</v>
      </c>
      <c r="AB382" s="6">
        <f>$K$382*$V$382</f>
        <v>0</v>
      </c>
      <c r="AC382" s="6">
        <f>$M$382*$W$382</f>
        <v>20051.928029999999</v>
      </c>
      <c r="AD382" s="6">
        <f>$O$382*$X$382</f>
        <v>9267.5192999999999</v>
      </c>
      <c r="AE382" s="6">
        <f>$K$382*$Y$382</f>
        <v>0</v>
      </c>
      <c r="AF382" s="6">
        <f ca="1">$M$382*$Z$382</f>
        <v>29823.129078941129</v>
      </c>
      <c r="AG382" s="6">
        <f>$O$382*$AA$382</f>
        <v>3422.8578682181064</v>
      </c>
    </row>
    <row r="383" spans="1:33" ht="11.25" customHeight="1" x14ac:dyDescent="0.3">
      <c r="A383" s="4" t="s">
        <v>28</v>
      </c>
      <c r="B383" s="4" t="s">
        <v>42</v>
      </c>
      <c r="C383" s="4" t="s">
        <v>23</v>
      </c>
      <c r="D383" s="4" t="s">
        <v>43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44621</v>
      </c>
      <c r="J383" s="6">
        <v>0</v>
      </c>
      <c r="K383" s="6">
        <v>0</v>
      </c>
      <c r="L383" s="6">
        <v>0.58199999999999996</v>
      </c>
      <c r="M383" s="6">
        <v>0.58199999999999996</v>
      </c>
      <c r="N383" s="6">
        <v>0.58199999999999996</v>
      </c>
      <c r="O383" s="6">
        <v>0.58199999999999996</v>
      </c>
      <c r="P383" s="6">
        <v>7</v>
      </c>
      <c r="Q383" s="4" t="s">
        <v>26</v>
      </c>
      <c r="R383" s="4">
        <v>0</v>
      </c>
      <c r="S383" s="6">
        <v>0</v>
      </c>
      <c r="T383" s="6">
        <v>75</v>
      </c>
      <c r="U383" s="6">
        <v>53</v>
      </c>
      <c r="V383" s="6">
        <f>IF(ISERROR(VLOOKUP($S$383,'TAR FIN'!$A$1:$O$85,15,0)),0,VLOOKUP($S$383,'TAR FIN'!$A$1:$O$85,15,0))</f>
        <v>0</v>
      </c>
      <c r="W383" s="6">
        <f>IF(ISERROR(VLOOKUP($T$383,'TAR FIN'!$A$1:$O$85,15,0)),0,VLOOKUP($T$383,'TAR FIN'!$A$1:$O$85,15,0))</f>
        <v>424.73</v>
      </c>
      <c r="X383" s="6">
        <f>IF(ISERROR(VLOOKUP($U$383,'TAR FIN'!$A$1:$O$85,15,0)),0,VLOOKUP($U$383,'TAR FIN'!$A$1:$O$85,15,0))</f>
        <v>196.3</v>
      </c>
      <c r="Y383" s="6"/>
      <c r="Z383" s="6">
        <f ca="1">('TUSD BE'!$AM$33+'TUSD BF'!$AM$33+'TUSD CVA'!$AM$33)*(1-CUSTOS!$M$38)</f>
        <v>631.69873713628454</v>
      </c>
      <c r="AA383" s="6">
        <f>('TE BE'!$AB$23+'TE BF'!$AB$23+'TE CVA'!$AB$23)*(1-CUSTOS!$M$38)</f>
        <v>72.501278689672034</v>
      </c>
      <c r="AB383" s="6">
        <f>$K$383*$V$383</f>
        <v>0</v>
      </c>
      <c r="AC383" s="6">
        <f>$M$383*$W$383</f>
        <v>247.19286</v>
      </c>
      <c r="AD383" s="6">
        <f>$O$383*$X$383</f>
        <v>114.2466</v>
      </c>
      <c r="AE383" s="6">
        <f>$K$383*$Y$383</f>
        <v>0</v>
      </c>
      <c r="AF383" s="6">
        <f ca="1">$M$383*$Z$383</f>
        <v>367.64866501331755</v>
      </c>
      <c r="AG383" s="6">
        <f>$O$383*$AA$383</f>
        <v>42.195744197389118</v>
      </c>
    </row>
    <row r="384" spans="1:33" ht="11.25" customHeight="1" x14ac:dyDescent="0.3">
      <c r="A384" s="4" t="s">
        <v>21</v>
      </c>
      <c r="B384" s="4" t="s">
        <v>42</v>
      </c>
      <c r="C384" s="4" t="s">
        <v>23</v>
      </c>
      <c r="D384" s="4" t="s">
        <v>43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44652</v>
      </c>
      <c r="J384" s="6">
        <v>0</v>
      </c>
      <c r="K384" s="6">
        <v>0</v>
      </c>
      <c r="L384" s="6">
        <v>39.631999999999998</v>
      </c>
      <c r="M384" s="6">
        <v>39.631999999999998</v>
      </c>
      <c r="N384" s="6">
        <v>39.631999999999998</v>
      </c>
      <c r="O384" s="6">
        <v>39.631999999999998</v>
      </c>
      <c r="P384" s="6">
        <v>173</v>
      </c>
      <c r="Q384" s="4" t="s">
        <v>26</v>
      </c>
      <c r="R384" s="4">
        <v>0</v>
      </c>
      <c r="S384" s="6">
        <v>0</v>
      </c>
      <c r="T384" s="6">
        <v>75</v>
      </c>
      <c r="U384" s="6">
        <v>53</v>
      </c>
      <c r="V384" s="6">
        <f>IF(ISERROR(VLOOKUP($S$384,'TAR FIN'!$A$1:$O$85,15,0)),0,VLOOKUP($S$384,'TAR FIN'!$A$1:$O$85,15,0))</f>
        <v>0</v>
      </c>
      <c r="W384" s="6">
        <f>IF(ISERROR(VLOOKUP($T$384,'TAR FIN'!$A$1:$O$85,15,0)),0,VLOOKUP($T$384,'TAR FIN'!$A$1:$O$85,15,0))</f>
        <v>424.73</v>
      </c>
      <c r="X384" s="6">
        <f>IF(ISERROR(VLOOKUP($U$384,'TAR FIN'!$A$1:$O$85,15,0)),0,VLOOKUP($U$384,'TAR FIN'!$A$1:$O$85,15,0))</f>
        <v>196.3</v>
      </c>
      <c r="Y384" s="6"/>
      <c r="Z384" s="6">
        <f ca="1">('TUSD BE'!$AM$33+'TUSD BF'!$AM$33+'TUSD CVA'!$AM$33)*(1-CUSTOS!$M$38)</f>
        <v>631.69873713628454</v>
      </c>
      <c r="AA384" s="6">
        <f>('TE BE'!$AB$23+'TE BF'!$AB$23+'TE CVA'!$AB$23)*(1-CUSTOS!$M$38)</f>
        <v>72.501278689672034</v>
      </c>
      <c r="AB384" s="6">
        <f>$K$384*$V$384</f>
        <v>0</v>
      </c>
      <c r="AC384" s="6">
        <f>$M$384*$W$384</f>
        <v>16832.899359999999</v>
      </c>
      <c r="AD384" s="6">
        <f>$O$384*$X$384</f>
        <v>7779.7615999999998</v>
      </c>
      <c r="AE384" s="6">
        <f>$K$384*$Y$384</f>
        <v>0</v>
      </c>
      <c r="AF384" s="6">
        <f ca="1">$M$384*$Z$384</f>
        <v>25035.484350185227</v>
      </c>
      <c r="AG384" s="6">
        <f>$O$384*$AA$384</f>
        <v>2873.3706770290819</v>
      </c>
    </row>
    <row r="385" spans="1:33" ht="11.25" customHeight="1" x14ac:dyDescent="0.3">
      <c r="A385" s="4" t="s">
        <v>28</v>
      </c>
      <c r="B385" s="4" t="s">
        <v>42</v>
      </c>
      <c r="C385" s="4" t="s">
        <v>23</v>
      </c>
      <c r="D385" s="4" t="s">
        <v>43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44652</v>
      </c>
      <c r="J385" s="6">
        <v>0</v>
      </c>
      <c r="K385" s="6">
        <v>0</v>
      </c>
      <c r="L385" s="6">
        <v>0.92800000000000005</v>
      </c>
      <c r="M385" s="6">
        <v>0.92800000000000005</v>
      </c>
      <c r="N385" s="6">
        <v>0.92800000000000005</v>
      </c>
      <c r="O385" s="6">
        <v>0.92800000000000005</v>
      </c>
      <c r="P385" s="6">
        <v>8</v>
      </c>
      <c r="Q385" s="4" t="s">
        <v>26</v>
      </c>
      <c r="R385" s="4">
        <v>0</v>
      </c>
      <c r="S385" s="6">
        <v>0</v>
      </c>
      <c r="T385" s="6">
        <v>75</v>
      </c>
      <c r="U385" s="6">
        <v>53</v>
      </c>
      <c r="V385" s="6">
        <f>IF(ISERROR(VLOOKUP($S$385,'TAR FIN'!$A$1:$O$85,15,0)),0,VLOOKUP($S$385,'TAR FIN'!$A$1:$O$85,15,0))</f>
        <v>0</v>
      </c>
      <c r="W385" s="6">
        <f>IF(ISERROR(VLOOKUP($T$385,'TAR FIN'!$A$1:$O$85,15,0)),0,VLOOKUP($T$385,'TAR FIN'!$A$1:$O$85,15,0))</f>
        <v>424.73</v>
      </c>
      <c r="X385" s="6">
        <f>IF(ISERROR(VLOOKUP($U$385,'TAR FIN'!$A$1:$O$85,15,0)),0,VLOOKUP($U$385,'TAR FIN'!$A$1:$O$85,15,0))</f>
        <v>196.3</v>
      </c>
      <c r="Y385" s="6"/>
      <c r="Z385" s="6">
        <f ca="1">('TUSD BE'!$AM$33+'TUSD BF'!$AM$33+'TUSD CVA'!$AM$33)*(1-CUSTOS!$M$38)</f>
        <v>631.69873713628454</v>
      </c>
      <c r="AA385" s="6">
        <f>('TE BE'!$AB$23+'TE BF'!$AB$23+'TE CVA'!$AB$23)*(1-CUSTOS!$M$38)</f>
        <v>72.501278689672034</v>
      </c>
      <c r="AB385" s="6">
        <f>$K$385*$V$385</f>
        <v>0</v>
      </c>
      <c r="AC385" s="6">
        <f>$M$385*$W$385</f>
        <v>394.14944000000003</v>
      </c>
      <c r="AD385" s="6">
        <f>$O$385*$X$385</f>
        <v>182.16640000000001</v>
      </c>
      <c r="AE385" s="6">
        <f>$K$385*$Y$385</f>
        <v>0</v>
      </c>
      <c r="AF385" s="6">
        <f ca="1">$M$385*$Z$385</f>
        <v>586.21642806247212</v>
      </c>
      <c r="AG385" s="6">
        <f>$O$385*$AA$385</f>
        <v>67.281186624015646</v>
      </c>
    </row>
    <row r="386" spans="1:33" ht="11.25" customHeight="1" x14ac:dyDescent="0.3">
      <c r="A386" s="4" t="s">
        <v>21</v>
      </c>
      <c r="B386" s="4" t="s">
        <v>42</v>
      </c>
      <c r="C386" s="4" t="s">
        <v>23</v>
      </c>
      <c r="D386" s="4" t="s">
        <v>43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44682</v>
      </c>
      <c r="J386" s="6">
        <v>0</v>
      </c>
      <c r="K386" s="6">
        <v>0</v>
      </c>
      <c r="L386" s="6">
        <v>35.756</v>
      </c>
      <c r="M386" s="6">
        <v>35.756</v>
      </c>
      <c r="N386" s="6">
        <v>35.756</v>
      </c>
      <c r="O386" s="6">
        <v>35.756</v>
      </c>
      <c r="P386" s="6">
        <v>170</v>
      </c>
      <c r="Q386" s="4" t="s">
        <v>26</v>
      </c>
      <c r="R386" s="4">
        <v>0</v>
      </c>
      <c r="S386" s="6">
        <v>0</v>
      </c>
      <c r="T386" s="6">
        <v>75</v>
      </c>
      <c r="U386" s="6">
        <v>53</v>
      </c>
      <c r="V386" s="6">
        <f>IF(ISERROR(VLOOKUP($S$386,'TAR FIN'!$A$1:$O$85,15,0)),0,VLOOKUP($S$386,'TAR FIN'!$A$1:$O$85,15,0))</f>
        <v>0</v>
      </c>
      <c r="W386" s="6">
        <f>IF(ISERROR(VLOOKUP($T$386,'TAR FIN'!$A$1:$O$85,15,0)),0,VLOOKUP($T$386,'TAR FIN'!$A$1:$O$85,15,0))</f>
        <v>424.73</v>
      </c>
      <c r="X386" s="6">
        <f>IF(ISERROR(VLOOKUP($U$386,'TAR FIN'!$A$1:$O$85,15,0)),0,VLOOKUP($U$386,'TAR FIN'!$A$1:$O$85,15,0))</f>
        <v>196.3</v>
      </c>
      <c r="Y386" s="6"/>
      <c r="Z386" s="6">
        <f ca="1">('TUSD BE'!$AM$33+'TUSD BF'!$AM$33+'TUSD CVA'!$AM$33)*(1-CUSTOS!$M$38)</f>
        <v>631.69873713628454</v>
      </c>
      <c r="AA386" s="6">
        <f>('TE BE'!$AB$23+'TE BF'!$AB$23+'TE CVA'!$AB$23)*(1-CUSTOS!$M$38)</f>
        <v>72.501278689672034</v>
      </c>
      <c r="AB386" s="6">
        <f>$K$386*$V$386</f>
        <v>0</v>
      </c>
      <c r="AC386" s="6">
        <f>$M$386*$W$386</f>
        <v>15186.64588</v>
      </c>
      <c r="AD386" s="6">
        <f>$O$386*$X$386</f>
        <v>7018.9028000000008</v>
      </c>
      <c r="AE386" s="6">
        <f>$K$386*$Y$386</f>
        <v>0</v>
      </c>
      <c r="AF386" s="6">
        <f ca="1">$M$386*$Z$386</f>
        <v>22587.020045044988</v>
      </c>
      <c r="AG386" s="6">
        <f>$O$386*$AA$386</f>
        <v>2592.355720827913</v>
      </c>
    </row>
    <row r="387" spans="1:33" ht="11.25" customHeight="1" x14ac:dyDescent="0.3">
      <c r="A387" s="4" t="s">
        <v>28</v>
      </c>
      <c r="B387" s="4" t="s">
        <v>42</v>
      </c>
      <c r="C387" s="4" t="s">
        <v>23</v>
      </c>
      <c r="D387" s="4" t="s">
        <v>43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44682</v>
      </c>
      <c r="J387" s="6">
        <v>0</v>
      </c>
      <c r="K387" s="6">
        <v>0</v>
      </c>
      <c r="L387" s="6">
        <v>0.876</v>
      </c>
      <c r="M387" s="6">
        <v>0.876</v>
      </c>
      <c r="N387" s="6">
        <v>0.876</v>
      </c>
      <c r="O387" s="6">
        <v>0.876</v>
      </c>
      <c r="P387" s="6">
        <v>8</v>
      </c>
      <c r="Q387" s="4" t="s">
        <v>26</v>
      </c>
      <c r="R387" s="4">
        <v>0</v>
      </c>
      <c r="S387" s="6">
        <v>0</v>
      </c>
      <c r="T387" s="6">
        <v>75</v>
      </c>
      <c r="U387" s="6">
        <v>53</v>
      </c>
      <c r="V387" s="6">
        <f>IF(ISERROR(VLOOKUP($S$387,'TAR FIN'!$A$1:$O$85,15,0)),0,VLOOKUP($S$387,'TAR FIN'!$A$1:$O$85,15,0))</f>
        <v>0</v>
      </c>
      <c r="W387" s="6">
        <f>IF(ISERROR(VLOOKUP($T$387,'TAR FIN'!$A$1:$O$85,15,0)),0,VLOOKUP($T$387,'TAR FIN'!$A$1:$O$85,15,0))</f>
        <v>424.73</v>
      </c>
      <c r="X387" s="6">
        <f>IF(ISERROR(VLOOKUP($U$387,'TAR FIN'!$A$1:$O$85,15,0)),0,VLOOKUP($U$387,'TAR FIN'!$A$1:$O$85,15,0))</f>
        <v>196.3</v>
      </c>
      <c r="Y387" s="6"/>
      <c r="Z387" s="6">
        <f ca="1">('TUSD BE'!$AM$33+'TUSD BF'!$AM$33+'TUSD CVA'!$AM$33)*(1-CUSTOS!$M$38)</f>
        <v>631.69873713628454</v>
      </c>
      <c r="AA387" s="6">
        <f>('TE BE'!$AB$23+'TE BF'!$AB$23+'TE CVA'!$AB$23)*(1-CUSTOS!$M$38)</f>
        <v>72.501278689672034</v>
      </c>
      <c r="AB387" s="6">
        <f>$K$387*$V$387</f>
        <v>0</v>
      </c>
      <c r="AC387" s="6">
        <f>$M$387*$W$387</f>
        <v>372.06348000000003</v>
      </c>
      <c r="AD387" s="6">
        <f>$O$387*$X$387</f>
        <v>171.9588</v>
      </c>
      <c r="AE387" s="6">
        <f>$K$387*$Y$387</f>
        <v>0</v>
      </c>
      <c r="AF387" s="6">
        <f ca="1">$M$387*$Z$387</f>
        <v>553.36809373138522</v>
      </c>
      <c r="AG387" s="6">
        <f>$O$387*$AA$387</f>
        <v>63.511120132152705</v>
      </c>
    </row>
    <row r="388" spans="1:33" ht="11.25" customHeight="1" x14ac:dyDescent="0.3">
      <c r="A388" s="4" t="s">
        <v>21</v>
      </c>
      <c r="B388" s="4" t="s">
        <v>42</v>
      </c>
      <c r="C388" s="4" t="s">
        <v>23</v>
      </c>
      <c r="D388" s="4" t="s">
        <v>43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44713</v>
      </c>
      <c r="J388" s="6">
        <v>0</v>
      </c>
      <c r="K388" s="6">
        <v>0</v>
      </c>
      <c r="L388" s="6">
        <v>36.369999999999997</v>
      </c>
      <c r="M388" s="6">
        <v>36.369999999999997</v>
      </c>
      <c r="N388" s="6">
        <v>36.369999999999997</v>
      </c>
      <c r="O388" s="6">
        <v>36.369999999999997</v>
      </c>
      <c r="P388" s="6">
        <v>170</v>
      </c>
      <c r="Q388" s="4" t="s">
        <v>26</v>
      </c>
      <c r="R388" s="4">
        <v>0</v>
      </c>
      <c r="S388" s="6">
        <v>0</v>
      </c>
      <c r="T388" s="6">
        <v>75</v>
      </c>
      <c r="U388" s="6">
        <v>53</v>
      </c>
      <c r="V388" s="6">
        <f>IF(ISERROR(VLOOKUP($S$388,'TAR FIN'!$A$1:$O$85,15,0)),0,VLOOKUP($S$388,'TAR FIN'!$A$1:$O$85,15,0))</f>
        <v>0</v>
      </c>
      <c r="W388" s="6">
        <f>IF(ISERROR(VLOOKUP($T$388,'TAR FIN'!$A$1:$O$85,15,0)),0,VLOOKUP($T$388,'TAR FIN'!$A$1:$O$85,15,0))</f>
        <v>424.73</v>
      </c>
      <c r="X388" s="6">
        <f>IF(ISERROR(VLOOKUP($U$388,'TAR FIN'!$A$1:$O$85,15,0)),0,VLOOKUP($U$388,'TAR FIN'!$A$1:$O$85,15,0))</f>
        <v>196.3</v>
      </c>
      <c r="Y388" s="6"/>
      <c r="Z388" s="6">
        <f ca="1">('TUSD BE'!$AM$33+'TUSD BF'!$AM$33+'TUSD CVA'!$AM$33)*(1-CUSTOS!$M$38)</f>
        <v>631.69873713628454</v>
      </c>
      <c r="AA388" s="6">
        <f>('TE BE'!$AB$23+'TE BF'!$AB$23+'TE CVA'!$AB$23)*(1-CUSTOS!$M$38)</f>
        <v>72.501278689672034</v>
      </c>
      <c r="AB388" s="6">
        <f>$K$388*$V$388</f>
        <v>0</v>
      </c>
      <c r="AC388" s="6">
        <f>$M$388*$W$388</f>
        <v>15447.4301</v>
      </c>
      <c r="AD388" s="6">
        <f>$O$388*$X$388</f>
        <v>7139.4309999999996</v>
      </c>
      <c r="AE388" s="6">
        <f>$K$388*$Y$388</f>
        <v>0</v>
      </c>
      <c r="AF388" s="6">
        <f ca="1">$M$388*$Z$388</f>
        <v>22974.883069646668</v>
      </c>
      <c r="AG388" s="6">
        <f>$O$388*$AA$388</f>
        <v>2636.8715059433716</v>
      </c>
    </row>
    <row r="389" spans="1:33" ht="11.25" customHeight="1" x14ac:dyDescent="0.3">
      <c r="A389" s="4" t="s">
        <v>28</v>
      </c>
      <c r="B389" s="4" t="s">
        <v>42</v>
      </c>
      <c r="C389" s="4" t="s">
        <v>23</v>
      </c>
      <c r="D389" s="4" t="s">
        <v>43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44713</v>
      </c>
      <c r="J389" s="6">
        <v>0</v>
      </c>
      <c r="K389" s="6">
        <v>0</v>
      </c>
      <c r="L389" s="6">
        <v>3.0179999999999998</v>
      </c>
      <c r="M389" s="6">
        <v>3.0179999999999998</v>
      </c>
      <c r="N389" s="6">
        <v>3.0179999999999998</v>
      </c>
      <c r="O389" s="6">
        <v>3.0179999999999998</v>
      </c>
      <c r="P389" s="6">
        <v>8</v>
      </c>
      <c r="Q389" s="4" t="s">
        <v>26</v>
      </c>
      <c r="R389" s="4">
        <v>0</v>
      </c>
      <c r="S389" s="6">
        <v>0</v>
      </c>
      <c r="T389" s="6">
        <v>75</v>
      </c>
      <c r="U389" s="6">
        <v>53</v>
      </c>
      <c r="V389" s="6">
        <f>IF(ISERROR(VLOOKUP($S$389,'TAR FIN'!$A$1:$O$85,15,0)),0,VLOOKUP($S$389,'TAR FIN'!$A$1:$O$85,15,0))</f>
        <v>0</v>
      </c>
      <c r="W389" s="6">
        <f>IF(ISERROR(VLOOKUP($T$389,'TAR FIN'!$A$1:$O$85,15,0)),0,VLOOKUP($T$389,'TAR FIN'!$A$1:$O$85,15,0))</f>
        <v>424.73</v>
      </c>
      <c r="X389" s="6">
        <f>IF(ISERROR(VLOOKUP($U$389,'TAR FIN'!$A$1:$O$85,15,0)),0,VLOOKUP($U$389,'TAR FIN'!$A$1:$O$85,15,0))</f>
        <v>196.3</v>
      </c>
      <c r="Y389" s="6"/>
      <c r="Z389" s="6">
        <f ca="1">('TUSD BE'!$AM$33+'TUSD BF'!$AM$33+'TUSD CVA'!$AM$33)*(1-CUSTOS!$M$38)</f>
        <v>631.69873713628454</v>
      </c>
      <c r="AA389" s="6">
        <f>('TE BE'!$AB$23+'TE BF'!$AB$23+'TE CVA'!$AB$23)*(1-CUSTOS!$M$38)</f>
        <v>72.501278689672034</v>
      </c>
      <c r="AB389" s="6">
        <f>$K$389*$V$389</f>
        <v>0</v>
      </c>
      <c r="AC389" s="6">
        <f>$M$389*$W$389</f>
        <v>1281.8351399999999</v>
      </c>
      <c r="AD389" s="6">
        <f>$O$389*$X$389</f>
        <v>592.43340000000001</v>
      </c>
      <c r="AE389" s="6">
        <f>$K$389*$Y$389</f>
        <v>0</v>
      </c>
      <c r="AF389" s="6">
        <f ca="1">$M$389*$Z$389</f>
        <v>1906.4667886773066</v>
      </c>
      <c r="AG389" s="6">
        <f>$O$389*$AA$389</f>
        <v>218.80885908543019</v>
      </c>
    </row>
    <row r="390" spans="1:33" ht="11.25" customHeight="1" x14ac:dyDescent="0.3">
      <c r="A390" s="4" t="s">
        <v>21</v>
      </c>
      <c r="B390" s="4" t="s">
        <v>42</v>
      </c>
      <c r="C390" s="4" t="s">
        <v>23</v>
      </c>
      <c r="D390" s="4" t="s">
        <v>43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44743</v>
      </c>
      <c r="J390" s="6">
        <v>0</v>
      </c>
      <c r="K390" s="6">
        <v>0</v>
      </c>
      <c r="L390" s="6">
        <v>30.863</v>
      </c>
      <c r="M390" s="6">
        <v>30.863</v>
      </c>
      <c r="N390" s="6">
        <v>30.863</v>
      </c>
      <c r="O390" s="6">
        <v>30.863</v>
      </c>
      <c r="P390" s="6">
        <v>167</v>
      </c>
      <c r="Q390" s="4" t="s">
        <v>26</v>
      </c>
      <c r="R390" s="4">
        <v>0</v>
      </c>
      <c r="S390" s="6">
        <v>0</v>
      </c>
      <c r="T390" s="6">
        <v>75</v>
      </c>
      <c r="U390" s="6">
        <v>53</v>
      </c>
      <c r="V390" s="6">
        <f>IF(ISERROR(VLOOKUP($S$390,'TAR FIN'!$A$1:$O$85,15,0)),0,VLOOKUP($S$390,'TAR FIN'!$A$1:$O$85,15,0))</f>
        <v>0</v>
      </c>
      <c r="W390" s="6">
        <f>IF(ISERROR(VLOOKUP($T$390,'TAR FIN'!$A$1:$O$85,15,0)),0,VLOOKUP($T$390,'TAR FIN'!$A$1:$O$85,15,0))</f>
        <v>424.73</v>
      </c>
      <c r="X390" s="6">
        <f>IF(ISERROR(VLOOKUP($U$390,'TAR FIN'!$A$1:$O$85,15,0)),0,VLOOKUP($U$390,'TAR FIN'!$A$1:$O$85,15,0))</f>
        <v>196.3</v>
      </c>
      <c r="Y390" s="6"/>
      <c r="Z390" s="6">
        <f ca="1">('TUSD BE'!$AM$33+'TUSD BF'!$AM$33+'TUSD CVA'!$AM$33)*(1-CUSTOS!$M$38)</f>
        <v>631.69873713628454</v>
      </c>
      <c r="AA390" s="6">
        <f>('TE BE'!$AB$23+'TE BF'!$AB$23+'TE CVA'!$AB$23)*(1-CUSTOS!$M$38)</f>
        <v>72.501278689672034</v>
      </c>
      <c r="AB390" s="6">
        <f>$K$390*$V$390</f>
        <v>0</v>
      </c>
      <c r="AC390" s="6">
        <f>$M$390*$W$390</f>
        <v>13108.441990000001</v>
      </c>
      <c r="AD390" s="6">
        <f>$O$390*$X$390</f>
        <v>6058.4069</v>
      </c>
      <c r="AE390" s="6">
        <f>$K$390*$Y$390</f>
        <v>0</v>
      </c>
      <c r="AF390" s="6">
        <f ca="1">$M$390*$Z$390</f>
        <v>19496.118124237149</v>
      </c>
      <c r="AG390" s="6">
        <f>$O$390*$AA$390</f>
        <v>2237.6069641993481</v>
      </c>
    </row>
    <row r="391" spans="1:33" ht="11.25" customHeight="1" x14ac:dyDescent="0.3">
      <c r="A391" s="4" t="s">
        <v>28</v>
      </c>
      <c r="B391" s="4" t="s">
        <v>42</v>
      </c>
      <c r="C391" s="4" t="s">
        <v>23</v>
      </c>
      <c r="D391" s="4" t="s">
        <v>43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44743</v>
      </c>
      <c r="J391" s="6">
        <v>0</v>
      </c>
      <c r="K391" s="6">
        <v>0</v>
      </c>
      <c r="L391" s="6">
        <v>0.85699999999999998</v>
      </c>
      <c r="M391" s="6">
        <v>0.85699999999999998</v>
      </c>
      <c r="N391" s="6">
        <v>0.85699999999999998</v>
      </c>
      <c r="O391" s="6">
        <v>0.85699999999999998</v>
      </c>
      <c r="P391" s="6">
        <v>8</v>
      </c>
      <c r="Q391" s="4" t="s">
        <v>26</v>
      </c>
      <c r="R391" s="4">
        <v>0</v>
      </c>
      <c r="S391" s="6">
        <v>0</v>
      </c>
      <c r="T391" s="6">
        <v>75</v>
      </c>
      <c r="U391" s="6">
        <v>53</v>
      </c>
      <c r="V391" s="6">
        <f>IF(ISERROR(VLOOKUP($S$391,'TAR FIN'!$A$1:$O$85,15,0)),0,VLOOKUP($S$391,'TAR FIN'!$A$1:$O$85,15,0))</f>
        <v>0</v>
      </c>
      <c r="W391" s="6">
        <f>IF(ISERROR(VLOOKUP($T$391,'TAR FIN'!$A$1:$O$85,15,0)),0,VLOOKUP($T$391,'TAR FIN'!$A$1:$O$85,15,0))</f>
        <v>424.73</v>
      </c>
      <c r="X391" s="6">
        <f>IF(ISERROR(VLOOKUP($U$391,'TAR FIN'!$A$1:$O$85,15,0)),0,VLOOKUP($U$391,'TAR FIN'!$A$1:$O$85,15,0))</f>
        <v>196.3</v>
      </c>
      <c r="Y391" s="6"/>
      <c r="Z391" s="6">
        <f ca="1">('TUSD BE'!$AM$33+'TUSD BF'!$AM$33+'TUSD CVA'!$AM$33)*(1-CUSTOS!$M$38)</f>
        <v>631.69873713628454</v>
      </c>
      <c r="AA391" s="6">
        <f>('TE BE'!$AB$23+'TE BF'!$AB$23+'TE CVA'!$AB$23)*(1-CUSTOS!$M$38)</f>
        <v>72.501278689672034</v>
      </c>
      <c r="AB391" s="6">
        <f>$K$391*$V$391</f>
        <v>0</v>
      </c>
      <c r="AC391" s="6">
        <f>$M$391*$W$391</f>
        <v>363.99360999999999</v>
      </c>
      <c r="AD391" s="6">
        <f>$O$391*$X$391</f>
        <v>168.22910000000002</v>
      </c>
      <c r="AE391" s="6">
        <f>$K$391*$Y$391</f>
        <v>0</v>
      </c>
      <c r="AF391" s="6">
        <f ca="1">$M$391*$Z$391</f>
        <v>541.36581772579586</v>
      </c>
      <c r="AG391" s="6">
        <f>$O$391*$AA$391</f>
        <v>62.133595837048929</v>
      </c>
    </row>
    <row r="392" spans="1:33" ht="11.25" customHeight="1" x14ac:dyDescent="0.3">
      <c r="A392" s="4" t="s">
        <v>21</v>
      </c>
      <c r="B392" s="4" t="s">
        <v>42</v>
      </c>
      <c r="C392" s="4" t="s">
        <v>23</v>
      </c>
      <c r="D392" s="4" t="s">
        <v>43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44774</v>
      </c>
      <c r="J392" s="6">
        <v>0</v>
      </c>
      <c r="K392" s="6">
        <v>0</v>
      </c>
      <c r="L392" s="6">
        <v>35.078000000000003</v>
      </c>
      <c r="M392" s="6">
        <v>35.078000000000003</v>
      </c>
      <c r="N392" s="6">
        <v>35.078000000000003</v>
      </c>
      <c r="O392" s="6">
        <v>35.078000000000003</v>
      </c>
      <c r="P392" s="6">
        <v>169</v>
      </c>
      <c r="Q392" s="4" t="s">
        <v>26</v>
      </c>
      <c r="R392" s="4">
        <v>0</v>
      </c>
      <c r="S392" s="6">
        <v>0</v>
      </c>
      <c r="T392" s="6">
        <v>75</v>
      </c>
      <c r="U392" s="6">
        <v>53</v>
      </c>
      <c r="V392" s="6">
        <f>IF(ISERROR(VLOOKUP($S$392,'TAR FIN'!$A$1:$O$85,15,0)),0,VLOOKUP($S$392,'TAR FIN'!$A$1:$O$85,15,0))</f>
        <v>0</v>
      </c>
      <c r="W392" s="6">
        <f>IF(ISERROR(VLOOKUP($T$392,'TAR FIN'!$A$1:$O$85,15,0)),0,VLOOKUP($T$392,'TAR FIN'!$A$1:$O$85,15,0))</f>
        <v>424.73</v>
      </c>
      <c r="X392" s="6">
        <f>IF(ISERROR(VLOOKUP($U$392,'TAR FIN'!$A$1:$O$85,15,0)),0,VLOOKUP($U$392,'TAR FIN'!$A$1:$O$85,15,0))</f>
        <v>196.3</v>
      </c>
      <c r="Y392" s="6"/>
      <c r="Z392" s="6">
        <f ca="1">('TUSD BE'!$AM$33+'TUSD BF'!$AM$33+'TUSD CVA'!$AM$33)*(1-CUSTOS!$M$38)</f>
        <v>631.69873713628454</v>
      </c>
      <c r="AA392" s="6">
        <f>('TE BE'!$AB$23+'TE BF'!$AB$23+'TE CVA'!$AB$23)*(1-CUSTOS!$M$38)</f>
        <v>72.501278689672034</v>
      </c>
      <c r="AB392" s="6">
        <f>$K$392*$V$392</f>
        <v>0</v>
      </c>
      <c r="AC392" s="6">
        <f>$M$392*$W$392</f>
        <v>14898.678940000002</v>
      </c>
      <c r="AD392" s="6">
        <f>$O$392*$X$392</f>
        <v>6885.8114000000014</v>
      </c>
      <c r="AE392" s="6">
        <f>$K$392*$Y$392</f>
        <v>0</v>
      </c>
      <c r="AF392" s="6">
        <f ca="1">$M$392*$Z$392</f>
        <v>22158.72830126659</v>
      </c>
      <c r="AG392" s="6">
        <f>$O$392*$AA$392</f>
        <v>2543.199853876316</v>
      </c>
    </row>
    <row r="393" spans="1:33" ht="11.25" customHeight="1" x14ac:dyDescent="0.3">
      <c r="A393" s="4" t="s">
        <v>28</v>
      </c>
      <c r="B393" s="4" t="s">
        <v>42</v>
      </c>
      <c r="C393" s="4" t="s">
        <v>23</v>
      </c>
      <c r="D393" s="4" t="s">
        <v>43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44774</v>
      </c>
      <c r="J393" s="6">
        <v>0</v>
      </c>
      <c r="K393" s="6">
        <v>0</v>
      </c>
      <c r="L393" s="6">
        <v>0.57299999999999995</v>
      </c>
      <c r="M393" s="6">
        <v>0.57299999999999995</v>
      </c>
      <c r="N393" s="6">
        <v>0.57299999999999995</v>
      </c>
      <c r="O393" s="6">
        <v>0.57299999999999995</v>
      </c>
      <c r="P393" s="6">
        <v>8</v>
      </c>
      <c r="Q393" s="4" t="s">
        <v>26</v>
      </c>
      <c r="R393" s="4">
        <v>0</v>
      </c>
      <c r="S393" s="6">
        <v>0</v>
      </c>
      <c r="T393" s="6">
        <v>75</v>
      </c>
      <c r="U393" s="6">
        <v>53</v>
      </c>
      <c r="V393" s="6">
        <f>IF(ISERROR(VLOOKUP($S$393,'TAR FIN'!$A$1:$O$85,15,0)),0,VLOOKUP($S$393,'TAR FIN'!$A$1:$O$85,15,0))</f>
        <v>0</v>
      </c>
      <c r="W393" s="6">
        <f>IF(ISERROR(VLOOKUP($T$393,'TAR FIN'!$A$1:$O$85,15,0)),0,VLOOKUP($T$393,'TAR FIN'!$A$1:$O$85,15,0))</f>
        <v>424.73</v>
      </c>
      <c r="X393" s="6">
        <f>IF(ISERROR(VLOOKUP($U$393,'TAR FIN'!$A$1:$O$85,15,0)),0,VLOOKUP($U$393,'TAR FIN'!$A$1:$O$85,15,0))</f>
        <v>196.3</v>
      </c>
      <c r="Y393" s="6"/>
      <c r="Z393" s="6">
        <f ca="1">('TUSD BE'!$AM$33+'TUSD BF'!$AM$33+'TUSD CVA'!$AM$33)*(1-CUSTOS!$M$38)</f>
        <v>631.69873713628454</v>
      </c>
      <c r="AA393" s="6">
        <f>('TE BE'!$AB$23+'TE BF'!$AB$23+'TE CVA'!$AB$23)*(1-CUSTOS!$M$38)</f>
        <v>72.501278689672034</v>
      </c>
      <c r="AB393" s="6">
        <f>$K$393*$V$393</f>
        <v>0</v>
      </c>
      <c r="AC393" s="6">
        <f>$M$393*$W$393</f>
        <v>243.37028999999998</v>
      </c>
      <c r="AD393" s="6">
        <f>$O$393*$X$393</f>
        <v>112.4799</v>
      </c>
      <c r="AE393" s="6">
        <f>$K$393*$Y$393</f>
        <v>0</v>
      </c>
      <c r="AF393" s="6">
        <f ca="1">$M$393*$Z$393</f>
        <v>361.96337637909102</v>
      </c>
      <c r="AG393" s="6">
        <f>$O$393*$AA$393</f>
        <v>41.543232689182069</v>
      </c>
    </row>
    <row r="394" spans="1:33" ht="11.25" customHeight="1" x14ac:dyDescent="0.3">
      <c r="A394" s="4" t="s">
        <v>21</v>
      </c>
      <c r="B394" s="4" t="s">
        <v>37</v>
      </c>
      <c r="C394" s="4" t="s">
        <v>33</v>
      </c>
      <c r="D394" s="4" t="s">
        <v>41</v>
      </c>
      <c r="E394" s="4" t="s">
        <v>25</v>
      </c>
      <c r="F394" s="4" t="s">
        <v>25</v>
      </c>
      <c r="G394" s="4" t="s">
        <v>25</v>
      </c>
      <c r="H394" s="4" t="s">
        <v>35</v>
      </c>
      <c r="I394" s="5">
        <v>44440</v>
      </c>
      <c r="J394" s="6">
        <v>0</v>
      </c>
      <c r="K394" s="6">
        <v>0</v>
      </c>
      <c r="L394" s="6">
        <v>0.82199999999999995</v>
      </c>
      <c r="M394" s="6">
        <v>0.82199999999999995</v>
      </c>
      <c r="N394" s="6">
        <v>0.82199999999999995</v>
      </c>
      <c r="O394" s="6">
        <v>0.82199999999999995</v>
      </c>
      <c r="P394" s="6">
        <v>0</v>
      </c>
      <c r="Q394" s="4" t="s">
        <v>26</v>
      </c>
      <c r="R394" s="4">
        <v>0</v>
      </c>
      <c r="S394" s="6">
        <v>0</v>
      </c>
      <c r="T394" s="6">
        <v>78</v>
      </c>
      <c r="U394" s="6">
        <v>60</v>
      </c>
      <c r="V394" s="6">
        <f>IF(ISERROR(VLOOKUP($S$394,'TAR FIN'!$A$1:$O$85,15,0)),0,VLOOKUP($S$394,'TAR FIN'!$A$1:$O$85,15,0))</f>
        <v>0</v>
      </c>
      <c r="W394" s="6">
        <f>IF(ISERROR(VLOOKUP($T$394,'TAR FIN'!$A$1:$O$85,15,0)),0,VLOOKUP($T$394,'TAR FIN'!$A$1:$O$85,15,0))</f>
        <v>361.54</v>
      </c>
      <c r="X394" s="6">
        <f>IF(ISERROR(VLOOKUP($U$394,'TAR FIN'!$A$1:$O$85,15,0)),0,VLOOKUP($U$394,'TAR FIN'!$A$1:$O$85,15,0))</f>
        <v>223.07</v>
      </c>
      <c r="Y394" s="6"/>
      <c r="Z394" s="6">
        <f ca="1">('TUSD BE'!$AM$47+'TUSD BF'!$AM$47+'TUSD CVA'!$AM$47)*1</f>
        <v>503.03617413781922</v>
      </c>
      <c r="AA394" s="6">
        <f>('TE BE'!$AB$37+'TE BF'!$AB$37+'TE CVA'!$AB$37)*1</f>
        <v>77.958364182443049</v>
      </c>
      <c r="AB394" s="6">
        <f>$K$394*$V$394</f>
        <v>0</v>
      </c>
      <c r="AC394" s="6">
        <f>$M$394*$W$394</f>
        <v>297.18588</v>
      </c>
      <c r="AD394" s="6">
        <f>$O$394*$X$394</f>
        <v>183.36353999999997</v>
      </c>
      <c r="AE394" s="6">
        <f>$K$394*$Y$394</f>
        <v>0</v>
      </c>
      <c r="AF394" s="6">
        <f ca="1">$M$394*$Z$394</f>
        <v>413.49573514128735</v>
      </c>
      <c r="AG394" s="6">
        <f>$O$394*$AA$394</f>
        <v>64.081775357968183</v>
      </c>
    </row>
    <row r="395" spans="1:33" ht="11.25" customHeight="1" x14ac:dyDescent="0.3">
      <c r="A395" s="4" t="s">
        <v>21</v>
      </c>
      <c r="B395" s="4" t="s">
        <v>37</v>
      </c>
      <c r="C395" s="4" t="s">
        <v>33</v>
      </c>
      <c r="D395" s="4" t="s">
        <v>41</v>
      </c>
      <c r="E395" s="4" t="s">
        <v>25</v>
      </c>
      <c r="F395" s="4" t="s">
        <v>25</v>
      </c>
      <c r="G395" s="4" t="s">
        <v>25</v>
      </c>
      <c r="H395" s="4" t="s">
        <v>35</v>
      </c>
      <c r="I395" s="5">
        <v>44470</v>
      </c>
      <c r="J395" s="6">
        <v>0</v>
      </c>
      <c r="K395" s="6">
        <v>0</v>
      </c>
      <c r="L395" s="6">
        <v>0.89200000000000002</v>
      </c>
      <c r="M395" s="6">
        <v>0.89200000000000002</v>
      </c>
      <c r="N395" s="6">
        <v>0.89200000000000002</v>
      </c>
      <c r="O395" s="6">
        <v>0.89200000000000002</v>
      </c>
      <c r="P395" s="6">
        <v>0</v>
      </c>
      <c r="Q395" s="4" t="s">
        <v>26</v>
      </c>
      <c r="R395" s="4">
        <v>0</v>
      </c>
      <c r="S395" s="6">
        <v>0</v>
      </c>
      <c r="T395" s="6">
        <v>78</v>
      </c>
      <c r="U395" s="6">
        <v>60</v>
      </c>
      <c r="V395" s="6">
        <f>IF(ISERROR(VLOOKUP($S$395,'TAR FIN'!$A$1:$O$85,15,0)),0,VLOOKUP($S$395,'TAR FIN'!$A$1:$O$85,15,0))</f>
        <v>0</v>
      </c>
      <c r="W395" s="6">
        <f>IF(ISERROR(VLOOKUP($T$395,'TAR FIN'!$A$1:$O$85,15,0)),0,VLOOKUP($T$395,'TAR FIN'!$A$1:$O$85,15,0))</f>
        <v>361.54</v>
      </c>
      <c r="X395" s="6">
        <f>IF(ISERROR(VLOOKUP($U$395,'TAR FIN'!$A$1:$O$85,15,0)),0,VLOOKUP($U$395,'TAR FIN'!$A$1:$O$85,15,0))</f>
        <v>223.07</v>
      </c>
      <c r="Y395" s="6"/>
      <c r="Z395" s="6">
        <f ca="1">('TUSD BE'!$AM$47+'TUSD BF'!$AM$47+'TUSD CVA'!$AM$47)*1</f>
        <v>503.03617413781922</v>
      </c>
      <c r="AA395" s="6">
        <f>('TE BE'!$AB$37+'TE BF'!$AB$37+'TE CVA'!$AB$37)*1</f>
        <v>77.958364182443049</v>
      </c>
      <c r="AB395" s="6">
        <f>$K$395*$V$395</f>
        <v>0</v>
      </c>
      <c r="AC395" s="6">
        <f>$M$395*$W$395</f>
        <v>322.49368000000004</v>
      </c>
      <c r="AD395" s="6">
        <f>$O$395*$X$395</f>
        <v>198.97844000000001</v>
      </c>
      <c r="AE395" s="6">
        <f>$K$395*$Y$395</f>
        <v>0</v>
      </c>
      <c r="AF395" s="6">
        <f ca="1">$M$395*$Z$395</f>
        <v>448.70826733093475</v>
      </c>
      <c r="AG395" s="6">
        <f>$O$395*$AA$395</f>
        <v>69.538860850739198</v>
      </c>
    </row>
    <row r="396" spans="1:33" ht="11.25" customHeight="1" x14ac:dyDescent="0.3">
      <c r="A396" s="4" t="s">
        <v>21</v>
      </c>
      <c r="B396" s="4" t="s">
        <v>37</v>
      </c>
      <c r="C396" s="4" t="s">
        <v>33</v>
      </c>
      <c r="D396" s="4" t="s">
        <v>41</v>
      </c>
      <c r="E396" s="4" t="s">
        <v>25</v>
      </c>
      <c r="F396" s="4" t="s">
        <v>25</v>
      </c>
      <c r="G396" s="4" t="s">
        <v>25</v>
      </c>
      <c r="H396" s="4" t="s">
        <v>35</v>
      </c>
      <c r="I396" s="5">
        <v>44501</v>
      </c>
      <c r="J396" s="6">
        <v>0</v>
      </c>
      <c r="K396" s="6">
        <v>0</v>
      </c>
      <c r="L396" s="6">
        <v>0.68200000000000005</v>
      </c>
      <c r="M396" s="6">
        <v>0.68200000000000005</v>
      </c>
      <c r="N396" s="6">
        <v>0.68200000000000005</v>
      </c>
      <c r="O396" s="6">
        <v>0.68200000000000005</v>
      </c>
      <c r="P396" s="6">
        <v>0</v>
      </c>
      <c r="Q396" s="4" t="s">
        <v>26</v>
      </c>
      <c r="R396" s="4">
        <v>0</v>
      </c>
      <c r="S396" s="6">
        <v>0</v>
      </c>
      <c r="T396" s="6">
        <v>78</v>
      </c>
      <c r="U396" s="6">
        <v>60</v>
      </c>
      <c r="V396" s="6">
        <f>IF(ISERROR(VLOOKUP($S$396,'TAR FIN'!$A$1:$O$85,15,0)),0,VLOOKUP($S$396,'TAR FIN'!$A$1:$O$85,15,0))</f>
        <v>0</v>
      </c>
      <c r="W396" s="6">
        <f>IF(ISERROR(VLOOKUP($T$396,'TAR FIN'!$A$1:$O$85,15,0)),0,VLOOKUP($T$396,'TAR FIN'!$A$1:$O$85,15,0))</f>
        <v>361.54</v>
      </c>
      <c r="X396" s="6">
        <f>IF(ISERROR(VLOOKUP($U$396,'TAR FIN'!$A$1:$O$85,15,0)),0,VLOOKUP($U$396,'TAR FIN'!$A$1:$O$85,15,0))</f>
        <v>223.07</v>
      </c>
      <c r="Y396" s="6"/>
      <c r="Z396" s="6">
        <f ca="1">('TUSD BE'!$AM$47+'TUSD BF'!$AM$47+'TUSD CVA'!$AM$47)*1</f>
        <v>503.03617413781922</v>
      </c>
      <c r="AA396" s="6">
        <f>('TE BE'!$AB$37+'TE BF'!$AB$37+'TE CVA'!$AB$37)*1</f>
        <v>77.958364182443049</v>
      </c>
      <c r="AB396" s="6">
        <f>$K$396*$V$396</f>
        <v>0</v>
      </c>
      <c r="AC396" s="6">
        <f>$M$396*$W$396</f>
        <v>246.57028000000003</v>
      </c>
      <c r="AD396" s="6">
        <f>$O$396*$X$396</f>
        <v>152.13374000000002</v>
      </c>
      <c r="AE396" s="6">
        <f>$K$396*$Y$396</f>
        <v>0</v>
      </c>
      <c r="AF396" s="6">
        <f ca="1">$M$396*$Z$396</f>
        <v>343.07067076199274</v>
      </c>
      <c r="AG396" s="6">
        <f>$O$396*$AA$396</f>
        <v>53.167604372426162</v>
      </c>
    </row>
    <row r="397" spans="1:33" ht="11.25" customHeight="1" x14ac:dyDescent="0.3">
      <c r="A397" s="4" t="s">
        <v>28</v>
      </c>
      <c r="B397" s="4" t="s">
        <v>37</v>
      </c>
      <c r="C397" s="4" t="s">
        <v>33</v>
      </c>
      <c r="D397" s="4" t="s">
        <v>41</v>
      </c>
      <c r="E397" s="4" t="s">
        <v>25</v>
      </c>
      <c r="F397" s="4" t="s">
        <v>25</v>
      </c>
      <c r="G397" s="4" t="s">
        <v>25</v>
      </c>
      <c r="H397" s="4" t="s">
        <v>35</v>
      </c>
      <c r="I397" s="5">
        <v>44501</v>
      </c>
      <c r="J397" s="6">
        <v>0</v>
      </c>
      <c r="K397" s="6">
        <v>0</v>
      </c>
      <c r="L397" s="6">
        <v>0.55200000000000005</v>
      </c>
      <c r="M397" s="6">
        <v>0.55200000000000005</v>
      </c>
      <c r="N397" s="6">
        <v>0.55200000000000005</v>
      </c>
      <c r="O397" s="6">
        <v>0.55200000000000005</v>
      </c>
      <c r="P397" s="6">
        <v>0</v>
      </c>
      <c r="Q397" s="4" t="s">
        <v>26</v>
      </c>
      <c r="R397" s="4">
        <v>0</v>
      </c>
      <c r="S397" s="6">
        <v>0</v>
      </c>
      <c r="T397" s="6">
        <v>78</v>
      </c>
      <c r="U397" s="6">
        <v>60</v>
      </c>
      <c r="V397" s="6">
        <f>IF(ISERROR(VLOOKUP($S$397,'TAR FIN'!$A$1:$O$85,15,0)),0,VLOOKUP($S$397,'TAR FIN'!$A$1:$O$85,15,0))</f>
        <v>0</v>
      </c>
      <c r="W397" s="6">
        <f>IF(ISERROR(VLOOKUP($T$397,'TAR FIN'!$A$1:$O$85,15,0)),0,VLOOKUP($T$397,'TAR FIN'!$A$1:$O$85,15,0))</f>
        <v>361.54</v>
      </c>
      <c r="X397" s="6">
        <f>IF(ISERROR(VLOOKUP($U$397,'TAR FIN'!$A$1:$O$85,15,0)),0,VLOOKUP($U$397,'TAR FIN'!$A$1:$O$85,15,0))</f>
        <v>223.07</v>
      </c>
      <c r="Y397" s="6"/>
      <c r="Z397" s="6">
        <f ca="1">('TUSD BE'!$AM$47+'TUSD BF'!$AM$47+'TUSD CVA'!$AM$47)*1</f>
        <v>503.03617413781922</v>
      </c>
      <c r="AA397" s="6">
        <f>('TE BE'!$AB$37+'TE BF'!$AB$37+'TE CVA'!$AB$37)*1</f>
        <v>77.958364182443049</v>
      </c>
      <c r="AB397" s="6">
        <f>$K$397*$V$397</f>
        <v>0</v>
      </c>
      <c r="AC397" s="6">
        <f>$M$397*$W$397</f>
        <v>199.57008000000002</v>
      </c>
      <c r="AD397" s="6">
        <f>$O$397*$X$397</f>
        <v>123.13464</v>
      </c>
      <c r="AE397" s="6">
        <f>$K$397*$Y$397</f>
        <v>0</v>
      </c>
      <c r="AF397" s="6">
        <f ca="1">$M$397*$Z$397</f>
        <v>277.67596812407623</v>
      </c>
      <c r="AG397" s="6">
        <f>$O$397*$AA$397</f>
        <v>43.033017028708564</v>
      </c>
    </row>
    <row r="398" spans="1:33" ht="11.25" customHeight="1" x14ac:dyDescent="0.3">
      <c r="A398" s="4" t="s">
        <v>21</v>
      </c>
      <c r="B398" s="4" t="s">
        <v>37</v>
      </c>
      <c r="C398" s="4" t="s">
        <v>33</v>
      </c>
      <c r="D398" s="4" t="s">
        <v>41</v>
      </c>
      <c r="E398" s="4" t="s">
        <v>25</v>
      </c>
      <c r="F398" s="4" t="s">
        <v>25</v>
      </c>
      <c r="G398" s="4" t="s">
        <v>25</v>
      </c>
      <c r="H398" s="4" t="s">
        <v>35</v>
      </c>
      <c r="I398" s="5">
        <v>44531</v>
      </c>
      <c r="J398" s="6">
        <v>0</v>
      </c>
      <c r="K398" s="6">
        <v>0</v>
      </c>
      <c r="L398" s="6">
        <v>4.0019999999999998</v>
      </c>
      <c r="M398" s="6">
        <v>4.0019999999999998</v>
      </c>
      <c r="N398" s="6">
        <v>4.0019999999999998</v>
      </c>
      <c r="O398" s="6">
        <v>4.0019999999999998</v>
      </c>
      <c r="P398" s="6">
        <v>0</v>
      </c>
      <c r="Q398" s="4" t="s">
        <v>26</v>
      </c>
      <c r="R398" s="4">
        <v>0</v>
      </c>
      <c r="S398" s="6">
        <v>0</v>
      </c>
      <c r="T398" s="6">
        <v>78</v>
      </c>
      <c r="U398" s="6">
        <v>60</v>
      </c>
      <c r="V398" s="6">
        <f>IF(ISERROR(VLOOKUP($S$398,'TAR FIN'!$A$1:$O$85,15,0)),0,VLOOKUP($S$398,'TAR FIN'!$A$1:$O$85,15,0))</f>
        <v>0</v>
      </c>
      <c r="W398" s="6">
        <f>IF(ISERROR(VLOOKUP($T$398,'TAR FIN'!$A$1:$O$85,15,0)),0,VLOOKUP($T$398,'TAR FIN'!$A$1:$O$85,15,0))</f>
        <v>361.54</v>
      </c>
      <c r="X398" s="6">
        <f>IF(ISERROR(VLOOKUP($U$398,'TAR FIN'!$A$1:$O$85,15,0)),0,VLOOKUP($U$398,'TAR FIN'!$A$1:$O$85,15,0))</f>
        <v>223.07</v>
      </c>
      <c r="Y398" s="6"/>
      <c r="Z398" s="6">
        <f ca="1">('TUSD BE'!$AM$47+'TUSD BF'!$AM$47+'TUSD CVA'!$AM$47)*1</f>
        <v>503.03617413781922</v>
      </c>
      <c r="AA398" s="6">
        <f>('TE BE'!$AB$37+'TE BF'!$AB$37+'TE CVA'!$AB$37)*1</f>
        <v>77.958364182443049</v>
      </c>
      <c r="AB398" s="6">
        <f>$K$398*$V$398</f>
        <v>0</v>
      </c>
      <c r="AC398" s="6">
        <f>$M$398*$W$398</f>
        <v>1446.8830800000001</v>
      </c>
      <c r="AD398" s="6">
        <f>$O$398*$X$398</f>
        <v>892.72613999999987</v>
      </c>
      <c r="AE398" s="6">
        <f>$K$398*$Y$398</f>
        <v>0</v>
      </c>
      <c r="AF398" s="6">
        <f ca="1">$M$398*$Z$398</f>
        <v>2013.1507688995523</v>
      </c>
      <c r="AG398" s="6">
        <f>$O$398*$AA$398</f>
        <v>311.98937345813704</v>
      </c>
    </row>
    <row r="399" spans="1:33" ht="11.25" customHeight="1" x14ac:dyDescent="0.3">
      <c r="A399" s="4" t="s">
        <v>21</v>
      </c>
      <c r="B399" s="4" t="s">
        <v>37</v>
      </c>
      <c r="C399" s="4" t="s">
        <v>33</v>
      </c>
      <c r="D399" s="4" t="s">
        <v>41</v>
      </c>
      <c r="E399" s="4" t="s">
        <v>25</v>
      </c>
      <c r="F399" s="4" t="s">
        <v>25</v>
      </c>
      <c r="G399" s="4" t="s">
        <v>25</v>
      </c>
      <c r="H399" s="4" t="s">
        <v>35</v>
      </c>
      <c r="I399" s="5">
        <v>44562</v>
      </c>
      <c r="J399" s="6">
        <v>0</v>
      </c>
      <c r="K399" s="6">
        <v>0</v>
      </c>
      <c r="L399" s="6">
        <v>5.399</v>
      </c>
      <c r="M399" s="6">
        <v>5.399</v>
      </c>
      <c r="N399" s="6">
        <v>5.399</v>
      </c>
      <c r="O399" s="6">
        <v>5.399</v>
      </c>
      <c r="P399" s="6">
        <v>0</v>
      </c>
      <c r="Q399" s="4" t="s">
        <v>26</v>
      </c>
      <c r="R399" s="4">
        <v>0</v>
      </c>
      <c r="S399" s="6">
        <v>0</v>
      </c>
      <c r="T399" s="6">
        <v>78</v>
      </c>
      <c r="U399" s="6">
        <v>60</v>
      </c>
      <c r="V399" s="6">
        <f>IF(ISERROR(VLOOKUP($S$399,'TAR FIN'!$A$1:$O$85,15,0)),0,VLOOKUP($S$399,'TAR FIN'!$A$1:$O$85,15,0))</f>
        <v>0</v>
      </c>
      <c r="W399" s="6">
        <f>IF(ISERROR(VLOOKUP($T$399,'TAR FIN'!$A$1:$O$85,15,0)),0,VLOOKUP($T$399,'TAR FIN'!$A$1:$O$85,15,0))</f>
        <v>361.54</v>
      </c>
      <c r="X399" s="6">
        <f>IF(ISERROR(VLOOKUP($U$399,'TAR FIN'!$A$1:$O$85,15,0)),0,VLOOKUP($U$399,'TAR FIN'!$A$1:$O$85,15,0))</f>
        <v>223.07</v>
      </c>
      <c r="Y399" s="6"/>
      <c r="Z399" s="6">
        <f ca="1">('TUSD BE'!$AM$47+'TUSD BF'!$AM$47+'TUSD CVA'!$AM$47)*1</f>
        <v>503.03617413781922</v>
      </c>
      <c r="AA399" s="6">
        <f>('TE BE'!$AB$37+'TE BF'!$AB$37+'TE CVA'!$AB$37)*1</f>
        <v>77.958364182443049</v>
      </c>
      <c r="AB399" s="6">
        <f>$K$399*$V$399</f>
        <v>0</v>
      </c>
      <c r="AC399" s="6">
        <f>$M$399*$W$399</f>
        <v>1951.9544600000002</v>
      </c>
      <c r="AD399" s="6">
        <f>$O$399*$X$399</f>
        <v>1204.35493</v>
      </c>
      <c r="AE399" s="6">
        <f>$K$399*$Y$399</f>
        <v>0</v>
      </c>
      <c r="AF399" s="6">
        <f ca="1">$M$399*$Z$399</f>
        <v>2715.8923041700859</v>
      </c>
      <c r="AG399" s="6">
        <f>$O$399*$AA$399</f>
        <v>420.89720822101003</v>
      </c>
    </row>
    <row r="400" spans="1:33" ht="11.25" customHeight="1" x14ac:dyDescent="0.3">
      <c r="A400" s="4" t="s">
        <v>28</v>
      </c>
      <c r="B400" s="4" t="s">
        <v>37</v>
      </c>
      <c r="C400" s="4" t="s">
        <v>33</v>
      </c>
      <c r="D400" s="4" t="s">
        <v>41</v>
      </c>
      <c r="E400" s="4" t="s">
        <v>25</v>
      </c>
      <c r="F400" s="4" t="s">
        <v>25</v>
      </c>
      <c r="G400" s="4" t="s">
        <v>25</v>
      </c>
      <c r="H400" s="4" t="s">
        <v>35</v>
      </c>
      <c r="I400" s="5">
        <v>44562</v>
      </c>
      <c r="J400" s="6">
        <v>0</v>
      </c>
      <c r="K400" s="6">
        <v>0</v>
      </c>
      <c r="L400" s="6">
        <v>0.06</v>
      </c>
      <c r="M400" s="6">
        <v>0.06</v>
      </c>
      <c r="N400" s="6">
        <v>0.06</v>
      </c>
      <c r="O400" s="6">
        <v>0.06</v>
      </c>
      <c r="P400" s="6">
        <v>0</v>
      </c>
      <c r="Q400" s="4" t="s">
        <v>26</v>
      </c>
      <c r="R400" s="4">
        <v>0</v>
      </c>
      <c r="S400" s="6">
        <v>0</v>
      </c>
      <c r="T400" s="6">
        <v>78</v>
      </c>
      <c r="U400" s="6">
        <v>60</v>
      </c>
      <c r="V400" s="6">
        <f>IF(ISERROR(VLOOKUP($S$400,'TAR FIN'!$A$1:$O$85,15,0)),0,VLOOKUP($S$400,'TAR FIN'!$A$1:$O$85,15,0))</f>
        <v>0</v>
      </c>
      <c r="W400" s="6">
        <f>IF(ISERROR(VLOOKUP($T$400,'TAR FIN'!$A$1:$O$85,15,0)),0,VLOOKUP($T$400,'TAR FIN'!$A$1:$O$85,15,0))</f>
        <v>361.54</v>
      </c>
      <c r="X400" s="6">
        <f>IF(ISERROR(VLOOKUP($U$400,'TAR FIN'!$A$1:$O$85,15,0)),0,VLOOKUP($U$400,'TAR FIN'!$A$1:$O$85,15,0))</f>
        <v>223.07</v>
      </c>
      <c r="Y400" s="6"/>
      <c r="Z400" s="6">
        <f ca="1">('TUSD BE'!$AM$47+'TUSD BF'!$AM$47+'TUSD CVA'!$AM$47)*1</f>
        <v>503.03617413781922</v>
      </c>
      <c r="AA400" s="6">
        <f>('TE BE'!$AB$37+'TE BF'!$AB$37+'TE CVA'!$AB$37)*1</f>
        <v>77.958364182443049</v>
      </c>
      <c r="AB400" s="6">
        <f>$K$400*$V$400</f>
        <v>0</v>
      </c>
      <c r="AC400" s="6">
        <f>$M$400*$W$400</f>
        <v>21.692399999999999</v>
      </c>
      <c r="AD400" s="6">
        <f>$O$400*$X$400</f>
        <v>13.3842</v>
      </c>
      <c r="AE400" s="6">
        <f>$K$400*$Y$400</f>
        <v>0</v>
      </c>
      <c r="AF400" s="6">
        <f ca="1">$M$400*$Z$400</f>
        <v>30.182170448269151</v>
      </c>
      <c r="AG400" s="6">
        <f>$O$400*$AA$400</f>
        <v>4.6775018509465829</v>
      </c>
    </row>
    <row r="401" spans="1:33" ht="11.25" customHeight="1" x14ac:dyDescent="0.3">
      <c r="A401" s="4" t="s">
        <v>21</v>
      </c>
      <c r="B401" s="4" t="s">
        <v>37</v>
      </c>
      <c r="C401" s="4" t="s">
        <v>33</v>
      </c>
      <c r="D401" s="4" t="s">
        <v>41</v>
      </c>
      <c r="E401" s="4" t="s">
        <v>25</v>
      </c>
      <c r="F401" s="4" t="s">
        <v>25</v>
      </c>
      <c r="G401" s="4" t="s">
        <v>25</v>
      </c>
      <c r="H401" s="4" t="s">
        <v>35</v>
      </c>
      <c r="I401" s="5">
        <v>44593</v>
      </c>
      <c r="J401" s="6">
        <v>0</v>
      </c>
      <c r="K401" s="6">
        <v>0</v>
      </c>
      <c r="L401" s="6">
        <v>6.41</v>
      </c>
      <c r="M401" s="6">
        <v>6.41</v>
      </c>
      <c r="N401" s="6">
        <v>6.41</v>
      </c>
      <c r="O401" s="6">
        <v>6.41</v>
      </c>
      <c r="P401" s="6">
        <v>0</v>
      </c>
      <c r="Q401" s="4" t="s">
        <v>26</v>
      </c>
      <c r="R401" s="4">
        <v>0</v>
      </c>
      <c r="S401" s="6">
        <v>0</v>
      </c>
      <c r="T401" s="6">
        <v>78</v>
      </c>
      <c r="U401" s="6">
        <v>60</v>
      </c>
      <c r="V401" s="6">
        <f>IF(ISERROR(VLOOKUP($S$401,'TAR FIN'!$A$1:$O$85,15,0)),0,VLOOKUP($S$401,'TAR FIN'!$A$1:$O$85,15,0))</f>
        <v>0</v>
      </c>
      <c r="W401" s="6">
        <f>IF(ISERROR(VLOOKUP($T$401,'TAR FIN'!$A$1:$O$85,15,0)),0,VLOOKUP($T$401,'TAR FIN'!$A$1:$O$85,15,0))</f>
        <v>361.54</v>
      </c>
      <c r="X401" s="6">
        <f>IF(ISERROR(VLOOKUP($U$401,'TAR FIN'!$A$1:$O$85,15,0)),0,VLOOKUP($U$401,'TAR FIN'!$A$1:$O$85,15,0))</f>
        <v>223.07</v>
      </c>
      <c r="Y401" s="6"/>
      <c r="Z401" s="6">
        <f ca="1">('TUSD BE'!$AM$47+'TUSD BF'!$AM$47+'TUSD CVA'!$AM$47)*1</f>
        <v>503.03617413781922</v>
      </c>
      <c r="AA401" s="6">
        <f>('TE BE'!$AB$37+'TE BF'!$AB$37+'TE CVA'!$AB$37)*1</f>
        <v>77.958364182443049</v>
      </c>
      <c r="AB401" s="6">
        <f>$K$401*$V$401</f>
        <v>0</v>
      </c>
      <c r="AC401" s="6">
        <f>$M$401*$W$401</f>
        <v>2317.4714000000004</v>
      </c>
      <c r="AD401" s="6">
        <f>$O$401*$X$401</f>
        <v>1429.8787</v>
      </c>
      <c r="AE401" s="6">
        <f>$K$401*$Y$401</f>
        <v>0</v>
      </c>
      <c r="AF401" s="6">
        <f ca="1">$M$401*$Z$401</f>
        <v>3224.4618762234213</v>
      </c>
      <c r="AG401" s="6">
        <f>$O$401*$AA$401</f>
        <v>499.71311440945993</v>
      </c>
    </row>
    <row r="402" spans="1:33" ht="11.25" customHeight="1" x14ac:dyDescent="0.3">
      <c r="A402" s="4" t="s">
        <v>21</v>
      </c>
      <c r="B402" s="4" t="s">
        <v>37</v>
      </c>
      <c r="C402" s="4" t="s">
        <v>33</v>
      </c>
      <c r="D402" s="4" t="s">
        <v>41</v>
      </c>
      <c r="E402" s="4" t="s">
        <v>25</v>
      </c>
      <c r="F402" s="4" t="s">
        <v>25</v>
      </c>
      <c r="G402" s="4" t="s">
        <v>25</v>
      </c>
      <c r="H402" s="4" t="s">
        <v>35</v>
      </c>
      <c r="I402" s="5">
        <v>44621</v>
      </c>
      <c r="J402" s="6">
        <v>0</v>
      </c>
      <c r="K402" s="6">
        <v>0</v>
      </c>
      <c r="L402" s="6">
        <v>6.7530000000000001</v>
      </c>
      <c r="M402" s="6">
        <v>6.7530000000000001</v>
      </c>
      <c r="N402" s="6">
        <v>6.7530000000000001</v>
      </c>
      <c r="O402" s="6">
        <v>6.7530000000000001</v>
      </c>
      <c r="P402" s="6">
        <v>0</v>
      </c>
      <c r="Q402" s="4" t="s">
        <v>26</v>
      </c>
      <c r="R402" s="4">
        <v>0</v>
      </c>
      <c r="S402" s="6">
        <v>0</v>
      </c>
      <c r="T402" s="6">
        <v>78</v>
      </c>
      <c r="U402" s="6">
        <v>60</v>
      </c>
      <c r="V402" s="6">
        <f>IF(ISERROR(VLOOKUP($S$402,'TAR FIN'!$A$1:$O$85,15,0)),0,VLOOKUP($S$402,'TAR FIN'!$A$1:$O$85,15,0))</f>
        <v>0</v>
      </c>
      <c r="W402" s="6">
        <f>IF(ISERROR(VLOOKUP($T$402,'TAR FIN'!$A$1:$O$85,15,0)),0,VLOOKUP($T$402,'TAR FIN'!$A$1:$O$85,15,0))</f>
        <v>361.54</v>
      </c>
      <c r="X402" s="6">
        <f>IF(ISERROR(VLOOKUP($U$402,'TAR FIN'!$A$1:$O$85,15,0)),0,VLOOKUP($U$402,'TAR FIN'!$A$1:$O$85,15,0))</f>
        <v>223.07</v>
      </c>
      <c r="Y402" s="6"/>
      <c r="Z402" s="6">
        <f ca="1">('TUSD BE'!$AM$47+'TUSD BF'!$AM$47+'TUSD CVA'!$AM$47)*1</f>
        <v>503.03617413781922</v>
      </c>
      <c r="AA402" s="6">
        <f>('TE BE'!$AB$37+'TE BF'!$AB$37+'TE CVA'!$AB$37)*1</f>
        <v>77.958364182443049</v>
      </c>
      <c r="AB402" s="6">
        <f>$K$402*$V$402</f>
        <v>0</v>
      </c>
      <c r="AC402" s="6">
        <f>$M$402*$W$402</f>
        <v>2441.4796200000001</v>
      </c>
      <c r="AD402" s="6">
        <f>$O$402*$X$402</f>
        <v>1506.3917099999999</v>
      </c>
      <c r="AE402" s="6">
        <f>$K$402*$Y$402</f>
        <v>0</v>
      </c>
      <c r="AF402" s="6">
        <f ca="1">$M$402*$Z$402</f>
        <v>3397.0032839526934</v>
      </c>
      <c r="AG402" s="6">
        <f>$O$402*$AA$402</f>
        <v>526.4528333240379</v>
      </c>
    </row>
    <row r="403" spans="1:33" ht="11.25" customHeight="1" x14ac:dyDescent="0.3">
      <c r="A403" s="4" t="s">
        <v>28</v>
      </c>
      <c r="B403" s="4" t="s">
        <v>37</v>
      </c>
      <c r="C403" s="4" t="s">
        <v>33</v>
      </c>
      <c r="D403" s="4" t="s">
        <v>41</v>
      </c>
      <c r="E403" s="4" t="s">
        <v>25</v>
      </c>
      <c r="F403" s="4" t="s">
        <v>25</v>
      </c>
      <c r="G403" s="4" t="s">
        <v>25</v>
      </c>
      <c r="H403" s="4" t="s">
        <v>35</v>
      </c>
      <c r="I403" s="5">
        <v>44621</v>
      </c>
      <c r="J403" s="6">
        <v>0</v>
      </c>
      <c r="K403" s="6">
        <v>0</v>
      </c>
      <c r="L403" s="6">
        <v>0.95899999999999996</v>
      </c>
      <c r="M403" s="6">
        <v>0.95899999999999996</v>
      </c>
      <c r="N403" s="6">
        <v>0.95899999999999996</v>
      </c>
      <c r="O403" s="6">
        <v>0.95899999999999996</v>
      </c>
      <c r="P403" s="6">
        <v>0</v>
      </c>
      <c r="Q403" s="4" t="s">
        <v>26</v>
      </c>
      <c r="R403" s="4">
        <v>0</v>
      </c>
      <c r="S403" s="6">
        <v>0</v>
      </c>
      <c r="T403" s="6">
        <v>78</v>
      </c>
      <c r="U403" s="6">
        <v>60</v>
      </c>
      <c r="V403" s="6">
        <f>IF(ISERROR(VLOOKUP($S$403,'TAR FIN'!$A$1:$O$85,15,0)),0,VLOOKUP($S$403,'TAR FIN'!$A$1:$O$85,15,0))</f>
        <v>0</v>
      </c>
      <c r="W403" s="6">
        <f>IF(ISERROR(VLOOKUP($T$403,'TAR FIN'!$A$1:$O$85,15,0)),0,VLOOKUP($T$403,'TAR FIN'!$A$1:$O$85,15,0))</f>
        <v>361.54</v>
      </c>
      <c r="X403" s="6">
        <f>IF(ISERROR(VLOOKUP($U$403,'TAR FIN'!$A$1:$O$85,15,0)),0,VLOOKUP($U$403,'TAR FIN'!$A$1:$O$85,15,0))</f>
        <v>223.07</v>
      </c>
      <c r="Y403" s="6"/>
      <c r="Z403" s="6">
        <f ca="1">('TUSD BE'!$AM$47+'TUSD BF'!$AM$47+'TUSD CVA'!$AM$47)*1</f>
        <v>503.03617413781922</v>
      </c>
      <c r="AA403" s="6">
        <f>('TE BE'!$AB$37+'TE BF'!$AB$37+'TE CVA'!$AB$37)*1</f>
        <v>77.958364182443049</v>
      </c>
      <c r="AB403" s="6">
        <f>$K$403*$V$403</f>
        <v>0</v>
      </c>
      <c r="AC403" s="6">
        <f>$M$403*$W$403</f>
        <v>346.71686</v>
      </c>
      <c r="AD403" s="6">
        <f>$O$403*$X$403</f>
        <v>213.92412999999999</v>
      </c>
      <c r="AE403" s="6">
        <f>$K$403*$Y$403</f>
        <v>0</v>
      </c>
      <c r="AF403" s="6">
        <f ca="1">$M$403*$Z$403</f>
        <v>482.41169099816864</v>
      </c>
      <c r="AG403" s="6">
        <f>$O$403*$AA$403</f>
        <v>74.762071250962876</v>
      </c>
    </row>
    <row r="404" spans="1:33" ht="11.25" customHeight="1" x14ac:dyDescent="0.3">
      <c r="A404" s="4" t="s">
        <v>21</v>
      </c>
      <c r="B404" s="4" t="s">
        <v>37</v>
      </c>
      <c r="C404" s="4" t="s">
        <v>33</v>
      </c>
      <c r="D404" s="4" t="s">
        <v>41</v>
      </c>
      <c r="E404" s="4" t="s">
        <v>25</v>
      </c>
      <c r="F404" s="4" t="s">
        <v>25</v>
      </c>
      <c r="G404" s="4" t="s">
        <v>25</v>
      </c>
      <c r="H404" s="4" t="s">
        <v>35</v>
      </c>
      <c r="I404" s="5">
        <v>44652</v>
      </c>
      <c r="J404" s="6">
        <v>0</v>
      </c>
      <c r="K404" s="6">
        <v>0</v>
      </c>
      <c r="L404" s="6">
        <v>5.5650000000000004</v>
      </c>
      <c r="M404" s="6">
        <v>5.5650000000000004</v>
      </c>
      <c r="N404" s="6">
        <v>5.5650000000000004</v>
      </c>
      <c r="O404" s="6">
        <v>5.5650000000000004</v>
      </c>
      <c r="P404" s="6">
        <v>0</v>
      </c>
      <c r="Q404" s="4" t="s">
        <v>26</v>
      </c>
      <c r="R404" s="4">
        <v>0</v>
      </c>
      <c r="S404" s="6">
        <v>0</v>
      </c>
      <c r="T404" s="6">
        <v>78</v>
      </c>
      <c r="U404" s="6">
        <v>60</v>
      </c>
      <c r="V404" s="6">
        <f>IF(ISERROR(VLOOKUP($S$404,'TAR FIN'!$A$1:$O$85,15,0)),0,VLOOKUP($S$404,'TAR FIN'!$A$1:$O$85,15,0))</f>
        <v>0</v>
      </c>
      <c r="W404" s="6">
        <f>IF(ISERROR(VLOOKUP($T$404,'TAR FIN'!$A$1:$O$85,15,0)),0,VLOOKUP($T$404,'TAR FIN'!$A$1:$O$85,15,0))</f>
        <v>361.54</v>
      </c>
      <c r="X404" s="6">
        <f>IF(ISERROR(VLOOKUP($U$404,'TAR FIN'!$A$1:$O$85,15,0)),0,VLOOKUP($U$404,'TAR FIN'!$A$1:$O$85,15,0))</f>
        <v>223.07</v>
      </c>
      <c r="Y404" s="6"/>
      <c r="Z404" s="6">
        <f ca="1">('TUSD BE'!$AM$47+'TUSD BF'!$AM$47+'TUSD CVA'!$AM$47)*1</f>
        <v>503.03617413781922</v>
      </c>
      <c r="AA404" s="6">
        <f>('TE BE'!$AB$37+'TE BF'!$AB$37+'TE CVA'!$AB$37)*1</f>
        <v>77.958364182443049</v>
      </c>
      <c r="AB404" s="6">
        <f>$K$404*$V$404</f>
        <v>0</v>
      </c>
      <c r="AC404" s="6">
        <f>$M$404*$W$404</f>
        <v>2011.9701000000002</v>
      </c>
      <c r="AD404" s="6">
        <f>$O$404*$X$404</f>
        <v>1241.38455</v>
      </c>
      <c r="AE404" s="6">
        <f>$K$404*$Y$404</f>
        <v>0</v>
      </c>
      <c r="AF404" s="6">
        <f ca="1">$M$404*$Z$404</f>
        <v>2799.3963090769639</v>
      </c>
      <c r="AG404" s="6">
        <f>$O$404*$AA$404</f>
        <v>433.83829667529562</v>
      </c>
    </row>
    <row r="405" spans="1:33" ht="11.25" customHeight="1" x14ac:dyDescent="0.3">
      <c r="A405" s="4" t="s">
        <v>28</v>
      </c>
      <c r="B405" s="4" t="s">
        <v>37</v>
      </c>
      <c r="C405" s="4" t="s">
        <v>33</v>
      </c>
      <c r="D405" s="4" t="s">
        <v>41</v>
      </c>
      <c r="E405" s="4" t="s">
        <v>25</v>
      </c>
      <c r="F405" s="4" t="s">
        <v>25</v>
      </c>
      <c r="G405" s="4" t="s">
        <v>25</v>
      </c>
      <c r="H405" s="4" t="s">
        <v>35</v>
      </c>
      <c r="I405" s="5">
        <v>44652</v>
      </c>
      <c r="J405" s="6">
        <v>0</v>
      </c>
      <c r="K405" s="6">
        <v>0</v>
      </c>
      <c r="L405" s="6">
        <v>0.65400000000000003</v>
      </c>
      <c r="M405" s="6">
        <v>0.65400000000000003</v>
      </c>
      <c r="N405" s="6">
        <v>0.65400000000000003</v>
      </c>
      <c r="O405" s="6">
        <v>0.65400000000000003</v>
      </c>
      <c r="P405" s="6">
        <v>0</v>
      </c>
      <c r="Q405" s="4" t="s">
        <v>26</v>
      </c>
      <c r="R405" s="4">
        <v>0</v>
      </c>
      <c r="S405" s="6">
        <v>0</v>
      </c>
      <c r="T405" s="6">
        <v>78</v>
      </c>
      <c r="U405" s="6">
        <v>60</v>
      </c>
      <c r="V405" s="6">
        <f>IF(ISERROR(VLOOKUP($S$405,'TAR FIN'!$A$1:$O$85,15,0)),0,VLOOKUP($S$405,'TAR FIN'!$A$1:$O$85,15,0))</f>
        <v>0</v>
      </c>
      <c r="W405" s="6">
        <f>IF(ISERROR(VLOOKUP($T$405,'TAR FIN'!$A$1:$O$85,15,0)),0,VLOOKUP($T$405,'TAR FIN'!$A$1:$O$85,15,0))</f>
        <v>361.54</v>
      </c>
      <c r="X405" s="6">
        <f>IF(ISERROR(VLOOKUP($U$405,'TAR FIN'!$A$1:$O$85,15,0)),0,VLOOKUP($U$405,'TAR FIN'!$A$1:$O$85,15,0))</f>
        <v>223.07</v>
      </c>
      <c r="Y405" s="6"/>
      <c r="Z405" s="6">
        <f ca="1">('TUSD BE'!$AM$47+'TUSD BF'!$AM$47+'TUSD CVA'!$AM$47)*1</f>
        <v>503.03617413781922</v>
      </c>
      <c r="AA405" s="6">
        <f>('TE BE'!$AB$37+'TE BF'!$AB$37+'TE CVA'!$AB$37)*1</f>
        <v>77.958364182443049</v>
      </c>
      <c r="AB405" s="6">
        <f>$K$405*$V$405</f>
        <v>0</v>
      </c>
      <c r="AC405" s="6">
        <f>$M$405*$W$405</f>
        <v>236.44716000000003</v>
      </c>
      <c r="AD405" s="6">
        <f>$O$405*$X$405</f>
        <v>145.88777999999999</v>
      </c>
      <c r="AE405" s="6">
        <f>$K$405*$Y$405</f>
        <v>0</v>
      </c>
      <c r="AF405" s="6">
        <f ca="1">$M$405*$Z$405</f>
        <v>328.98565788613377</v>
      </c>
      <c r="AG405" s="6">
        <f>$O$405*$AA$405</f>
        <v>50.984770175317756</v>
      </c>
    </row>
    <row r="406" spans="1:33" ht="11.25" customHeight="1" x14ac:dyDescent="0.3">
      <c r="A406" s="4" t="s">
        <v>21</v>
      </c>
      <c r="B406" s="4" t="s">
        <v>37</v>
      </c>
      <c r="C406" s="4" t="s">
        <v>33</v>
      </c>
      <c r="D406" s="4" t="s">
        <v>41</v>
      </c>
      <c r="E406" s="4" t="s">
        <v>25</v>
      </c>
      <c r="F406" s="4" t="s">
        <v>25</v>
      </c>
      <c r="G406" s="4" t="s">
        <v>25</v>
      </c>
      <c r="H406" s="4" t="s">
        <v>35</v>
      </c>
      <c r="I406" s="5">
        <v>44682</v>
      </c>
      <c r="J406" s="6">
        <v>0</v>
      </c>
      <c r="K406" s="6">
        <v>0</v>
      </c>
      <c r="L406" s="6">
        <v>5.5469999999999997</v>
      </c>
      <c r="M406" s="6">
        <v>5.5469999999999997</v>
      </c>
      <c r="N406" s="6">
        <v>5.5469999999999997</v>
      </c>
      <c r="O406" s="6">
        <v>5.5469999999999997</v>
      </c>
      <c r="P406" s="6">
        <v>0</v>
      </c>
      <c r="Q406" s="4" t="s">
        <v>26</v>
      </c>
      <c r="R406" s="4">
        <v>0</v>
      </c>
      <c r="S406" s="6">
        <v>0</v>
      </c>
      <c r="T406" s="6">
        <v>78</v>
      </c>
      <c r="U406" s="6">
        <v>60</v>
      </c>
      <c r="V406" s="6">
        <f>IF(ISERROR(VLOOKUP($S$406,'TAR FIN'!$A$1:$O$85,15,0)),0,VLOOKUP($S$406,'TAR FIN'!$A$1:$O$85,15,0))</f>
        <v>0</v>
      </c>
      <c r="W406" s="6">
        <f>IF(ISERROR(VLOOKUP($T$406,'TAR FIN'!$A$1:$O$85,15,0)),0,VLOOKUP($T$406,'TAR FIN'!$A$1:$O$85,15,0))</f>
        <v>361.54</v>
      </c>
      <c r="X406" s="6">
        <f>IF(ISERROR(VLOOKUP($U$406,'TAR FIN'!$A$1:$O$85,15,0)),0,VLOOKUP($U$406,'TAR FIN'!$A$1:$O$85,15,0))</f>
        <v>223.07</v>
      </c>
      <c r="Y406" s="6"/>
      <c r="Z406" s="6">
        <f ca="1">('TUSD BE'!$AM$47+'TUSD BF'!$AM$47+'TUSD CVA'!$AM$47)*1</f>
        <v>503.03617413781922</v>
      </c>
      <c r="AA406" s="6">
        <f>('TE BE'!$AB$37+'TE BF'!$AB$37+'TE CVA'!$AB$37)*1</f>
        <v>77.958364182443049</v>
      </c>
      <c r="AB406" s="6">
        <f>$K$406*$V$406</f>
        <v>0</v>
      </c>
      <c r="AC406" s="6">
        <f>$M$406*$W$406</f>
        <v>2005.4623799999999</v>
      </c>
      <c r="AD406" s="6">
        <f>$O$406*$X$406</f>
        <v>1237.3692899999999</v>
      </c>
      <c r="AE406" s="6">
        <f>$K$406*$Y$406</f>
        <v>0</v>
      </c>
      <c r="AF406" s="6">
        <f ca="1">$M$406*$Z$406</f>
        <v>2790.3416579424829</v>
      </c>
      <c r="AG406" s="6">
        <f>$O$406*$AA$406</f>
        <v>432.43504612001158</v>
      </c>
    </row>
    <row r="407" spans="1:33" ht="11.25" customHeight="1" x14ac:dyDescent="0.3">
      <c r="A407" s="4" t="s">
        <v>28</v>
      </c>
      <c r="B407" s="4" t="s">
        <v>37</v>
      </c>
      <c r="C407" s="4" t="s">
        <v>33</v>
      </c>
      <c r="D407" s="4" t="s">
        <v>41</v>
      </c>
      <c r="E407" s="4" t="s">
        <v>25</v>
      </c>
      <c r="F407" s="4" t="s">
        <v>25</v>
      </c>
      <c r="G407" s="4" t="s">
        <v>25</v>
      </c>
      <c r="H407" s="4" t="s">
        <v>35</v>
      </c>
      <c r="I407" s="5">
        <v>44682</v>
      </c>
      <c r="J407" s="6">
        <v>0</v>
      </c>
      <c r="K407" s="6">
        <v>0</v>
      </c>
      <c r="L407" s="6">
        <v>0.58699999999999997</v>
      </c>
      <c r="M407" s="6">
        <v>0.58699999999999997</v>
      </c>
      <c r="N407" s="6">
        <v>0.58699999999999997</v>
      </c>
      <c r="O407" s="6">
        <v>0.58699999999999997</v>
      </c>
      <c r="P407" s="6">
        <v>0</v>
      </c>
      <c r="Q407" s="4" t="s">
        <v>26</v>
      </c>
      <c r="R407" s="4">
        <v>0</v>
      </c>
      <c r="S407" s="6">
        <v>0</v>
      </c>
      <c r="T407" s="6">
        <v>78</v>
      </c>
      <c r="U407" s="6">
        <v>60</v>
      </c>
      <c r="V407" s="6">
        <f>IF(ISERROR(VLOOKUP($S$407,'TAR FIN'!$A$1:$O$85,15,0)),0,VLOOKUP($S$407,'TAR FIN'!$A$1:$O$85,15,0))</f>
        <v>0</v>
      </c>
      <c r="W407" s="6">
        <f>IF(ISERROR(VLOOKUP($T$407,'TAR FIN'!$A$1:$O$85,15,0)),0,VLOOKUP($T$407,'TAR FIN'!$A$1:$O$85,15,0))</f>
        <v>361.54</v>
      </c>
      <c r="X407" s="6">
        <f>IF(ISERROR(VLOOKUP($U$407,'TAR FIN'!$A$1:$O$85,15,0)),0,VLOOKUP($U$407,'TAR FIN'!$A$1:$O$85,15,0))</f>
        <v>223.07</v>
      </c>
      <c r="Y407" s="6"/>
      <c r="Z407" s="6">
        <f ca="1">('TUSD BE'!$AM$47+'TUSD BF'!$AM$47+'TUSD CVA'!$AM$47)*1</f>
        <v>503.03617413781922</v>
      </c>
      <c r="AA407" s="6">
        <f>('TE BE'!$AB$37+'TE BF'!$AB$37+'TE CVA'!$AB$37)*1</f>
        <v>77.958364182443049</v>
      </c>
      <c r="AB407" s="6">
        <f>$K$407*$V$407</f>
        <v>0</v>
      </c>
      <c r="AC407" s="6">
        <f>$M$407*$W$407</f>
        <v>212.22398000000001</v>
      </c>
      <c r="AD407" s="6">
        <f>$O$407*$X$407</f>
        <v>130.94208999999998</v>
      </c>
      <c r="AE407" s="6">
        <f>$K$407*$Y$407</f>
        <v>0</v>
      </c>
      <c r="AF407" s="6">
        <f ca="1">$M$407*$Z$407</f>
        <v>295.28223421889987</v>
      </c>
      <c r="AG407" s="6">
        <f>$O$407*$AA$407</f>
        <v>45.761559775094064</v>
      </c>
    </row>
    <row r="408" spans="1:33" ht="11.25" customHeight="1" x14ac:dyDescent="0.3">
      <c r="A408" s="4" t="s">
        <v>21</v>
      </c>
      <c r="B408" s="4" t="s">
        <v>37</v>
      </c>
      <c r="C408" s="4" t="s">
        <v>33</v>
      </c>
      <c r="D408" s="4" t="s">
        <v>41</v>
      </c>
      <c r="E408" s="4" t="s">
        <v>25</v>
      </c>
      <c r="F408" s="4" t="s">
        <v>25</v>
      </c>
      <c r="G408" s="4" t="s">
        <v>25</v>
      </c>
      <c r="H408" s="4" t="s">
        <v>35</v>
      </c>
      <c r="I408" s="5">
        <v>44713</v>
      </c>
      <c r="J408" s="6">
        <v>0</v>
      </c>
      <c r="K408" s="6">
        <v>0</v>
      </c>
      <c r="L408" s="6">
        <v>4.6020000000000003</v>
      </c>
      <c r="M408" s="6">
        <v>4.6020000000000003</v>
      </c>
      <c r="N408" s="6">
        <v>4.6020000000000003</v>
      </c>
      <c r="O408" s="6">
        <v>4.6020000000000003</v>
      </c>
      <c r="P408" s="6">
        <v>0</v>
      </c>
      <c r="Q408" s="4" t="s">
        <v>26</v>
      </c>
      <c r="R408" s="4">
        <v>0</v>
      </c>
      <c r="S408" s="6">
        <v>0</v>
      </c>
      <c r="T408" s="6">
        <v>78</v>
      </c>
      <c r="U408" s="6">
        <v>60</v>
      </c>
      <c r="V408" s="6">
        <f>IF(ISERROR(VLOOKUP($S$408,'TAR FIN'!$A$1:$O$85,15,0)),0,VLOOKUP($S$408,'TAR FIN'!$A$1:$O$85,15,0))</f>
        <v>0</v>
      </c>
      <c r="W408" s="6">
        <f>IF(ISERROR(VLOOKUP($T$408,'TAR FIN'!$A$1:$O$85,15,0)),0,VLOOKUP($T$408,'TAR FIN'!$A$1:$O$85,15,0))</f>
        <v>361.54</v>
      </c>
      <c r="X408" s="6">
        <f>IF(ISERROR(VLOOKUP($U$408,'TAR FIN'!$A$1:$O$85,15,0)),0,VLOOKUP($U$408,'TAR FIN'!$A$1:$O$85,15,0))</f>
        <v>223.07</v>
      </c>
      <c r="Y408" s="6"/>
      <c r="Z408" s="6">
        <f ca="1">('TUSD BE'!$AM$47+'TUSD BF'!$AM$47+'TUSD CVA'!$AM$47)*1</f>
        <v>503.03617413781922</v>
      </c>
      <c r="AA408" s="6">
        <f>('TE BE'!$AB$37+'TE BF'!$AB$37+'TE CVA'!$AB$37)*1</f>
        <v>77.958364182443049</v>
      </c>
      <c r="AB408" s="6">
        <f>$K$408*$V$408</f>
        <v>0</v>
      </c>
      <c r="AC408" s="6">
        <f>$M$408*$W$408</f>
        <v>1663.8070800000003</v>
      </c>
      <c r="AD408" s="6">
        <f>$O$408*$X$408</f>
        <v>1026.5681400000001</v>
      </c>
      <c r="AE408" s="6">
        <f>$K$408*$Y$408</f>
        <v>0</v>
      </c>
      <c r="AF408" s="6">
        <f ca="1">$M$408*$Z$408</f>
        <v>2314.9724733822441</v>
      </c>
      <c r="AG408" s="6">
        <f>$O$408*$AA$408</f>
        <v>358.76439196760293</v>
      </c>
    </row>
    <row r="409" spans="1:33" ht="11.25" customHeight="1" x14ac:dyDescent="0.3">
      <c r="A409" s="4" t="s">
        <v>28</v>
      </c>
      <c r="B409" s="4" t="s">
        <v>37</v>
      </c>
      <c r="C409" s="4" t="s">
        <v>33</v>
      </c>
      <c r="D409" s="4" t="s">
        <v>41</v>
      </c>
      <c r="E409" s="4" t="s">
        <v>25</v>
      </c>
      <c r="F409" s="4" t="s">
        <v>25</v>
      </c>
      <c r="G409" s="4" t="s">
        <v>25</v>
      </c>
      <c r="H409" s="4" t="s">
        <v>35</v>
      </c>
      <c r="I409" s="5">
        <v>44713</v>
      </c>
      <c r="J409" s="6">
        <v>0</v>
      </c>
      <c r="K409" s="6">
        <v>0</v>
      </c>
      <c r="L409" s="6">
        <v>0.505</v>
      </c>
      <c r="M409" s="6">
        <v>0.505</v>
      </c>
      <c r="N409" s="6">
        <v>0.505</v>
      </c>
      <c r="O409" s="6">
        <v>0.505</v>
      </c>
      <c r="P409" s="6">
        <v>0</v>
      </c>
      <c r="Q409" s="4" t="s">
        <v>26</v>
      </c>
      <c r="R409" s="4">
        <v>0</v>
      </c>
      <c r="S409" s="6">
        <v>0</v>
      </c>
      <c r="T409" s="6">
        <v>78</v>
      </c>
      <c r="U409" s="6">
        <v>60</v>
      </c>
      <c r="V409" s="6">
        <f>IF(ISERROR(VLOOKUP($S$409,'TAR FIN'!$A$1:$O$85,15,0)),0,VLOOKUP($S$409,'TAR FIN'!$A$1:$O$85,15,0))</f>
        <v>0</v>
      </c>
      <c r="W409" s="6">
        <f>IF(ISERROR(VLOOKUP($T$409,'TAR FIN'!$A$1:$O$85,15,0)),0,VLOOKUP($T$409,'TAR FIN'!$A$1:$O$85,15,0))</f>
        <v>361.54</v>
      </c>
      <c r="X409" s="6">
        <f>IF(ISERROR(VLOOKUP($U$409,'TAR FIN'!$A$1:$O$85,15,0)),0,VLOOKUP($U$409,'TAR FIN'!$A$1:$O$85,15,0))</f>
        <v>223.07</v>
      </c>
      <c r="Y409" s="6"/>
      <c r="Z409" s="6">
        <f ca="1">('TUSD BE'!$AM$47+'TUSD BF'!$AM$47+'TUSD CVA'!$AM$47)*1</f>
        <v>503.03617413781922</v>
      </c>
      <c r="AA409" s="6">
        <f>('TE BE'!$AB$37+'TE BF'!$AB$37+'TE CVA'!$AB$37)*1</f>
        <v>77.958364182443049</v>
      </c>
      <c r="AB409" s="6">
        <f>$K$409*$V$409</f>
        <v>0</v>
      </c>
      <c r="AC409" s="6">
        <f>$M$409*$W$409</f>
        <v>182.57770000000002</v>
      </c>
      <c r="AD409" s="6">
        <f>$O$409*$X$409</f>
        <v>112.65035</v>
      </c>
      <c r="AE409" s="6">
        <f>$K$409*$Y$409</f>
        <v>0</v>
      </c>
      <c r="AF409" s="6">
        <f ca="1">$M$409*$Z$409</f>
        <v>254.03326793959872</v>
      </c>
      <c r="AG409" s="6">
        <f>$O$409*$AA$409</f>
        <v>39.36897391213374</v>
      </c>
    </row>
    <row r="410" spans="1:33" ht="11.25" customHeight="1" x14ac:dyDescent="0.3">
      <c r="A410" s="4" t="s">
        <v>21</v>
      </c>
      <c r="B410" s="4" t="s">
        <v>37</v>
      </c>
      <c r="C410" s="4" t="s">
        <v>33</v>
      </c>
      <c r="D410" s="4" t="s">
        <v>41</v>
      </c>
      <c r="E410" s="4" t="s">
        <v>25</v>
      </c>
      <c r="F410" s="4" t="s">
        <v>25</v>
      </c>
      <c r="G410" s="4" t="s">
        <v>25</v>
      </c>
      <c r="H410" s="4" t="s">
        <v>35</v>
      </c>
      <c r="I410" s="5">
        <v>44743</v>
      </c>
      <c r="J410" s="6">
        <v>0</v>
      </c>
      <c r="K410" s="6">
        <v>0</v>
      </c>
      <c r="L410" s="6">
        <v>0.375</v>
      </c>
      <c r="M410" s="6">
        <v>0.375</v>
      </c>
      <c r="N410" s="6">
        <v>0.375</v>
      </c>
      <c r="O410" s="6">
        <v>0.375</v>
      </c>
      <c r="P410" s="6">
        <v>0</v>
      </c>
      <c r="Q410" s="4" t="s">
        <v>26</v>
      </c>
      <c r="R410" s="4">
        <v>0</v>
      </c>
      <c r="S410" s="6">
        <v>0</v>
      </c>
      <c r="T410" s="6">
        <v>78</v>
      </c>
      <c r="U410" s="6">
        <v>60</v>
      </c>
      <c r="V410" s="6">
        <f>IF(ISERROR(VLOOKUP($S$410,'TAR FIN'!$A$1:$O$85,15,0)),0,VLOOKUP($S$410,'TAR FIN'!$A$1:$O$85,15,0))</f>
        <v>0</v>
      </c>
      <c r="W410" s="6">
        <f>IF(ISERROR(VLOOKUP($T$410,'TAR FIN'!$A$1:$O$85,15,0)),0,VLOOKUP($T$410,'TAR FIN'!$A$1:$O$85,15,0))</f>
        <v>361.54</v>
      </c>
      <c r="X410" s="6">
        <f>IF(ISERROR(VLOOKUP($U$410,'TAR FIN'!$A$1:$O$85,15,0)),0,VLOOKUP($U$410,'TAR FIN'!$A$1:$O$85,15,0))</f>
        <v>223.07</v>
      </c>
      <c r="Y410" s="6"/>
      <c r="Z410" s="6">
        <f ca="1">('TUSD BE'!$AM$47+'TUSD BF'!$AM$47+'TUSD CVA'!$AM$47)*1</f>
        <v>503.03617413781922</v>
      </c>
      <c r="AA410" s="6">
        <f>('TE BE'!$AB$37+'TE BF'!$AB$37+'TE CVA'!$AB$37)*1</f>
        <v>77.958364182443049</v>
      </c>
      <c r="AB410" s="6">
        <f>$K$410*$V$410</f>
        <v>0</v>
      </c>
      <c r="AC410" s="6">
        <f>$M$410*$W$410</f>
        <v>135.57750000000001</v>
      </c>
      <c r="AD410" s="6">
        <f>$O$410*$X$410</f>
        <v>83.651250000000005</v>
      </c>
      <c r="AE410" s="6">
        <f>$K$410*$Y$410</f>
        <v>0</v>
      </c>
      <c r="AF410" s="6">
        <f ca="1">$M$410*$Z$410</f>
        <v>188.63856530168221</v>
      </c>
      <c r="AG410" s="6">
        <f>$O$410*$AA$410</f>
        <v>29.234386568416141</v>
      </c>
    </row>
    <row r="411" spans="1:33" ht="11.25" customHeight="1" x14ac:dyDescent="0.3">
      <c r="A411" s="4" t="s">
        <v>28</v>
      </c>
      <c r="B411" s="4" t="s">
        <v>37</v>
      </c>
      <c r="C411" s="4" t="s">
        <v>33</v>
      </c>
      <c r="D411" s="4" t="s">
        <v>41</v>
      </c>
      <c r="E411" s="4" t="s">
        <v>25</v>
      </c>
      <c r="F411" s="4" t="s">
        <v>25</v>
      </c>
      <c r="G411" s="4" t="s">
        <v>25</v>
      </c>
      <c r="H411" s="4" t="s">
        <v>35</v>
      </c>
      <c r="I411" s="5">
        <v>44743</v>
      </c>
      <c r="J411" s="6">
        <v>0</v>
      </c>
      <c r="K411" s="6">
        <v>0</v>
      </c>
      <c r="L411" s="6">
        <v>0.121</v>
      </c>
      <c r="M411" s="6">
        <v>0.121</v>
      </c>
      <c r="N411" s="6">
        <v>0.121</v>
      </c>
      <c r="O411" s="6">
        <v>0.121</v>
      </c>
      <c r="P411" s="6">
        <v>0</v>
      </c>
      <c r="Q411" s="4" t="s">
        <v>26</v>
      </c>
      <c r="R411" s="4">
        <v>0</v>
      </c>
      <c r="S411" s="6">
        <v>0</v>
      </c>
      <c r="T411" s="6">
        <v>78</v>
      </c>
      <c r="U411" s="6">
        <v>60</v>
      </c>
      <c r="V411" s="6">
        <f>IF(ISERROR(VLOOKUP($S$411,'TAR FIN'!$A$1:$O$85,15,0)),0,VLOOKUP($S$411,'TAR FIN'!$A$1:$O$85,15,0))</f>
        <v>0</v>
      </c>
      <c r="W411" s="6">
        <f>IF(ISERROR(VLOOKUP($T$411,'TAR FIN'!$A$1:$O$85,15,0)),0,VLOOKUP($T$411,'TAR FIN'!$A$1:$O$85,15,0))</f>
        <v>361.54</v>
      </c>
      <c r="X411" s="6">
        <f>IF(ISERROR(VLOOKUP($U$411,'TAR FIN'!$A$1:$O$85,15,0)),0,VLOOKUP($U$411,'TAR FIN'!$A$1:$O$85,15,0))</f>
        <v>223.07</v>
      </c>
      <c r="Y411" s="6"/>
      <c r="Z411" s="6">
        <f ca="1">('TUSD BE'!$AM$47+'TUSD BF'!$AM$47+'TUSD CVA'!$AM$47)*1</f>
        <v>503.03617413781922</v>
      </c>
      <c r="AA411" s="6">
        <f>('TE BE'!$AB$37+'TE BF'!$AB$37+'TE CVA'!$AB$37)*1</f>
        <v>77.958364182443049</v>
      </c>
      <c r="AB411" s="6">
        <f>$K$411*$V$411</f>
        <v>0</v>
      </c>
      <c r="AC411" s="6">
        <f>$M$411*$W$411</f>
        <v>43.746340000000004</v>
      </c>
      <c r="AD411" s="6">
        <f>$O$411*$X$411</f>
        <v>26.99147</v>
      </c>
      <c r="AE411" s="6">
        <f>$K$411*$Y$411</f>
        <v>0</v>
      </c>
      <c r="AF411" s="6">
        <f ca="1">$M$411*$Z$411</f>
        <v>60.86737707067612</v>
      </c>
      <c r="AG411" s="6">
        <f>$O$411*$AA$411</f>
        <v>9.4329620660756088</v>
      </c>
    </row>
    <row r="412" spans="1:33" ht="11.25" customHeight="1" x14ac:dyDescent="0.3">
      <c r="A412" s="4" t="s">
        <v>21</v>
      </c>
      <c r="B412" s="4" t="s">
        <v>37</v>
      </c>
      <c r="C412" s="4" t="s">
        <v>33</v>
      </c>
      <c r="D412" s="4" t="s">
        <v>41</v>
      </c>
      <c r="E412" s="4" t="s">
        <v>25</v>
      </c>
      <c r="F412" s="4" t="s">
        <v>25</v>
      </c>
      <c r="G412" s="4" t="s">
        <v>25</v>
      </c>
      <c r="H412" s="4" t="s">
        <v>35</v>
      </c>
      <c r="I412" s="5">
        <v>44774</v>
      </c>
      <c r="J412" s="6">
        <v>0</v>
      </c>
      <c r="K412" s="6">
        <v>0</v>
      </c>
      <c r="L412" s="6">
        <v>0.58499999999999996</v>
      </c>
      <c r="M412" s="6">
        <v>0.58499999999999996</v>
      </c>
      <c r="N412" s="6">
        <v>0.58499999999999996</v>
      </c>
      <c r="O412" s="6">
        <v>0.58499999999999996</v>
      </c>
      <c r="P412" s="6">
        <v>0</v>
      </c>
      <c r="Q412" s="4" t="s">
        <v>26</v>
      </c>
      <c r="R412" s="4">
        <v>0</v>
      </c>
      <c r="S412" s="6">
        <v>0</v>
      </c>
      <c r="T412" s="6">
        <v>78</v>
      </c>
      <c r="U412" s="6">
        <v>60</v>
      </c>
      <c r="V412" s="6">
        <f>IF(ISERROR(VLOOKUP($S$412,'TAR FIN'!$A$1:$O$85,15,0)),0,VLOOKUP($S$412,'TAR FIN'!$A$1:$O$85,15,0))</f>
        <v>0</v>
      </c>
      <c r="W412" s="6">
        <f>IF(ISERROR(VLOOKUP($T$412,'TAR FIN'!$A$1:$O$85,15,0)),0,VLOOKUP($T$412,'TAR FIN'!$A$1:$O$85,15,0))</f>
        <v>361.54</v>
      </c>
      <c r="X412" s="6">
        <f>IF(ISERROR(VLOOKUP($U$412,'TAR FIN'!$A$1:$O$85,15,0)),0,VLOOKUP($U$412,'TAR FIN'!$A$1:$O$85,15,0))</f>
        <v>223.07</v>
      </c>
      <c r="Y412" s="6"/>
      <c r="Z412" s="6">
        <f ca="1">('TUSD BE'!$AM$47+'TUSD BF'!$AM$47+'TUSD CVA'!$AM$47)*1</f>
        <v>503.03617413781922</v>
      </c>
      <c r="AA412" s="6">
        <f>('TE BE'!$AB$37+'TE BF'!$AB$37+'TE CVA'!$AB$37)*1</f>
        <v>77.958364182443049</v>
      </c>
      <c r="AB412" s="6">
        <f>$K$412*$V$412</f>
        <v>0</v>
      </c>
      <c r="AC412" s="6">
        <f>$M$412*$W$412</f>
        <v>211.5009</v>
      </c>
      <c r="AD412" s="6">
        <f>$O$412*$X$412</f>
        <v>130.49594999999999</v>
      </c>
      <c r="AE412" s="6">
        <f>$K$412*$Y$412</f>
        <v>0</v>
      </c>
      <c r="AF412" s="6">
        <f ca="1">$M$412*$Z$412</f>
        <v>294.27616187062421</v>
      </c>
      <c r="AG412" s="6">
        <f>$O$412*$AA$412</f>
        <v>45.605643046729178</v>
      </c>
    </row>
    <row r="413" spans="1:33" ht="11.25" customHeight="1" x14ac:dyDescent="0.3">
      <c r="A413" s="4" t="s">
        <v>28</v>
      </c>
      <c r="B413" s="4" t="s">
        <v>37</v>
      </c>
      <c r="C413" s="4" t="s">
        <v>33</v>
      </c>
      <c r="D413" s="4" t="s">
        <v>41</v>
      </c>
      <c r="E413" s="4" t="s">
        <v>25</v>
      </c>
      <c r="F413" s="4" t="s">
        <v>25</v>
      </c>
      <c r="G413" s="4" t="s">
        <v>25</v>
      </c>
      <c r="H413" s="4" t="s">
        <v>35</v>
      </c>
      <c r="I413" s="5">
        <v>44774</v>
      </c>
      <c r="J413" s="6">
        <v>0</v>
      </c>
      <c r="K413" s="6">
        <v>0</v>
      </c>
      <c r="L413" s="6">
        <v>3.097</v>
      </c>
      <c r="M413" s="6">
        <v>3.097</v>
      </c>
      <c r="N413" s="6">
        <v>3.097</v>
      </c>
      <c r="O413" s="6">
        <v>3.097</v>
      </c>
      <c r="P413" s="6">
        <v>0</v>
      </c>
      <c r="Q413" s="4" t="s">
        <v>26</v>
      </c>
      <c r="R413" s="4">
        <v>0</v>
      </c>
      <c r="S413" s="6">
        <v>0</v>
      </c>
      <c r="T413" s="6">
        <v>78</v>
      </c>
      <c r="U413" s="6">
        <v>60</v>
      </c>
      <c r="V413" s="6">
        <f>IF(ISERROR(VLOOKUP($S$413,'TAR FIN'!$A$1:$O$85,15,0)),0,VLOOKUP($S$413,'TAR FIN'!$A$1:$O$85,15,0))</f>
        <v>0</v>
      </c>
      <c r="W413" s="6">
        <f>IF(ISERROR(VLOOKUP($T$413,'TAR FIN'!$A$1:$O$85,15,0)),0,VLOOKUP($T$413,'TAR FIN'!$A$1:$O$85,15,0))</f>
        <v>361.54</v>
      </c>
      <c r="X413" s="6">
        <f>IF(ISERROR(VLOOKUP($U$413,'TAR FIN'!$A$1:$O$85,15,0)),0,VLOOKUP($U$413,'TAR FIN'!$A$1:$O$85,15,0))</f>
        <v>223.07</v>
      </c>
      <c r="Y413" s="6"/>
      <c r="Z413" s="6">
        <f ca="1">('TUSD BE'!$AM$47+'TUSD BF'!$AM$47+'TUSD CVA'!$AM$47)*1</f>
        <v>503.03617413781922</v>
      </c>
      <c r="AA413" s="6">
        <f>('TE BE'!$AB$37+'TE BF'!$AB$37+'TE CVA'!$AB$37)*1</f>
        <v>77.958364182443049</v>
      </c>
      <c r="AB413" s="6">
        <f>$K$413*$V$413</f>
        <v>0</v>
      </c>
      <c r="AC413" s="6">
        <f>$M$413*$W$413</f>
        <v>1119.68938</v>
      </c>
      <c r="AD413" s="6">
        <f>$O$413*$X$413</f>
        <v>690.84778999999992</v>
      </c>
      <c r="AE413" s="6">
        <f>$K$413*$Y$413</f>
        <v>0</v>
      </c>
      <c r="AF413" s="6">
        <f ca="1">$M$413*$Z$413</f>
        <v>1557.9030313048261</v>
      </c>
      <c r="AG413" s="6">
        <f>$O$413*$AA$413</f>
        <v>241.43705387302612</v>
      </c>
    </row>
    <row r="414" spans="1:33" ht="11.25" customHeight="1" x14ac:dyDescent="0.3">
      <c r="A414" s="4" t="s">
        <v>21</v>
      </c>
      <c r="B414" s="4" t="s">
        <v>37</v>
      </c>
      <c r="C414" s="4" t="s">
        <v>33</v>
      </c>
      <c r="D414" s="4" t="s">
        <v>41</v>
      </c>
      <c r="E414" s="4" t="s">
        <v>25</v>
      </c>
      <c r="F414" s="4" t="s">
        <v>25</v>
      </c>
      <c r="G414" s="4" t="s">
        <v>25</v>
      </c>
      <c r="H414" s="4" t="s">
        <v>36</v>
      </c>
      <c r="I414" s="5">
        <v>44440</v>
      </c>
      <c r="J414" s="6">
        <v>0</v>
      </c>
      <c r="K414" s="6">
        <v>0</v>
      </c>
      <c r="L414" s="6">
        <v>6.5000000000000002E-2</v>
      </c>
      <c r="M414" s="6">
        <v>6.5000000000000002E-2</v>
      </c>
      <c r="N414" s="6">
        <v>6.5000000000000002E-2</v>
      </c>
      <c r="O414" s="6">
        <v>6.5000000000000002E-2</v>
      </c>
      <c r="P414" s="6">
        <v>0</v>
      </c>
      <c r="Q414" s="4" t="s">
        <v>26</v>
      </c>
      <c r="R414" s="4">
        <v>0</v>
      </c>
      <c r="S414" s="6">
        <v>0</v>
      </c>
      <c r="T414" s="6">
        <v>76</v>
      </c>
      <c r="U414" s="6">
        <v>54</v>
      </c>
      <c r="V414" s="6">
        <f>IF(ISERROR(VLOOKUP($S$414,'TAR FIN'!$A$1:$O$85,15,0)),0,VLOOKUP($S$414,'TAR FIN'!$A$1:$O$85,15,0))</f>
        <v>0</v>
      </c>
      <c r="W414" s="6">
        <f>IF(ISERROR(VLOOKUP($T$414,'TAR FIN'!$A$1:$O$85,15,0)),0,VLOOKUP($T$414,'TAR FIN'!$A$1:$O$85,15,0))</f>
        <v>900.63</v>
      </c>
      <c r="X414" s="6">
        <f>IF(ISERROR(VLOOKUP($U$414,'TAR FIN'!$A$1:$O$85,15,0)),0,VLOOKUP($U$414,'TAR FIN'!$A$1:$O$85,15,0))</f>
        <v>223.07</v>
      </c>
      <c r="Y414" s="6"/>
      <c r="Z414" s="6">
        <f ca="1">('TUSD BE'!$AM$46+'TUSD BF'!$AM$46+'TUSD CVA'!$AM$46)*1</f>
        <v>1287.4111034312796</v>
      </c>
      <c r="AA414" s="6">
        <f>('TE BE'!$AB$36+'TE BF'!$AB$36+'TE CVA'!$AB$36)*1</f>
        <v>77.958364182443049</v>
      </c>
      <c r="AB414" s="6">
        <f>$K$414*$V$414</f>
        <v>0</v>
      </c>
      <c r="AC414" s="6">
        <f>$M$414*$W$414</f>
        <v>58.540950000000002</v>
      </c>
      <c r="AD414" s="6">
        <f>$O$414*$X$414</f>
        <v>14.499549999999999</v>
      </c>
      <c r="AE414" s="6">
        <f>$K$414*$Y$414</f>
        <v>0</v>
      </c>
      <c r="AF414" s="6">
        <f ca="1">$M$414*$Z$414</f>
        <v>83.681721723033178</v>
      </c>
      <c r="AG414" s="6">
        <f>$O$414*$AA$414</f>
        <v>5.0672936718587982</v>
      </c>
    </row>
    <row r="415" spans="1:33" ht="11.25" customHeight="1" x14ac:dyDescent="0.3">
      <c r="A415" s="4" t="s">
        <v>21</v>
      </c>
      <c r="B415" s="4" t="s">
        <v>37</v>
      </c>
      <c r="C415" s="4" t="s">
        <v>33</v>
      </c>
      <c r="D415" s="4" t="s">
        <v>41</v>
      </c>
      <c r="E415" s="4" t="s">
        <v>25</v>
      </c>
      <c r="F415" s="4" t="s">
        <v>25</v>
      </c>
      <c r="G415" s="4" t="s">
        <v>25</v>
      </c>
      <c r="H415" s="4" t="s">
        <v>36</v>
      </c>
      <c r="I415" s="5">
        <v>44470</v>
      </c>
      <c r="J415" s="6">
        <v>0</v>
      </c>
      <c r="K415" s="6">
        <v>0</v>
      </c>
      <c r="L415" s="6">
        <v>6.5000000000000002E-2</v>
      </c>
      <c r="M415" s="6">
        <v>6.5000000000000002E-2</v>
      </c>
      <c r="N415" s="6">
        <v>6.5000000000000002E-2</v>
      </c>
      <c r="O415" s="6">
        <v>6.5000000000000002E-2</v>
      </c>
      <c r="P415" s="6">
        <v>0</v>
      </c>
      <c r="Q415" s="4" t="s">
        <v>26</v>
      </c>
      <c r="R415" s="4">
        <v>0</v>
      </c>
      <c r="S415" s="6">
        <v>0</v>
      </c>
      <c r="T415" s="6">
        <v>76</v>
      </c>
      <c r="U415" s="6">
        <v>54</v>
      </c>
      <c r="V415" s="6">
        <f>IF(ISERROR(VLOOKUP($S$415,'TAR FIN'!$A$1:$O$85,15,0)),0,VLOOKUP($S$415,'TAR FIN'!$A$1:$O$85,15,0))</f>
        <v>0</v>
      </c>
      <c r="W415" s="6">
        <f>IF(ISERROR(VLOOKUP($T$415,'TAR FIN'!$A$1:$O$85,15,0)),0,VLOOKUP($T$415,'TAR FIN'!$A$1:$O$85,15,0))</f>
        <v>900.63</v>
      </c>
      <c r="X415" s="6">
        <f>IF(ISERROR(VLOOKUP($U$415,'TAR FIN'!$A$1:$O$85,15,0)),0,VLOOKUP($U$415,'TAR FIN'!$A$1:$O$85,15,0))</f>
        <v>223.07</v>
      </c>
      <c r="Y415" s="6"/>
      <c r="Z415" s="6">
        <f ca="1">('TUSD BE'!$AM$46+'TUSD BF'!$AM$46+'TUSD CVA'!$AM$46)*1</f>
        <v>1287.4111034312796</v>
      </c>
      <c r="AA415" s="6">
        <f>('TE BE'!$AB$36+'TE BF'!$AB$36+'TE CVA'!$AB$36)*1</f>
        <v>77.958364182443049</v>
      </c>
      <c r="AB415" s="6">
        <f>$K$415*$V$415</f>
        <v>0</v>
      </c>
      <c r="AC415" s="6">
        <f>$M$415*$W$415</f>
        <v>58.540950000000002</v>
      </c>
      <c r="AD415" s="6">
        <f>$O$415*$X$415</f>
        <v>14.499549999999999</v>
      </c>
      <c r="AE415" s="6">
        <f>$K$415*$Y$415</f>
        <v>0</v>
      </c>
      <c r="AF415" s="6">
        <f ca="1">$M$415*$Z$415</f>
        <v>83.681721723033178</v>
      </c>
      <c r="AG415" s="6">
        <f>$O$415*$AA$415</f>
        <v>5.0672936718587982</v>
      </c>
    </row>
    <row r="416" spans="1:33" ht="11.25" customHeight="1" x14ac:dyDescent="0.3">
      <c r="A416" s="4" t="s">
        <v>21</v>
      </c>
      <c r="B416" s="4" t="s">
        <v>37</v>
      </c>
      <c r="C416" s="4" t="s">
        <v>33</v>
      </c>
      <c r="D416" s="4" t="s">
        <v>41</v>
      </c>
      <c r="E416" s="4" t="s">
        <v>25</v>
      </c>
      <c r="F416" s="4" t="s">
        <v>25</v>
      </c>
      <c r="G416" s="4" t="s">
        <v>25</v>
      </c>
      <c r="H416" s="4" t="s">
        <v>36</v>
      </c>
      <c r="I416" s="5">
        <v>44501</v>
      </c>
      <c r="J416" s="6">
        <v>0</v>
      </c>
      <c r="K416" s="6">
        <v>0</v>
      </c>
      <c r="L416" s="6">
        <v>0.06</v>
      </c>
      <c r="M416" s="6">
        <v>0.06</v>
      </c>
      <c r="N416" s="6">
        <v>0.06</v>
      </c>
      <c r="O416" s="6">
        <v>0.06</v>
      </c>
      <c r="P416" s="6">
        <v>0</v>
      </c>
      <c r="Q416" s="4" t="s">
        <v>26</v>
      </c>
      <c r="R416" s="4">
        <v>0</v>
      </c>
      <c r="S416" s="6">
        <v>0</v>
      </c>
      <c r="T416" s="6">
        <v>76</v>
      </c>
      <c r="U416" s="6">
        <v>54</v>
      </c>
      <c r="V416" s="6">
        <f>IF(ISERROR(VLOOKUP($S$416,'TAR FIN'!$A$1:$O$85,15,0)),0,VLOOKUP($S$416,'TAR FIN'!$A$1:$O$85,15,0))</f>
        <v>0</v>
      </c>
      <c r="W416" s="6">
        <f>IF(ISERROR(VLOOKUP($T$416,'TAR FIN'!$A$1:$O$85,15,0)),0,VLOOKUP($T$416,'TAR FIN'!$A$1:$O$85,15,0))</f>
        <v>900.63</v>
      </c>
      <c r="X416" s="6">
        <f>IF(ISERROR(VLOOKUP($U$416,'TAR FIN'!$A$1:$O$85,15,0)),0,VLOOKUP($U$416,'TAR FIN'!$A$1:$O$85,15,0))</f>
        <v>223.07</v>
      </c>
      <c r="Y416" s="6"/>
      <c r="Z416" s="6">
        <f ca="1">('TUSD BE'!$AM$46+'TUSD BF'!$AM$46+'TUSD CVA'!$AM$46)*1</f>
        <v>1287.4111034312796</v>
      </c>
      <c r="AA416" s="6">
        <f>('TE BE'!$AB$36+'TE BF'!$AB$36+'TE CVA'!$AB$36)*1</f>
        <v>77.958364182443049</v>
      </c>
      <c r="AB416" s="6">
        <f>$K$416*$V$416</f>
        <v>0</v>
      </c>
      <c r="AC416" s="6">
        <f>$M$416*$W$416</f>
        <v>54.037799999999997</v>
      </c>
      <c r="AD416" s="6">
        <f>$O$416*$X$416</f>
        <v>13.3842</v>
      </c>
      <c r="AE416" s="6">
        <f>$K$416*$Y$416</f>
        <v>0</v>
      </c>
      <c r="AF416" s="6">
        <f ca="1">$M$416*$Z$416</f>
        <v>77.244666205876769</v>
      </c>
      <c r="AG416" s="6">
        <f>$O$416*$AA$416</f>
        <v>4.6775018509465829</v>
      </c>
    </row>
    <row r="417" spans="1:33" ht="11.25" customHeight="1" x14ac:dyDescent="0.3">
      <c r="A417" s="4" t="s">
        <v>28</v>
      </c>
      <c r="B417" s="4" t="s">
        <v>37</v>
      </c>
      <c r="C417" s="4" t="s">
        <v>33</v>
      </c>
      <c r="D417" s="4" t="s">
        <v>41</v>
      </c>
      <c r="E417" s="4" t="s">
        <v>25</v>
      </c>
      <c r="F417" s="4" t="s">
        <v>25</v>
      </c>
      <c r="G417" s="4" t="s">
        <v>25</v>
      </c>
      <c r="H417" s="4" t="s">
        <v>36</v>
      </c>
      <c r="I417" s="5">
        <v>44501</v>
      </c>
      <c r="J417" s="6">
        <v>0</v>
      </c>
      <c r="K417" s="6">
        <v>0</v>
      </c>
      <c r="L417" s="6">
        <v>6.0000000000000001E-3</v>
      </c>
      <c r="M417" s="6">
        <v>6.0000000000000001E-3</v>
      </c>
      <c r="N417" s="6">
        <v>6.0000000000000001E-3</v>
      </c>
      <c r="O417" s="6">
        <v>6.0000000000000001E-3</v>
      </c>
      <c r="P417" s="6">
        <v>0</v>
      </c>
      <c r="Q417" s="4" t="s">
        <v>26</v>
      </c>
      <c r="R417" s="4">
        <v>0</v>
      </c>
      <c r="S417" s="6">
        <v>0</v>
      </c>
      <c r="T417" s="6">
        <v>76</v>
      </c>
      <c r="U417" s="6">
        <v>54</v>
      </c>
      <c r="V417" s="6">
        <f>IF(ISERROR(VLOOKUP($S$417,'TAR FIN'!$A$1:$O$85,15,0)),0,VLOOKUP($S$417,'TAR FIN'!$A$1:$O$85,15,0))</f>
        <v>0</v>
      </c>
      <c r="W417" s="6">
        <f>IF(ISERROR(VLOOKUP($T$417,'TAR FIN'!$A$1:$O$85,15,0)),0,VLOOKUP($T$417,'TAR FIN'!$A$1:$O$85,15,0))</f>
        <v>900.63</v>
      </c>
      <c r="X417" s="6">
        <f>IF(ISERROR(VLOOKUP($U$417,'TAR FIN'!$A$1:$O$85,15,0)),0,VLOOKUP($U$417,'TAR FIN'!$A$1:$O$85,15,0))</f>
        <v>223.07</v>
      </c>
      <c r="Y417" s="6"/>
      <c r="Z417" s="6">
        <f ca="1">('TUSD BE'!$AM$46+'TUSD BF'!$AM$46+'TUSD CVA'!$AM$46)*1</f>
        <v>1287.4111034312796</v>
      </c>
      <c r="AA417" s="6">
        <f>('TE BE'!$AB$36+'TE BF'!$AB$36+'TE CVA'!$AB$36)*1</f>
        <v>77.958364182443049</v>
      </c>
      <c r="AB417" s="6">
        <f>$K$417*$V$417</f>
        <v>0</v>
      </c>
      <c r="AC417" s="6">
        <f>$M$417*$W$417</f>
        <v>5.4037800000000002</v>
      </c>
      <c r="AD417" s="6">
        <f>$O$417*$X$417</f>
        <v>1.3384199999999999</v>
      </c>
      <c r="AE417" s="6">
        <f>$K$417*$Y$417</f>
        <v>0</v>
      </c>
      <c r="AF417" s="6">
        <f ca="1">$M$417*$Z$417</f>
        <v>7.7244666205876777</v>
      </c>
      <c r="AG417" s="6">
        <f>$O$417*$AA$417</f>
        <v>0.46775018509465832</v>
      </c>
    </row>
    <row r="418" spans="1:33" ht="11.25" customHeight="1" x14ac:dyDescent="0.3">
      <c r="A418" s="4" t="s">
        <v>21</v>
      </c>
      <c r="B418" s="4" t="s">
        <v>37</v>
      </c>
      <c r="C418" s="4" t="s">
        <v>33</v>
      </c>
      <c r="D418" s="4" t="s">
        <v>41</v>
      </c>
      <c r="E418" s="4" t="s">
        <v>25</v>
      </c>
      <c r="F418" s="4" t="s">
        <v>25</v>
      </c>
      <c r="G418" s="4" t="s">
        <v>25</v>
      </c>
      <c r="H418" s="4" t="s">
        <v>36</v>
      </c>
      <c r="I418" s="5">
        <v>44531</v>
      </c>
      <c r="J418" s="6">
        <v>0</v>
      </c>
      <c r="K418" s="6">
        <v>0</v>
      </c>
      <c r="L418" s="6">
        <v>0.155</v>
      </c>
      <c r="M418" s="6">
        <v>0.155</v>
      </c>
      <c r="N418" s="6">
        <v>0.155</v>
      </c>
      <c r="O418" s="6">
        <v>0.155</v>
      </c>
      <c r="P418" s="6">
        <v>0</v>
      </c>
      <c r="Q418" s="4" t="s">
        <v>26</v>
      </c>
      <c r="R418" s="4">
        <v>0</v>
      </c>
      <c r="S418" s="6">
        <v>0</v>
      </c>
      <c r="T418" s="6">
        <v>76</v>
      </c>
      <c r="U418" s="6">
        <v>54</v>
      </c>
      <c r="V418" s="6">
        <f>IF(ISERROR(VLOOKUP($S$418,'TAR FIN'!$A$1:$O$85,15,0)),0,VLOOKUP($S$418,'TAR FIN'!$A$1:$O$85,15,0))</f>
        <v>0</v>
      </c>
      <c r="W418" s="6">
        <f>IF(ISERROR(VLOOKUP($T$418,'TAR FIN'!$A$1:$O$85,15,0)),0,VLOOKUP($T$418,'TAR FIN'!$A$1:$O$85,15,0))</f>
        <v>900.63</v>
      </c>
      <c r="X418" s="6">
        <f>IF(ISERROR(VLOOKUP($U$418,'TAR FIN'!$A$1:$O$85,15,0)),0,VLOOKUP($U$418,'TAR FIN'!$A$1:$O$85,15,0))</f>
        <v>223.07</v>
      </c>
      <c r="Y418" s="6"/>
      <c r="Z418" s="6">
        <f ca="1">('TUSD BE'!$AM$46+'TUSD BF'!$AM$46+'TUSD CVA'!$AM$46)*1</f>
        <v>1287.4111034312796</v>
      </c>
      <c r="AA418" s="6">
        <f>('TE BE'!$AB$36+'TE BF'!$AB$36+'TE CVA'!$AB$36)*1</f>
        <v>77.958364182443049</v>
      </c>
      <c r="AB418" s="6">
        <f>$K$418*$V$418</f>
        <v>0</v>
      </c>
      <c r="AC418" s="6">
        <f>$M$418*$W$418</f>
        <v>139.59764999999999</v>
      </c>
      <c r="AD418" s="6">
        <f>$O$418*$X$418</f>
        <v>34.575849999999996</v>
      </c>
      <c r="AE418" s="6">
        <f>$K$418*$Y$418</f>
        <v>0</v>
      </c>
      <c r="AF418" s="6">
        <f ca="1">$M$418*$Z$418</f>
        <v>199.54872103184834</v>
      </c>
      <c r="AG418" s="6">
        <f>$O$418*$AA$418</f>
        <v>12.083546448278673</v>
      </c>
    </row>
    <row r="419" spans="1:33" ht="11.25" customHeight="1" x14ac:dyDescent="0.3">
      <c r="A419" s="4" t="s">
        <v>21</v>
      </c>
      <c r="B419" s="4" t="s">
        <v>37</v>
      </c>
      <c r="C419" s="4" t="s">
        <v>33</v>
      </c>
      <c r="D419" s="4" t="s">
        <v>41</v>
      </c>
      <c r="E419" s="4" t="s">
        <v>25</v>
      </c>
      <c r="F419" s="4" t="s">
        <v>25</v>
      </c>
      <c r="G419" s="4" t="s">
        <v>25</v>
      </c>
      <c r="H419" s="4" t="s">
        <v>36</v>
      </c>
      <c r="I419" s="5">
        <v>44562</v>
      </c>
      <c r="J419" s="6">
        <v>0</v>
      </c>
      <c r="K419" s="6">
        <v>0</v>
      </c>
      <c r="L419" s="6">
        <v>0.19500000000000001</v>
      </c>
      <c r="M419" s="6">
        <v>0.19500000000000001</v>
      </c>
      <c r="N419" s="6">
        <v>0.19500000000000001</v>
      </c>
      <c r="O419" s="6">
        <v>0.19500000000000001</v>
      </c>
      <c r="P419" s="6">
        <v>0</v>
      </c>
      <c r="Q419" s="4" t="s">
        <v>26</v>
      </c>
      <c r="R419" s="4">
        <v>0</v>
      </c>
      <c r="S419" s="6">
        <v>0</v>
      </c>
      <c r="T419" s="6">
        <v>76</v>
      </c>
      <c r="U419" s="6">
        <v>54</v>
      </c>
      <c r="V419" s="6">
        <f>IF(ISERROR(VLOOKUP($S$419,'TAR FIN'!$A$1:$O$85,15,0)),0,VLOOKUP($S$419,'TAR FIN'!$A$1:$O$85,15,0))</f>
        <v>0</v>
      </c>
      <c r="W419" s="6">
        <f>IF(ISERROR(VLOOKUP($T$419,'TAR FIN'!$A$1:$O$85,15,0)),0,VLOOKUP($T$419,'TAR FIN'!$A$1:$O$85,15,0))</f>
        <v>900.63</v>
      </c>
      <c r="X419" s="6">
        <f>IF(ISERROR(VLOOKUP($U$419,'TAR FIN'!$A$1:$O$85,15,0)),0,VLOOKUP($U$419,'TAR FIN'!$A$1:$O$85,15,0))</f>
        <v>223.07</v>
      </c>
      <c r="Y419" s="6"/>
      <c r="Z419" s="6">
        <f ca="1">('TUSD BE'!$AM$46+'TUSD BF'!$AM$46+'TUSD CVA'!$AM$46)*1</f>
        <v>1287.4111034312796</v>
      </c>
      <c r="AA419" s="6">
        <f>('TE BE'!$AB$36+'TE BF'!$AB$36+'TE CVA'!$AB$36)*1</f>
        <v>77.958364182443049</v>
      </c>
      <c r="AB419" s="6">
        <f>$K$419*$V$419</f>
        <v>0</v>
      </c>
      <c r="AC419" s="6">
        <f>$M$419*$W$419</f>
        <v>175.62285</v>
      </c>
      <c r="AD419" s="6">
        <f>$O$419*$X$419</f>
        <v>43.498649999999998</v>
      </c>
      <c r="AE419" s="6">
        <f>$K$419*$Y$419</f>
        <v>0</v>
      </c>
      <c r="AF419" s="6">
        <f ca="1">$M$419*$Z$419</f>
        <v>251.04516516909953</v>
      </c>
      <c r="AG419" s="6">
        <f>$O$419*$AA$419</f>
        <v>15.201881015576395</v>
      </c>
    </row>
    <row r="420" spans="1:33" ht="11.25" customHeight="1" x14ac:dyDescent="0.3">
      <c r="A420" s="4" t="s">
        <v>21</v>
      </c>
      <c r="B420" s="4" t="s">
        <v>37</v>
      </c>
      <c r="C420" s="4" t="s">
        <v>33</v>
      </c>
      <c r="D420" s="4" t="s">
        <v>41</v>
      </c>
      <c r="E420" s="4" t="s">
        <v>25</v>
      </c>
      <c r="F420" s="4" t="s">
        <v>25</v>
      </c>
      <c r="G420" s="4" t="s">
        <v>25</v>
      </c>
      <c r="H420" s="4" t="s">
        <v>36</v>
      </c>
      <c r="I420" s="5">
        <v>44593</v>
      </c>
      <c r="J420" s="6">
        <v>0</v>
      </c>
      <c r="K420" s="6">
        <v>0</v>
      </c>
      <c r="L420" s="6">
        <v>0.26100000000000001</v>
      </c>
      <c r="M420" s="6">
        <v>0.26100000000000001</v>
      </c>
      <c r="N420" s="6">
        <v>0.26100000000000001</v>
      </c>
      <c r="O420" s="6">
        <v>0.26100000000000001</v>
      </c>
      <c r="P420" s="6">
        <v>0</v>
      </c>
      <c r="Q420" s="4" t="s">
        <v>26</v>
      </c>
      <c r="R420" s="4">
        <v>0</v>
      </c>
      <c r="S420" s="6">
        <v>0</v>
      </c>
      <c r="T420" s="6">
        <v>76</v>
      </c>
      <c r="U420" s="6">
        <v>54</v>
      </c>
      <c r="V420" s="6">
        <f>IF(ISERROR(VLOOKUP($S$420,'TAR FIN'!$A$1:$O$85,15,0)),0,VLOOKUP($S$420,'TAR FIN'!$A$1:$O$85,15,0))</f>
        <v>0</v>
      </c>
      <c r="W420" s="6">
        <f>IF(ISERROR(VLOOKUP($T$420,'TAR FIN'!$A$1:$O$85,15,0)),0,VLOOKUP($T$420,'TAR FIN'!$A$1:$O$85,15,0))</f>
        <v>900.63</v>
      </c>
      <c r="X420" s="6">
        <f>IF(ISERROR(VLOOKUP($U$420,'TAR FIN'!$A$1:$O$85,15,0)),0,VLOOKUP($U$420,'TAR FIN'!$A$1:$O$85,15,0))</f>
        <v>223.07</v>
      </c>
      <c r="Y420" s="6"/>
      <c r="Z420" s="6">
        <f ca="1">('TUSD BE'!$AM$46+'TUSD BF'!$AM$46+'TUSD CVA'!$AM$46)*1</f>
        <v>1287.4111034312796</v>
      </c>
      <c r="AA420" s="6">
        <f>('TE BE'!$AB$36+'TE BF'!$AB$36+'TE CVA'!$AB$36)*1</f>
        <v>77.958364182443049</v>
      </c>
      <c r="AB420" s="6">
        <f>$K$420*$V$420</f>
        <v>0</v>
      </c>
      <c r="AC420" s="6">
        <f>$M$420*$W$420</f>
        <v>235.06443000000002</v>
      </c>
      <c r="AD420" s="6">
        <f>$O$420*$X$420</f>
        <v>58.221269999999997</v>
      </c>
      <c r="AE420" s="6">
        <f>$K$420*$Y$420</f>
        <v>0</v>
      </c>
      <c r="AF420" s="6">
        <f ca="1">$M$420*$Z$420</f>
        <v>336.01429799556399</v>
      </c>
      <c r="AG420" s="6">
        <f>$O$420*$AA$420</f>
        <v>20.347133051617636</v>
      </c>
    </row>
    <row r="421" spans="1:33" ht="11.25" customHeight="1" x14ac:dyDescent="0.3">
      <c r="A421" s="4" t="s">
        <v>21</v>
      </c>
      <c r="B421" s="4" t="s">
        <v>37</v>
      </c>
      <c r="C421" s="4" t="s">
        <v>33</v>
      </c>
      <c r="D421" s="4" t="s">
        <v>41</v>
      </c>
      <c r="E421" s="4" t="s">
        <v>25</v>
      </c>
      <c r="F421" s="4" t="s">
        <v>25</v>
      </c>
      <c r="G421" s="4" t="s">
        <v>25</v>
      </c>
      <c r="H421" s="4" t="s">
        <v>36</v>
      </c>
      <c r="I421" s="5">
        <v>44621</v>
      </c>
      <c r="J421" s="6">
        <v>0</v>
      </c>
      <c r="K421" s="6">
        <v>0</v>
      </c>
      <c r="L421" s="6">
        <v>0.22900000000000001</v>
      </c>
      <c r="M421" s="6">
        <v>0.22900000000000001</v>
      </c>
      <c r="N421" s="6">
        <v>0.22900000000000001</v>
      </c>
      <c r="O421" s="6">
        <v>0.22900000000000001</v>
      </c>
      <c r="P421" s="6">
        <v>0</v>
      </c>
      <c r="Q421" s="4" t="s">
        <v>26</v>
      </c>
      <c r="R421" s="4">
        <v>0</v>
      </c>
      <c r="S421" s="6">
        <v>0</v>
      </c>
      <c r="T421" s="6">
        <v>76</v>
      </c>
      <c r="U421" s="6">
        <v>54</v>
      </c>
      <c r="V421" s="6">
        <f>IF(ISERROR(VLOOKUP($S$421,'TAR FIN'!$A$1:$O$85,15,0)),0,VLOOKUP($S$421,'TAR FIN'!$A$1:$O$85,15,0))</f>
        <v>0</v>
      </c>
      <c r="W421" s="6">
        <f>IF(ISERROR(VLOOKUP($T$421,'TAR FIN'!$A$1:$O$85,15,0)),0,VLOOKUP($T$421,'TAR FIN'!$A$1:$O$85,15,0))</f>
        <v>900.63</v>
      </c>
      <c r="X421" s="6">
        <f>IF(ISERROR(VLOOKUP($U$421,'TAR FIN'!$A$1:$O$85,15,0)),0,VLOOKUP($U$421,'TAR FIN'!$A$1:$O$85,15,0))</f>
        <v>223.07</v>
      </c>
      <c r="Y421" s="6"/>
      <c r="Z421" s="6">
        <f ca="1">('TUSD BE'!$AM$46+'TUSD BF'!$AM$46+'TUSD CVA'!$AM$46)*1</f>
        <v>1287.4111034312796</v>
      </c>
      <c r="AA421" s="6">
        <f>('TE BE'!$AB$36+'TE BF'!$AB$36+'TE CVA'!$AB$36)*1</f>
        <v>77.958364182443049</v>
      </c>
      <c r="AB421" s="6">
        <f>$K$421*$V$421</f>
        <v>0</v>
      </c>
      <c r="AC421" s="6">
        <f>$M$421*$W$421</f>
        <v>206.24427</v>
      </c>
      <c r="AD421" s="6">
        <f>$O$421*$X$421</f>
        <v>51.083030000000001</v>
      </c>
      <c r="AE421" s="6">
        <f>$K$421*$Y$421</f>
        <v>0</v>
      </c>
      <c r="AF421" s="6">
        <f ca="1">$M$421*$Z$421</f>
        <v>294.81714268576303</v>
      </c>
      <c r="AG421" s="6">
        <f>$O$421*$AA$421</f>
        <v>17.852465397779458</v>
      </c>
    </row>
    <row r="422" spans="1:33" ht="11.25" customHeight="1" x14ac:dyDescent="0.3">
      <c r="A422" s="4" t="s">
        <v>28</v>
      </c>
      <c r="B422" s="4" t="s">
        <v>37</v>
      </c>
      <c r="C422" s="4" t="s">
        <v>33</v>
      </c>
      <c r="D422" s="4" t="s">
        <v>41</v>
      </c>
      <c r="E422" s="4" t="s">
        <v>25</v>
      </c>
      <c r="F422" s="4" t="s">
        <v>25</v>
      </c>
      <c r="G422" s="4" t="s">
        <v>25</v>
      </c>
      <c r="H422" s="4" t="s">
        <v>36</v>
      </c>
      <c r="I422" s="5">
        <v>44621</v>
      </c>
      <c r="J422" s="6">
        <v>0</v>
      </c>
      <c r="K422" s="6">
        <v>0</v>
      </c>
      <c r="L422" s="6">
        <v>9.1999999999999998E-2</v>
      </c>
      <c r="M422" s="6">
        <v>9.1999999999999998E-2</v>
      </c>
      <c r="N422" s="6">
        <v>9.1999999999999998E-2</v>
      </c>
      <c r="O422" s="6">
        <v>9.1999999999999998E-2</v>
      </c>
      <c r="P422" s="6">
        <v>0</v>
      </c>
      <c r="Q422" s="4" t="s">
        <v>26</v>
      </c>
      <c r="R422" s="4">
        <v>0</v>
      </c>
      <c r="S422" s="6">
        <v>0</v>
      </c>
      <c r="T422" s="6">
        <v>76</v>
      </c>
      <c r="U422" s="6">
        <v>54</v>
      </c>
      <c r="V422" s="6">
        <f>IF(ISERROR(VLOOKUP($S$422,'TAR FIN'!$A$1:$O$85,15,0)),0,VLOOKUP($S$422,'TAR FIN'!$A$1:$O$85,15,0))</f>
        <v>0</v>
      </c>
      <c r="W422" s="6">
        <f>IF(ISERROR(VLOOKUP($T$422,'TAR FIN'!$A$1:$O$85,15,0)),0,VLOOKUP($T$422,'TAR FIN'!$A$1:$O$85,15,0))</f>
        <v>900.63</v>
      </c>
      <c r="X422" s="6">
        <f>IF(ISERROR(VLOOKUP($U$422,'TAR FIN'!$A$1:$O$85,15,0)),0,VLOOKUP($U$422,'TAR FIN'!$A$1:$O$85,15,0))</f>
        <v>223.07</v>
      </c>
      <c r="Y422" s="6"/>
      <c r="Z422" s="6">
        <f ca="1">('TUSD BE'!$AM$46+'TUSD BF'!$AM$46+'TUSD CVA'!$AM$46)*1</f>
        <v>1287.4111034312796</v>
      </c>
      <c r="AA422" s="6">
        <f>('TE BE'!$AB$36+'TE BF'!$AB$36+'TE CVA'!$AB$36)*1</f>
        <v>77.958364182443049</v>
      </c>
      <c r="AB422" s="6">
        <f>$K$422*$V$422</f>
        <v>0</v>
      </c>
      <c r="AC422" s="6">
        <f>$M$422*$W$422</f>
        <v>82.857959999999991</v>
      </c>
      <c r="AD422" s="6">
        <f>$O$422*$X$422</f>
        <v>20.52244</v>
      </c>
      <c r="AE422" s="6">
        <f>$K$422*$Y$422</f>
        <v>0</v>
      </c>
      <c r="AF422" s="6">
        <f ca="1">$M$422*$Z$422</f>
        <v>118.44182151567772</v>
      </c>
      <c r="AG422" s="6">
        <f>$O$422*$AA$422</f>
        <v>7.17216950478476</v>
      </c>
    </row>
    <row r="423" spans="1:33" ht="11.25" customHeight="1" x14ac:dyDescent="0.3">
      <c r="A423" s="4" t="s">
        <v>21</v>
      </c>
      <c r="B423" s="4" t="s">
        <v>37</v>
      </c>
      <c r="C423" s="4" t="s">
        <v>33</v>
      </c>
      <c r="D423" s="4" t="s">
        <v>41</v>
      </c>
      <c r="E423" s="4" t="s">
        <v>25</v>
      </c>
      <c r="F423" s="4" t="s">
        <v>25</v>
      </c>
      <c r="G423" s="4" t="s">
        <v>25</v>
      </c>
      <c r="H423" s="4" t="s">
        <v>36</v>
      </c>
      <c r="I423" s="5">
        <v>44652</v>
      </c>
      <c r="J423" s="6">
        <v>0</v>
      </c>
      <c r="K423" s="6">
        <v>0</v>
      </c>
      <c r="L423" s="6">
        <v>0.189</v>
      </c>
      <c r="M423" s="6">
        <v>0.189</v>
      </c>
      <c r="N423" s="6">
        <v>0.189</v>
      </c>
      <c r="O423" s="6">
        <v>0.189</v>
      </c>
      <c r="P423" s="6">
        <v>0</v>
      </c>
      <c r="Q423" s="4" t="s">
        <v>26</v>
      </c>
      <c r="R423" s="4">
        <v>0</v>
      </c>
      <c r="S423" s="6">
        <v>0</v>
      </c>
      <c r="T423" s="6">
        <v>76</v>
      </c>
      <c r="U423" s="6">
        <v>54</v>
      </c>
      <c r="V423" s="6">
        <f>IF(ISERROR(VLOOKUP($S$423,'TAR FIN'!$A$1:$O$85,15,0)),0,VLOOKUP($S$423,'TAR FIN'!$A$1:$O$85,15,0))</f>
        <v>0</v>
      </c>
      <c r="W423" s="6">
        <f>IF(ISERROR(VLOOKUP($T$423,'TAR FIN'!$A$1:$O$85,15,0)),0,VLOOKUP($T$423,'TAR FIN'!$A$1:$O$85,15,0))</f>
        <v>900.63</v>
      </c>
      <c r="X423" s="6">
        <f>IF(ISERROR(VLOOKUP($U$423,'TAR FIN'!$A$1:$O$85,15,0)),0,VLOOKUP($U$423,'TAR FIN'!$A$1:$O$85,15,0))</f>
        <v>223.07</v>
      </c>
      <c r="Y423" s="6"/>
      <c r="Z423" s="6">
        <f ca="1">('TUSD BE'!$AM$46+'TUSD BF'!$AM$46+'TUSD CVA'!$AM$46)*1</f>
        <v>1287.4111034312796</v>
      </c>
      <c r="AA423" s="6">
        <f>('TE BE'!$AB$36+'TE BF'!$AB$36+'TE CVA'!$AB$36)*1</f>
        <v>77.958364182443049</v>
      </c>
      <c r="AB423" s="6">
        <f>$K$423*$V$423</f>
        <v>0</v>
      </c>
      <c r="AC423" s="6">
        <f>$M$423*$W$423</f>
        <v>170.21906999999999</v>
      </c>
      <c r="AD423" s="6">
        <f>$O$423*$X$423</f>
        <v>42.160229999999999</v>
      </c>
      <c r="AE423" s="6">
        <f>$K$423*$Y$423</f>
        <v>0</v>
      </c>
      <c r="AF423" s="6">
        <f ca="1">$M$423*$Z$423</f>
        <v>243.32069854851184</v>
      </c>
      <c r="AG423" s="6">
        <f>$O$423*$AA$423</f>
        <v>14.734130830481737</v>
      </c>
    </row>
    <row r="424" spans="1:33" ht="11.25" customHeight="1" x14ac:dyDescent="0.3">
      <c r="A424" s="4" t="s">
        <v>28</v>
      </c>
      <c r="B424" s="4" t="s">
        <v>37</v>
      </c>
      <c r="C424" s="4" t="s">
        <v>33</v>
      </c>
      <c r="D424" s="4" t="s">
        <v>41</v>
      </c>
      <c r="E424" s="4" t="s">
        <v>25</v>
      </c>
      <c r="F424" s="4" t="s">
        <v>25</v>
      </c>
      <c r="G424" s="4" t="s">
        <v>25</v>
      </c>
      <c r="H424" s="4" t="s">
        <v>36</v>
      </c>
      <c r="I424" s="5">
        <v>44652</v>
      </c>
      <c r="J424" s="6">
        <v>0</v>
      </c>
      <c r="K424" s="6">
        <v>0</v>
      </c>
      <c r="L424" s="6">
        <v>4.4999999999999998E-2</v>
      </c>
      <c r="M424" s="6">
        <v>4.4999999999999998E-2</v>
      </c>
      <c r="N424" s="6">
        <v>4.4999999999999998E-2</v>
      </c>
      <c r="O424" s="6">
        <v>4.4999999999999998E-2</v>
      </c>
      <c r="P424" s="6">
        <v>0</v>
      </c>
      <c r="Q424" s="4" t="s">
        <v>26</v>
      </c>
      <c r="R424" s="4">
        <v>0</v>
      </c>
      <c r="S424" s="6">
        <v>0</v>
      </c>
      <c r="T424" s="6">
        <v>76</v>
      </c>
      <c r="U424" s="6">
        <v>54</v>
      </c>
      <c r="V424" s="6">
        <f>IF(ISERROR(VLOOKUP($S$424,'TAR FIN'!$A$1:$O$85,15,0)),0,VLOOKUP($S$424,'TAR FIN'!$A$1:$O$85,15,0))</f>
        <v>0</v>
      </c>
      <c r="W424" s="6">
        <f>IF(ISERROR(VLOOKUP($T$424,'TAR FIN'!$A$1:$O$85,15,0)),0,VLOOKUP($T$424,'TAR FIN'!$A$1:$O$85,15,0))</f>
        <v>900.63</v>
      </c>
      <c r="X424" s="6">
        <f>IF(ISERROR(VLOOKUP($U$424,'TAR FIN'!$A$1:$O$85,15,0)),0,VLOOKUP($U$424,'TAR FIN'!$A$1:$O$85,15,0))</f>
        <v>223.07</v>
      </c>
      <c r="Y424" s="6"/>
      <c r="Z424" s="6">
        <f ca="1">('TUSD BE'!$AM$46+'TUSD BF'!$AM$46+'TUSD CVA'!$AM$46)*1</f>
        <v>1287.4111034312796</v>
      </c>
      <c r="AA424" s="6">
        <f>('TE BE'!$AB$36+'TE BF'!$AB$36+'TE CVA'!$AB$36)*1</f>
        <v>77.958364182443049</v>
      </c>
      <c r="AB424" s="6">
        <f>$K$424*$V$424</f>
        <v>0</v>
      </c>
      <c r="AC424" s="6">
        <f>$M$424*$W$424</f>
        <v>40.528349999999996</v>
      </c>
      <c r="AD424" s="6">
        <f>$O$424*$X$424</f>
        <v>10.03815</v>
      </c>
      <c r="AE424" s="6">
        <f>$K$424*$Y$424</f>
        <v>0</v>
      </c>
      <c r="AF424" s="6">
        <f ca="1">$M$424*$Z$424</f>
        <v>57.933499654407576</v>
      </c>
      <c r="AG424" s="6">
        <f>$O$424*$AA$424</f>
        <v>3.5081263882099369</v>
      </c>
    </row>
    <row r="425" spans="1:33" ht="11.25" customHeight="1" x14ac:dyDescent="0.3">
      <c r="A425" s="4" t="s">
        <v>21</v>
      </c>
      <c r="B425" s="4" t="s">
        <v>37</v>
      </c>
      <c r="C425" s="4" t="s">
        <v>33</v>
      </c>
      <c r="D425" s="4" t="s">
        <v>41</v>
      </c>
      <c r="E425" s="4" t="s">
        <v>25</v>
      </c>
      <c r="F425" s="4" t="s">
        <v>25</v>
      </c>
      <c r="G425" s="4" t="s">
        <v>25</v>
      </c>
      <c r="H425" s="4" t="s">
        <v>36</v>
      </c>
      <c r="I425" s="5">
        <v>44682</v>
      </c>
      <c r="J425" s="6">
        <v>0</v>
      </c>
      <c r="K425" s="6">
        <v>0</v>
      </c>
      <c r="L425" s="6">
        <v>0.186</v>
      </c>
      <c r="M425" s="6">
        <v>0.186</v>
      </c>
      <c r="N425" s="6">
        <v>0.186</v>
      </c>
      <c r="O425" s="6">
        <v>0.186</v>
      </c>
      <c r="P425" s="6">
        <v>0</v>
      </c>
      <c r="Q425" s="4" t="s">
        <v>26</v>
      </c>
      <c r="R425" s="4">
        <v>0</v>
      </c>
      <c r="S425" s="6">
        <v>0</v>
      </c>
      <c r="T425" s="6">
        <v>76</v>
      </c>
      <c r="U425" s="6">
        <v>54</v>
      </c>
      <c r="V425" s="6">
        <f>IF(ISERROR(VLOOKUP($S$425,'TAR FIN'!$A$1:$O$85,15,0)),0,VLOOKUP($S$425,'TAR FIN'!$A$1:$O$85,15,0))</f>
        <v>0</v>
      </c>
      <c r="W425" s="6">
        <f>IF(ISERROR(VLOOKUP($T$425,'TAR FIN'!$A$1:$O$85,15,0)),0,VLOOKUP($T$425,'TAR FIN'!$A$1:$O$85,15,0))</f>
        <v>900.63</v>
      </c>
      <c r="X425" s="6">
        <f>IF(ISERROR(VLOOKUP($U$425,'TAR FIN'!$A$1:$O$85,15,0)),0,VLOOKUP($U$425,'TAR FIN'!$A$1:$O$85,15,0))</f>
        <v>223.07</v>
      </c>
      <c r="Y425" s="6"/>
      <c r="Z425" s="6">
        <f ca="1">('TUSD BE'!$AM$46+'TUSD BF'!$AM$46+'TUSD CVA'!$AM$46)*1</f>
        <v>1287.4111034312796</v>
      </c>
      <c r="AA425" s="6">
        <f>('TE BE'!$AB$36+'TE BF'!$AB$36+'TE CVA'!$AB$36)*1</f>
        <v>77.958364182443049</v>
      </c>
      <c r="AB425" s="6">
        <f>$K$425*$V$425</f>
        <v>0</v>
      </c>
      <c r="AC425" s="6">
        <f>$M$425*$W$425</f>
        <v>167.51718</v>
      </c>
      <c r="AD425" s="6">
        <f>$O$425*$X$425</f>
        <v>41.491019999999999</v>
      </c>
      <c r="AE425" s="6">
        <f>$K$425*$Y$425</f>
        <v>0</v>
      </c>
      <c r="AF425" s="6">
        <f ca="1">$M$425*$Z$425</f>
        <v>239.458465238218</v>
      </c>
      <c r="AG425" s="6">
        <f>$O$425*$AA$425</f>
        <v>14.500255737934406</v>
      </c>
    </row>
    <row r="426" spans="1:33" ht="11.25" customHeight="1" x14ac:dyDescent="0.3">
      <c r="A426" s="4" t="s">
        <v>21</v>
      </c>
      <c r="B426" s="4" t="s">
        <v>37</v>
      </c>
      <c r="C426" s="4" t="s">
        <v>33</v>
      </c>
      <c r="D426" s="4" t="s">
        <v>41</v>
      </c>
      <c r="E426" s="4" t="s">
        <v>25</v>
      </c>
      <c r="F426" s="4" t="s">
        <v>25</v>
      </c>
      <c r="G426" s="4" t="s">
        <v>25</v>
      </c>
      <c r="H426" s="4" t="s">
        <v>36</v>
      </c>
      <c r="I426" s="5">
        <v>44713</v>
      </c>
      <c r="J426" s="6">
        <v>0</v>
      </c>
      <c r="K426" s="6">
        <v>0</v>
      </c>
      <c r="L426" s="6">
        <v>0.157</v>
      </c>
      <c r="M426" s="6">
        <v>0.157</v>
      </c>
      <c r="N426" s="6">
        <v>0.157</v>
      </c>
      <c r="O426" s="6">
        <v>0.157</v>
      </c>
      <c r="P426" s="6">
        <v>0</v>
      </c>
      <c r="Q426" s="4" t="s">
        <v>26</v>
      </c>
      <c r="R426" s="4">
        <v>0</v>
      </c>
      <c r="S426" s="6">
        <v>0</v>
      </c>
      <c r="T426" s="6">
        <v>76</v>
      </c>
      <c r="U426" s="6">
        <v>54</v>
      </c>
      <c r="V426" s="6">
        <f>IF(ISERROR(VLOOKUP($S$426,'TAR FIN'!$A$1:$O$85,15,0)),0,VLOOKUP($S$426,'TAR FIN'!$A$1:$O$85,15,0))</f>
        <v>0</v>
      </c>
      <c r="W426" s="6">
        <f>IF(ISERROR(VLOOKUP($T$426,'TAR FIN'!$A$1:$O$85,15,0)),0,VLOOKUP($T$426,'TAR FIN'!$A$1:$O$85,15,0))</f>
        <v>900.63</v>
      </c>
      <c r="X426" s="6">
        <f>IF(ISERROR(VLOOKUP($U$426,'TAR FIN'!$A$1:$O$85,15,0)),0,VLOOKUP($U$426,'TAR FIN'!$A$1:$O$85,15,0))</f>
        <v>223.07</v>
      </c>
      <c r="Y426" s="6"/>
      <c r="Z426" s="6">
        <f ca="1">('TUSD BE'!$AM$46+'TUSD BF'!$AM$46+'TUSD CVA'!$AM$46)*1</f>
        <v>1287.4111034312796</v>
      </c>
      <c r="AA426" s="6">
        <f>('TE BE'!$AB$36+'TE BF'!$AB$36+'TE CVA'!$AB$36)*1</f>
        <v>77.958364182443049</v>
      </c>
      <c r="AB426" s="6">
        <f>$K$426*$V$426</f>
        <v>0</v>
      </c>
      <c r="AC426" s="6">
        <f>$M$426*$W$426</f>
        <v>141.39891</v>
      </c>
      <c r="AD426" s="6">
        <f>$O$426*$X$426</f>
        <v>35.021990000000002</v>
      </c>
      <c r="AE426" s="6">
        <f>$K$426*$Y$426</f>
        <v>0</v>
      </c>
      <c r="AF426" s="6">
        <f ca="1">$M$426*$Z$426</f>
        <v>202.12354323871088</v>
      </c>
      <c r="AG426" s="6">
        <f>$O$426*$AA$426</f>
        <v>12.239463176643559</v>
      </c>
    </row>
    <row r="427" spans="1:33" ht="11.25" customHeight="1" x14ac:dyDescent="0.3">
      <c r="A427" s="4" t="s">
        <v>28</v>
      </c>
      <c r="B427" s="4" t="s">
        <v>37</v>
      </c>
      <c r="C427" s="4" t="s">
        <v>33</v>
      </c>
      <c r="D427" s="4" t="s">
        <v>41</v>
      </c>
      <c r="E427" s="4" t="s">
        <v>25</v>
      </c>
      <c r="F427" s="4" t="s">
        <v>25</v>
      </c>
      <c r="G427" s="4" t="s">
        <v>25</v>
      </c>
      <c r="H427" s="4" t="s">
        <v>36</v>
      </c>
      <c r="I427" s="5">
        <v>44713</v>
      </c>
      <c r="J427" s="6">
        <v>0</v>
      </c>
      <c r="K427" s="6">
        <v>0</v>
      </c>
      <c r="L427" s="6">
        <v>3.2000000000000001E-2</v>
      </c>
      <c r="M427" s="6">
        <v>3.2000000000000001E-2</v>
      </c>
      <c r="N427" s="6">
        <v>3.2000000000000001E-2</v>
      </c>
      <c r="O427" s="6">
        <v>3.2000000000000001E-2</v>
      </c>
      <c r="P427" s="6">
        <v>0</v>
      </c>
      <c r="Q427" s="4" t="s">
        <v>26</v>
      </c>
      <c r="R427" s="4">
        <v>0</v>
      </c>
      <c r="S427" s="6">
        <v>0</v>
      </c>
      <c r="T427" s="6">
        <v>76</v>
      </c>
      <c r="U427" s="6">
        <v>54</v>
      </c>
      <c r="V427" s="6">
        <f>IF(ISERROR(VLOOKUP($S$427,'TAR FIN'!$A$1:$O$85,15,0)),0,VLOOKUP($S$427,'TAR FIN'!$A$1:$O$85,15,0))</f>
        <v>0</v>
      </c>
      <c r="W427" s="6">
        <f>IF(ISERROR(VLOOKUP($T$427,'TAR FIN'!$A$1:$O$85,15,0)),0,VLOOKUP($T$427,'TAR FIN'!$A$1:$O$85,15,0))</f>
        <v>900.63</v>
      </c>
      <c r="X427" s="6">
        <f>IF(ISERROR(VLOOKUP($U$427,'TAR FIN'!$A$1:$O$85,15,0)),0,VLOOKUP($U$427,'TAR FIN'!$A$1:$O$85,15,0))</f>
        <v>223.07</v>
      </c>
      <c r="Y427" s="6"/>
      <c r="Z427" s="6">
        <f ca="1">('TUSD BE'!$AM$46+'TUSD BF'!$AM$46+'TUSD CVA'!$AM$46)*1</f>
        <v>1287.4111034312796</v>
      </c>
      <c r="AA427" s="6">
        <f>('TE BE'!$AB$36+'TE BF'!$AB$36+'TE CVA'!$AB$36)*1</f>
        <v>77.958364182443049</v>
      </c>
      <c r="AB427" s="6">
        <f>$K$427*$V$427</f>
        <v>0</v>
      </c>
      <c r="AC427" s="6">
        <f>$M$427*$W$427</f>
        <v>28.820160000000001</v>
      </c>
      <c r="AD427" s="6">
        <f>$O$427*$X$427</f>
        <v>7.1382399999999997</v>
      </c>
      <c r="AE427" s="6">
        <f>$K$427*$Y$427</f>
        <v>0</v>
      </c>
      <c r="AF427" s="6">
        <f ca="1">$M$427*$Z$427</f>
        <v>41.197155309800948</v>
      </c>
      <c r="AG427" s="6">
        <f>$O$427*$AA$427</f>
        <v>2.4946676538381776</v>
      </c>
    </row>
    <row r="428" spans="1:33" ht="11.25" customHeight="1" x14ac:dyDescent="0.3">
      <c r="A428" s="4" t="s">
        <v>21</v>
      </c>
      <c r="B428" s="4" t="s">
        <v>37</v>
      </c>
      <c r="C428" s="4" t="s">
        <v>33</v>
      </c>
      <c r="D428" s="4" t="s">
        <v>41</v>
      </c>
      <c r="E428" s="4" t="s">
        <v>25</v>
      </c>
      <c r="F428" s="4" t="s">
        <v>25</v>
      </c>
      <c r="G428" s="4" t="s">
        <v>25</v>
      </c>
      <c r="H428" s="4" t="s">
        <v>36</v>
      </c>
      <c r="I428" s="5">
        <v>44743</v>
      </c>
      <c r="J428" s="6">
        <v>0</v>
      </c>
      <c r="K428" s="6">
        <v>0</v>
      </c>
      <c r="L428" s="6">
        <v>2.4E-2</v>
      </c>
      <c r="M428" s="6">
        <v>2.4E-2</v>
      </c>
      <c r="N428" s="6">
        <v>2.4E-2</v>
      </c>
      <c r="O428" s="6">
        <v>2.4E-2</v>
      </c>
      <c r="P428" s="6">
        <v>0</v>
      </c>
      <c r="Q428" s="4" t="s">
        <v>26</v>
      </c>
      <c r="R428" s="4">
        <v>0</v>
      </c>
      <c r="S428" s="6">
        <v>0</v>
      </c>
      <c r="T428" s="6">
        <v>76</v>
      </c>
      <c r="U428" s="6">
        <v>54</v>
      </c>
      <c r="V428" s="6">
        <f>IF(ISERROR(VLOOKUP($S$428,'TAR FIN'!$A$1:$O$85,15,0)),0,VLOOKUP($S$428,'TAR FIN'!$A$1:$O$85,15,0))</f>
        <v>0</v>
      </c>
      <c r="W428" s="6">
        <f>IF(ISERROR(VLOOKUP($T$428,'TAR FIN'!$A$1:$O$85,15,0)),0,VLOOKUP($T$428,'TAR FIN'!$A$1:$O$85,15,0))</f>
        <v>900.63</v>
      </c>
      <c r="X428" s="6">
        <f>IF(ISERROR(VLOOKUP($U$428,'TAR FIN'!$A$1:$O$85,15,0)),0,VLOOKUP($U$428,'TAR FIN'!$A$1:$O$85,15,0))</f>
        <v>223.07</v>
      </c>
      <c r="Y428" s="6"/>
      <c r="Z428" s="6">
        <f ca="1">('TUSD BE'!$AM$46+'TUSD BF'!$AM$46+'TUSD CVA'!$AM$46)*1</f>
        <v>1287.4111034312796</v>
      </c>
      <c r="AA428" s="6">
        <f>('TE BE'!$AB$36+'TE BF'!$AB$36+'TE CVA'!$AB$36)*1</f>
        <v>77.958364182443049</v>
      </c>
      <c r="AB428" s="6">
        <f>$K$428*$V$428</f>
        <v>0</v>
      </c>
      <c r="AC428" s="6">
        <f>$M$428*$W$428</f>
        <v>21.615120000000001</v>
      </c>
      <c r="AD428" s="6">
        <f>$O$428*$X$428</f>
        <v>5.3536799999999998</v>
      </c>
      <c r="AE428" s="6">
        <f>$K$428*$Y$428</f>
        <v>0</v>
      </c>
      <c r="AF428" s="6">
        <f ca="1">$M$428*$Z$428</f>
        <v>30.897866482350711</v>
      </c>
      <c r="AG428" s="6">
        <f>$O$428*$AA$428</f>
        <v>1.8710007403786333</v>
      </c>
    </row>
    <row r="429" spans="1:33" ht="11.25" customHeight="1" x14ac:dyDescent="0.3">
      <c r="A429" s="4" t="s">
        <v>21</v>
      </c>
      <c r="B429" s="4" t="s">
        <v>37</v>
      </c>
      <c r="C429" s="4" t="s">
        <v>33</v>
      </c>
      <c r="D429" s="4" t="s">
        <v>41</v>
      </c>
      <c r="E429" s="4" t="s">
        <v>25</v>
      </c>
      <c r="F429" s="4" t="s">
        <v>25</v>
      </c>
      <c r="G429" s="4" t="s">
        <v>25</v>
      </c>
      <c r="H429" s="4" t="s">
        <v>36</v>
      </c>
      <c r="I429" s="5">
        <v>44774</v>
      </c>
      <c r="J429" s="6">
        <v>0</v>
      </c>
      <c r="K429" s="6">
        <v>0</v>
      </c>
      <c r="L429" s="6">
        <v>3.7999999999999999E-2</v>
      </c>
      <c r="M429" s="6">
        <v>3.7999999999999999E-2</v>
      </c>
      <c r="N429" s="6">
        <v>3.7999999999999999E-2</v>
      </c>
      <c r="O429" s="6">
        <v>3.7999999999999999E-2</v>
      </c>
      <c r="P429" s="6">
        <v>0</v>
      </c>
      <c r="Q429" s="4" t="s">
        <v>26</v>
      </c>
      <c r="R429" s="4">
        <v>0</v>
      </c>
      <c r="S429" s="6">
        <v>0</v>
      </c>
      <c r="T429" s="6">
        <v>76</v>
      </c>
      <c r="U429" s="6">
        <v>54</v>
      </c>
      <c r="V429" s="6">
        <f>IF(ISERROR(VLOOKUP($S$429,'TAR FIN'!$A$1:$O$85,15,0)),0,VLOOKUP($S$429,'TAR FIN'!$A$1:$O$85,15,0))</f>
        <v>0</v>
      </c>
      <c r="W429" s="6">
        <f>IF(ISERROR(VLOOKUP($T$429,'TAR FIN'!$A$1:$O$85,15,0)),0,VLOOKUP($T$429,'TAR FIN'!$A$1:$O$85,15,0))</f>
        <v>900.63</v>
      </c>
      <c r="X429" s="6">
        <f>IF(ISERROR(VLOOKUP($U$429,'TAR FIN'!$A$1:$O$85,15,0)),0,VLOOKUP($U$429,'TAR FIN'!$A$1:$O$85,15,0))</f>
        <v>223.07</v>
      </c>
      <c r="Y429" s="6"/>
      <c r="Z429" s="6">
        <f ca="1">('TUSD BE'!$AM$46+'TUSD BF'!$AM$46+'TUSD CVA'!$AM$46)*1</f>
        <v>1287.4111034312796</v>
      </c>
      <c r="AA429" s="6">
        <f>('TE BE'!$AB$36+'TE BF'!$AB$36+'TE CVA'!$AB$36)*1</f>
        <v>77.958364182443049</v>
      </c>
      <c r="AB429" s="6">
        <f>$K$429*$V$429</f>
        <v>0</v>
      </c>
      <c r="AC429" s="6">
        <f>$M$429*$W$429</f>
        <v>34.223939999999999</v>
      </c>
      <c r="AD429" s="6">
        <f>$O$429*$X$429</f>
        <v>8.476659999999999</v>
      </c>
      <c r="AE429" s="6">
        <f>$K$429*$Y$429</f>
        <v>0</v>
      </c>
      <c r="AF429" s="6">
        <f ca="1">$M$429*$Z$429</f>
        <v>48.921621930388625</v>
      </c>
      <c r="AG429" s="6">
        <f>$O$429*$AA$429</f>
        <v>2.9624178389328359</v>
      </c>
    </row>
    <row r="430" spans="1:33" ht="11.25" customHeight="1" x14ac:dyDescent="0.3">
      <c r="A430" s="4" t="s">
        <v>28</v>
      </c>
      <c r="B430" s="4" t="s">
        <v>37</v>
      </c>
      <c r="C430" s="4" t="s">
        <v>33</v>
      </c>
      <c r="D430" s="4" t="s">
        <v>41</v>
      </c>
      <c r="E430" s="4" t="s">
        <v>25</v>
      </c>
      <c r="F430" s="4" t="s">
        <v>25</v>
      </c>
      <c r="G430" s="4" t="s">
        <v>25</v>
      </c>
      <c r="H430" s="4" t="s">
        <v>36</v>
      </c>
      <c r="I430" s="5">
        <v>44774</v>
      </c>
      <c r="J430" s="6">
        <v>0</v>
      </c>
      <c r="K430" s="6">
        <v>0</v>
      </c>
      <c r="L430" s="6">
        <v>7.9000000000000001E-2</v>
      </c>
      <c r="M430" s="6">
        <v>7.9000000000000001E-2</v>
      </c>
      <c r="N430" s="6">
        <v>7.9000000000000001E-2</v>
      </c>
      <c r="O430" s="6">
        <v>7.9000000000000001E-2</v>
      </c>
      <c r="P430" s="6">
        <v>0</v>
      </c>
      <c r="Q430" s="4" t="s">
        <v>26</v>
      </c>
      <c r="R430" s="4">
        <v>0</v>
      </c>
      <c r="S430" s="6">
        <v>0</v>
      </c>
      <c r="T430" s="6">
        <v>76</v>
      </c>
      <c r="U430" s="6">
        <v>54</v>
      </c>
      <c r="V430" s="6">
        <f>IF(ISERROR(VLOOKUP($S$430,'TAR FIN'!$A$1:$O$85,15,0)),0,VLOOKUP($S$430,'TAR FIN'!$A$1:$O$85,15,0))</f>
        <v>0</v>
      </c>
      <c r="W430" s="6">
        <f>IF(ISERROR(VLOOKUP($T$430,'TAR FIN'!$A$1:$O$85,15,0)),0,VLOOKUP($T$430,'TAR FIN'!$A$1:$O$85,15,0))</f>
        <v>900.63</v>
      </c>
      <c r="X430" s="6">
        <f>IF(ISERROR(VLOOKUP($U$430,'TAR FIN'!$A$1:$O$85,15,0)),0,VLOOKUP($U$430,'TAR FIN'!$A$1:$O$85,15,0))</f>
        <v>223.07</v>
      </c>
      <c r="Y430" s="6"/>
      <c r="Z430" s="6">
        <f ca="1">('TUSD BE'!$AM$46+'TUSD BF'!$AM$46+'TUSD CVA'!$AM$46)*1</f>
        <v>1287.4111034312796</v>
      </c>
      <c r="AA430" s="6">
        <f>('TE BE'!$AB$36+'TE BF'!$AB$36+'TE CVA'!$AB$36)*1</f>
        <v>77.958364182443049</v>
      </c>
      <c r="AB430" s="6">
        <f>$K$430*$V$430</f>
        <v>0</v>
      </c>
      <c r="AC430" s="6">
        <f>$M$430*$W$430</f>
        <v>71.149770000000004</v>
      </c>
      <c r="AD430" s="6">
        <f>$O$430*$X$430</f>
        <v>17.622530000000001</v>
      </c>
      <c r="AE430" s="6">
        <f>$K$430*$Y$430</f>
        <v>0</v>
      </c>
      <c r="AF430" s="6">
        <f ca="1">$M$430*$Z$430</f>
        <v>101.70547717107108</v>
      </c>
      <c r="AG430" s="6">
        <f>$O$430*$AA$430</f>
        <v>6.1587107704130011</v>
      </c>
    </row>
    <row r="431" spans="1:33" ht="11.25" customHeight="1" x14ac:dyDescent="0.3">
      <c r="A431" s="4" t="s">
        <v>21</v>
      </c>
      <c r="B431" s="4" t="s">
        <v>37</v>
      </c>
      <c r="C431" s="4" t="s">
        <v>33</v>
      </c>
      <c r="D431" s="4" t="s">
        <v>41</v>
      </c>
      <c r="E431" s="4" t="s">
        <v>25</v>
      </c>
      <c r="F431" s="4" t="s">
        <v>25</v>
      </c>
      <c r="G431" s="4" t="s">
        <v>25</v>
      </c>
      <c r="H431" s="4" t="s">
        <v>34</v>
      </c>
      <c r="I431" s="5">
        <v>44440</v>
      </c>
      <c r="J431" s="6">
        <v>0</v>
      </c>
      <c r="K431" s="6">
        <v>0</v>
      </c>
      <c r="L431" s="6">
        <v>0.09</v>
      </c>
      <c r="M431" s="6">
        <v>0.09</v>
      </c>
      <c r="N431" s="6">
        <v>0.09</v>
      </c>
      <c r="O431" s="6">
        <v>0.09</v>
      </c>
      <c r="P431" s="6">
        <v>0</v>
      </c>
      <c r="Q431" s="4" t="s">
        <v>26</v>
      </c>
      <c r="R431" s="4">
        <v>0</v>
      </c>
      <c r="S431" s="6">
        <v>0</v>
      </c>
      <c r="T431" s="6">
        <v>44</v>
      </c>
      <c r="U431" s="6">
        <v>65</v>
      </c>
      <c r="V431" s="6">
        <f>IF(ISERROR(VLOOKUP($S$431,'TAR FIN'!$A$1:$O$85,15,0)),0,VLOOKUP($S$431,'TAR FIN'!$A$1:$O$85,15,0))</f>
        <v>0</v>
      </c>
      <c r="W431" s="6">
        <f>IF(ISERROR(VLOOKUP($T$431,'TAR FIN'!$A$1:$O$85,15,0)),0,VLOOKUP($T$431,'TAR FIN'!$A$1:$O$85,15,0))</f>
        <v>1439.79</v>
      </c>
      <c r="X431" s="6">
        <f>IF(ISERROR(VLOOKUP($U$431,'TAR FIN'!$A$1:$O$85,15,0)),0,VLOOKUP($U$431,'TAR FIN'!$A$1:$O$85,15,0))</f>
        <v>223.07</v>
      </c>
      <c r="Y431" s="6"/>
      <c r="Z431" s="6">
        <f ca="1">('TUSD BE'!$AM$45+'TUSD BF'!$AM$45+'TUSD CVA'!$AM$45)*1</f>
        <v>2071.8549620118952</v>
      </c>
      <c r="AA431" s="6">
        <f>('TE BE'!$AB$35+'TE BF'!$AB$35+'TE CVA'!$AB$35)*1</f>
        <v>77.958364182443049</v>
      </c>
      <c r="AB431" s="6">
        <f>$K$431*$V$431</f>
        <v>0</v>
      </c>
      <c r="AC431" s="6">
        <f>$M$431*$W$431</f>
        <v>129.58109999999999</v>
      </c>
      <c r="AD431" s="6">
        <f>$O$431*$X$431</f>
        <v>20.0763</v>
      </c>
      <c r="AE431" s="6">
        <f>$K$431*$Y$431</f>
        <v>0</v>
      </c>
      <c r="AF431" s="6">
        <f ca="1">$M$431*$Z$431</f>
        <v>186.46694658107054</v>
      </c>
      <c r="AG431" s="6">
        <f>$O$431*$AA$431</f>
        <v>7.0162527764198739</v>
      </c>
    </row>
    <row r="432" spans="1:33" ht="11.25" customHeight="1" x14ac:dyDescent="0.3">
      <c r="A432" s="4" t="s">
        <v>21</v>
      </c>
      <c r="B432" s="4" t="s">
        <v>37</v>
      </c>
      <c r="C432" s="4" t="s">
        <v>33</v>
      </c>
      <c r="D432" s="4" t="s">
        <v>41</v>
      </c>
      <c r="E432" s="4" t="s">
        <v>25</v>
      </c>
      <c r="F432" s="4" t="s">
        <v>25</v>
      </c>
      <c r="G432" s="4" t="s">
        <v>25</v>
      </c>
      <c r="H432" s="4" t="s">
        <v>34</v>
      </c>
      <c r="I432" s="5">
        <v>44470</v>
      </c>
      <c r="J432" s="6">
        <v>0</v>
      </c>
      <c r="K432" s="6">
        <v>0</v>
      </c>
      <c r="L432" s="6">
        <v>7.9000000000000001E-2</v>
      </c>
      <c r="M432" s="6">
        <v>7.9000000000000001E-2</v>
      </c>
      <c r="N432" s="6">
        <v>7.9000000000000001E-2</v>
      </c>
      <c r="O432" s="6">
        <v>7.9000000000000001E-2</v>
      </c>
      <c r="P432" s="6">
        <v>0</v>
      </c>
      <c r="Q432" s="4" t="s">
        <v>26</v>
      </c>
      <c r="R432" s="4">
        <v>0</v>
      </c>
      <c r="S432" s="6">
        <v>0</v>
      </c>
      <c r="T432" s="6">
        <v>44</v>
      </c>
      <c r="U432" s="6">
        <v>65</v>
      </c>
      <c r="V432" s="6">
        <f>IF(ISERROR(VLOOKUP($S$432,'TAR FIN'!$A$1:$O$85,15,0)),0,VLOOKUP($S$432,'TAR FIN'!$A$1:$O$85,15,0))</f>
        <v>0</v>
      </c>
      <c r="W432" s="6">
        <f>IF(ISERROR(VLOOKUP($T$432,'TAR FIN'!$A$1:$O$85,15,0)),0,VLOOKUP($T$432,'TAR FIN'!$A$1:$O$85,15,0))</f>
        <v>1439.79</v>
      </c>
      <c r="X432" s="6">
        <f>IF(ISERROR(VLOOKUP($U$432,'TAR FIN'!$A$1:$O$85,15,0)),0,VLOOKUP($U$432,'TAR FIN'!$A$1:$O$85,15,0))</f>
        <v>223.07</v>
      </c>
      <c r="Y432" s="6"/>
      <c r="Z432" s="6">
        <f ca="1">('TUSD BE'!$AM$45+'TUSD BF'!$AM$45+'TUSD CVA'!$AM$45)*1</f>
        <v>2071.8549620118952</v>
      </c>
      <c r="AA432" s="6">
        <f>('TE BE'!$AB$35+'TE BF'!$AB$35+'TE CVA'!$AB$35)*1</f>
        <v>77.958364182443049</v>
      </c>
      <c r="AB432" s="6">
        <f>$K$432*$V$432</f>
        <v>0</v>
      </c>
      <c r="AC432" s="6">
        <f>$M$432*$W$432</f>
        <v>113.74341</v>
      </c>
      <c r="AD432" s="6">
        <f>$O$432*$X$432</f>
        <v>17.622530000000001</v>
      </c>
      <c r="AE432" s="6">
        <f>$K$432*$Y$432</f>
        <v>0</v>
      </c>
      <c r="AF432" s="6">
        <f ca="1">$M$432*$Z$432</f>
        <v>163.67654199893971</v>
      </c>
      <c r="AG432" s="6">
        <f>$O$432*$AA$432</f>
        <v>6.1587107704130011</v>
      </c>
    </row>
    <row r="433" spans="1:33" ht="11.25" customHeight="1" x14ac:dyDescent="0.3">
      <c r="A433" s="4" t="s">
        <v>21</v>
      </c>
      <c r="B433" s="4" t="s">
        <v>37</v>
      </c>
      <c r="C433" s="4" t="s">
        <v>33</v>
      </c>
      <c r="D433" s="4" t="s">
        <v>41</v>
      </c>
      <c r="E433" s="4" t="s">
        <v>25</v>
      </c>
      <c r="F433" s="4" t="s">
        <v>25</v>
      </c>
      <c r="G433" s="4" t="s">
        <v>25</v>
      </c>
      <c r="H433" s="4" t="s">
        <v>34</v>
      </c>
      <c r="I433" s="5">
        <v>44501</v>
      </c>
      <c r="J433" s="6">
        <v>0</v>
      </c>
      <c r="K433" s="6">
        <v>0</v>
      </c>
      <c r="L433" s="6">
        <v>8.7999999999999995E-2</v>
      </c>
      <c r="M433" s="6">
        <v>8.7999999999999995E-2</v>
      </c>
      <c r="N433" s="6">
        <v>8.7999999999999995E-2</v>
      </c>
      <c r="O433" s="6">
        <v>8.7999999999999995E-2</v>
      </c>
      <c r="P433" s="6">
        <v>0</v>
      </c>
      <c r="Q433" s="4" t="s">
        <v>26</v>
      </c>
      <c r="R433" s="4">
        <v>0</v>
      </c>
      <c r="S433" s="6">
        <v>0</v>
      </c>
      <c r="T433" s="6">
        <v>44</v>
      </c>
      <c r="U433" s="6">
        <v>65</v>
      </c>
      <c r="V433" s="6">
        <f>IF(ISERROR(VLOOKUP($S$433,'TAR FIN'!$A$1:$O$85,15,0)),0,VLOOKUP($S$433,'TAR FIN'!$A$1:$O$85,15,0))</f>
        <v>0</v>
      </c>
      <c r="W433" s="6">
        <f>IF(ISERROR(VLOOKUP($T$433,'TAR FIN'!$A$1:$O$85,15,0)),0,VLOOKUP($T$433,'TAR FIN'!$A$1:$O$85,15,0))</f>
        <v>1439.79</v>
      </c>
      <c r="X433" s="6">
        <f>IF(ISERROR(VLOOKUP($U$433,'TAR FIN'!$A$1:$O$85,15,0)),0,VLOOKUP($U$433,'TAR FIN'!$A$1:$O$85,15,0))</f>
        <v>223.07</v>
      </c>
      <c r="Y433" s="6"/>
      <c r="Z433" s="6">
        <f ca="1">('TUSD BE'!$AM$45+'TUSD BF'!$AM$45+'TUSD CVA'!$AM$45)*1</f>
        <v>2071.8549620118952</v>
      </c>
      <c r="AA433" s="6">
        <f>('TE BE'!$AB$35+'TE BF'!$AB$35+'TE CVA'!$AB$35)*1</f>
        <v>77.958364182443049</v>
      </c>
      <c r="AB433" s="6">
        <f>$K$433*$V$433</f>
        <v>0</v>
      </c>
      <c r="AC433" s="6">
        <f>$M$433*$W$433</f>
        <v>126.70151999999999</v>
      </c>
      <c r="AD433" s="6">
        <f>$O$433*$X$433</f>
        <v>19.630159999999997</v>
      </c>
      <c r="AE433" s="6">
        <f>$K$433*$Y$433</f>
        <v>0</v>
      </c>
      <c r="AF433" s="6">
        <f ca="1">$M$433*$Z$433</f>
        <v>182.32323665704678</v>
      </c>
      <c r="AG433" s="6">
        <f>$O$433*$AA$433</f>
        <v>6.8603360480549878</v>
      </c>
    </row>
    <row r="434" spans="1:33" ht="11.25" customHeight="1" x14ac:dyDescent="0.3">
      <c r="A434" s="4" t="s">
        <v>28</v>
      </c>
      <c r="B434" s="4" t="s">
        <v>37</v>
      </c>
      <c r="C434" s="4" t="s">
        <v>33</v>
      </c>
      <c r="D434" s="4" t="s">
        <v>41</v>
      </c>
      <c r="E434" s="4" t="s">
        <v>25</v>
      </c>
      <c r="F434" s="4" t="s">
        <v>25</v>
      </c>
      <c r="G434" s="4" t="s">
        <v>25</v>
      </c>
      <c r="H434" s="4" t="s">
        <v>34</v>
      </c>
      <c r="I434" s="5">
        <v>44501</v>
      </c>
      <c r="J434" s="6">
        <v>0</v>
      </c>
      <c r="K434" s="6">
        <v>0</v>
      </c>
      <c r="L434" s="6">
        <v>4.0000000000000001E-3</v>
      </c>
      <c r="M434" s="6">
        <v>4.0000000000000001E-3</v>
      </c>
      <c r="N434" s="6">
        <v>4.0000000000000001E-3</v>
      </c>
      <c r="O434" s="6">
        <v>4.0000000000000001E-3</v>
      </c>
      <c r="P434" s="6">
        <v>0</v>
      </c>
      <c r="Q434" s="4" t="s">
        <v>26</v>
      </c>
      <c r="R434" s="4">
        <v>0</v>
      </c>
      <c r="S434" s="6">
        <v>0</v>
      </c>
      <c r="T434" s="6">
        <v>44</v>
      </c>
      <c r="U434" s="6">
        <v>65</v>
      </c>
      <c r="V434" s="6">
        <f>IF(ISERROR(VLOOKUP($S$434,'TAR FIN'!$A$1:$O$85,15,0)),0,VLOOKUP($S$434,'TAR FIN'!$A$1:$O$85,15,0))</f>
        <v>0</v>
      </c>
      <c r="W434" s="6">
        <f>IF(ISERROR(VLOOKUP($T$434,'TAR FIN'!$A$1:$O$85,15,0)),0,VLOOKUP($T$434,'TAR FIN'!$A$1:$O$85,15,0))</f>
        <v>1439.79</v>
      </c>
      <c r="X434" s="6">
        <f>IF(ISERROR(VLOOKUP($U$434,'TAR FIN'!$A$1:$O$85,15,0)),0,VLOOKUP($U$434,'TAR FIN'!$A$1:$O$85,15,0))</f>
        <v>223.07</v>
      </c>
      <c r="Y434" s="6"/>
      <c r="Z434" s="6">
        <f ca="1">('TUSD BE'!$AM$45+'TUSD BF'!$AM$45+'TUSD CVA'!$AM$45)*1</f>
        <v>2071.8549620118952</v>
      </c>
      <c r="AA434" s="6">
        <f>('TE BE'!$AB$35+'TE BF'!$AB$35+'TE CVA'!$AB$35)*1</f>
        <v>77.958364182443049</v>
      </c>
      <c r="AB434" s="6">
        <f>$K$434*$V$434</f>
        <v>0</v>
      </c>
      <c r="AC434" s="6">
        <f>$M$434*$W$434</f>
        <v>5.7591599999999996</v>
      </c>
      <c r="AD434" s="6">
        <f>$O$434*$X$434</f>
        <v>0.89227999999999996</v>
      </c>
      <c r="AE434" s="6">
        <f>$K$434*$Y$434</f>
        <v>0</v>
      </c>
      <c r="AF434" s="6">
        <f ca="1">$M$434*$Z$434</f>
        <v>8.2874198480475805</v>
      </c>
      <c r="AG434" s="6">
        <f>$O$434*$AA$434</f>
        <v>0.3118334567297722</v>
      </c>
    </row>
    <row r="435" spans="1:33" ht="11.25" customHeight="1" x14ac:dyDescent="0.3">
      <c r="A435" s="4" t="s">
        <v>21</v>
      </c>
      <c r="B435" s="4" t="s">
        <v>37</v>
      </c>
      <c r="C435" s="4" t="s">
        <v>33</v>
      </c>
      <c r="D435" s="4" t="s">
        <v>41</v>
      </c>
      <c r="E435" s="4" t="s">
        <v>25</v>
      </c>
      <c r="F435" s="4" t="s">
        <v>25</v>
      </c>
      <c r="G435" s="4" t="s">
        <v>25</v>
      </c>
      <c r="H435" s="4" t="s">
        <v>34</v>
      </c>
      <c r="I435" s="5">
        <v>44531</v>
      </c>
      <c r="J435" s="6">
        <v>0</v>
      </c>
      <c r="K435" s="6">
        <v>0</v>
      </c>
      <c r="L435" s="6">
        <v>0.155</v>
      </c>
      <c r="M435" s="6">
        <v>0.155</v>
      </c>
      <c r="N435" s="6">
        <v>0.155</v>
      </c>
      <c r="O435" s="6">
        <v>0.155</v>
      </c>
      <c r="P435" s="6">
        <v>0</v>
      </c>
      <c r="Q435" s="4" t="s">
        <v>26</v>
      </c>
      <c r="R435" s="4">
        <v>0</v>
      </c>
      <c r="S435" s="6">
        <v>0</v>
      </c>
      <c r="T435" s="6">
        <v>44</v>
      </c>
      <c r="U435" s="6">
        <v>65</v>
      </c>
      <c r="V435" s="6">
        <f>IF(ISERROR(VLOOKUP($S$435,'TAR FIN'!$A$1:$O$85,15,0)),0,VLOOKUP($S$435,'TAR FIN'!$A$1:$O$85,15,0))</f>
        <v>0</v>
      </c>
      <c r="W435" s="6">
        <f>IF(ISERROR(VLOOKUP($T$435,'TAR FIN'!$A$1:$O$85,15,0)),0,VLOOKUP($T$435,'TAR FIN'!$A$1:$O$85,15,0))</f>
        <v>1439.79</v>
      </c>
      <c r="X435" s="6">
        <f>IF(ISERROR(VLOOKUP($U$435,'TAR FIN'!$A$1:$O$85,15,0)),0,VLOOKUP($U$435,'TAR FIN'!$A$1:$O$85,15,0))</f>
        <v>223.07</v>
      </c>
      <c r="Y435" s="6"/>
      <c r="Z435" s="6">
        <f ca="1">('TUSD BE'!$AM$45+'TUSD BF'!$AM$45+'TUSD CVA'!$AM$45)*1</f>
        <v>2071.8549620118952</v>
      </c>
      <c r="AA435" s="6">
        <f>('TE BE'!$AB$35+'TE BF'!$AB$35+'TE CVA'!$AB$35)*1</f>
        <v>77.958364182443049</v>
      </c>
      <c r="AB435" s="6">
        <f>$K$435*$V$435</f>
        <v>0</v>
      </c>
      <c r="AC435" s="6">
        <f>$M$435*$W$435</f>
        <v>223.16745</v>
      </c>
      <c r="AD435" s="6">
        <f>$O$435*$X$435</f>
        <v>34.575849999999996</v>
      </c>
      <c r="AE435" s="6">
        <f>$K$435*$Y$435</f>
        <v>0</v>
      </c>
      <c r="AF435" s="6">
        <f ca="1">$M$435*$Z$435</f>
        <v>321.13751911184374</v>
      </c>
      <c r="AG435" s="6">
        <f>$O$435*$AA$435</f>
        <v>12.083546448278673</v>
      </c>
    </row>
    <row r="436" spans="1:33" ht="11.25" customHeight="1" x14ac:dyDescent="0.3">
      <c r="A436" s="4" t="s">
        <v>21</v>
      </c>
      <c r="B436" s="4" t="s">
        <v>37</v>
      </c>
      <c r="C436" s="4" t="s">
        <v>33</v>
      </c>
      <c r="D436" s="4" t="s">
        <v>41</v>
      </c>
      <c r="E436" s="4" t="s">
        <v>25</v>
      </c>
      <c r="F436" s="4" t="s">
        <v>25</v>
      </c>
      <c r="G436" s="4" t="s">
        <v>25</v>
      </c>
      <c r="H436" s="4" t="s">
        <v>34</v>
      </c>
      <c r="I436" s="5">
        <v>44562</v>
      </c>
      <c r="J436" s="6">
        <v>0</v>
      </c>
      <c r="K436" s="6">
        <v>0</v>
      </c>
      <c r="L436" s="6">
        <v>0.21199999999999999</v>
      </c>
      <c r="M436" s="6">
        <v>0.21199999999999999</v>
      </c>
      <c r="N436" s="6">
        <v>0.21199999999999999</v>
      </c>
      <c r="O436" s="6">
        <v>0.21199999999999999</v>
      </c>
      <c r="P436" s="6">
        <v>0</v>
      </c>
      <c r="Q436" s="4" t="s">
        <v>26</v>
      </c>
      <c r="R436" s="4">
        <v>0</v>
      </c>
      <c r="S436" s="6">
        <v>0</v>
      </c>
      <c r="T436" s="6">
        <v>44</v>
      </c>
      <c r="U436" s="6">
        <v>65</v>
      </c>
      <c r="V436" s="6">
        <f>IF(ISERROR(VLOOKUP($S$436,'TAR FIN'!$A$1:$O$85,15,0)),0,VLOOKUP($S$436,'TAR FIN'!$A$1:$O$85,15,0))</f>
        <v>0</v>
      </c>
      <c r="W436" s="6">
        <f>IF(ISERROR(VLOOKUP($T$436,'TAR FIN'!$A$1:$O$85,15,0)),0,VLOOKUP($T$436,'TAR FIN'!$A$1:$O$85,15,0))</f>
        <v>1439.79</v>
      </c>
      <c r="X436" s="6">
        <f>IF(ISERROR(VLOOKUP($U$436,'TAR FIN'!$A$1:$O$85,15,0)),0,VLOOKUP($U$436,'TAR FIN'!$A$1:$O$85,15,0))</f>
        <v>223.07</v>
      </c>
      <c r="Y436" s="6"/>
      <c r="Z436" s="6">
        <f ca="1">('TUSD BE'!$AM$45+'TUSD BF'!$AM$45+'TUSD CVA'!$AM$45)*1</f>
        <v>2071.8549620118952</v>
      </c>
      <c r="AA436" s="6">
        <f>('TE BE'!$AB$35+'TE BF'!$AB$35+'TE CVA'!$AB$35)*1</f>
        <v>77.958364182443049</v>
      </c>
      <c r="AB436" s="6">
        <f>$K$436*$V$436</f>
        <v>0</v>
      </c>
      <c r="AC436" s="6">
        <f>$M$436*$W$436</f>
        <v>305.23548</v>
      </c>
      <c r="AD436" s="6">
        <f>$O$436*$X$436</f>
        <v>47.290839999999996</v>
      </c>
      <c r="AE436" s="6">
        <f>$K$436*$Y$436</f>
        <v>0</v>
      </c>
      <c r="AF436" s="6">
        <f ca="1">$M$436*$Z$436</f>
        <v>439.23325194652176</v>
      </c>
      <c r="AG436" s="6">
        <f>$O$436*$AA$436</f>
        <v>16.527173206677926</v>
      </c>
    </row>
    <row r="437" spans="1:33" ht="11.25" customHeight="1" x14ac:dyDescent="0.3">
      <c r="A437" s="4" t="s">
        <v>21</v>
      </c>
      <c r="B437" s="4" t="s">
        <v>37</v>
      </c>
      <c r="C437" s="4" t="s">
        <v>33</v>
      </c>
      <c r="D437" s="4" t="s">
        <v>41</v>
      </c>
      <c r="E437" s="4" t="s">
        <v>25</v>
      </c>
      <c r="F437" s="4" t="s">
        <v>25</v>
      </c>
      <c r="G437" s="4" t="s">
        <v>25</v>
      </c>
      <c r="H437" s="4" t="s">
        <v>34</v>
      </c>
      <c r="I437" s="5">
        <v>44593</v>
      </c>
      <c r="J437" s="6">
        <v>0</v>
      </c>
      <c r="K437" s="6">
        <v>0</v>
      </c>
      <c r="L437" s="6">
        <v>0.245</v>
      </c>
      <c r="M437" s="6">
        <v>0.245</v>
      </c>
      <c r="N437" s="6">
        <v>0.245</v>
      </c>
      <c r="O437" s="6">
        <v>0.245</v>
      </c>
      <c r="P437" s="6">
        <v>0</v>
      </c>
      <c r="Q437" s="4" t="s">
        <v>26</v>
      </c>
      <c r="R437" s="4">
        <v>0</v>
      </c>
      <c r="S437" s="6">
        <v>0</v>
      </c>
      <c r="T437" s="6">
        <v>44</v>
      </c>
      <c r="U437" s="6">
        <v>65</v>
      </c>
      <c r="V437" s="6">
        <f>IF(ISERROR(VLOOKUP($S$437,'TAR FIN'!$A$1:$O$85,15,0)),0,VLOOKUP($S$437,'TAR FIN'!$A$1:$O$85,15,0))</f>
        <v>0</v>
      </c>
      <c r="W437" s="6">
        <f>IF(ISERROR(VLOOKUP($T$437,'TAR FIN'!$A$1:$O$85,15,0)),0,VLOOKUP($T$437,'TAR FIN'!$A$1:$O$85,15,0))</f>
        <v>1439.79</v>
      </c>
      <c r="X437" s="6">
        <f>IF(ISERROR(VLOOKUP($U$437,'TAR FIN'!$A$1:$O$85,15,0)),0,VLOOKUP($U$437,'TAR FIN'!$A$1:$O$85,15,0))</f>
        <v>223.07</v>
      </c>
      <c r="Y437" s="6"/>
      <c r="Z437" s="6">
        <f ca="1">('TUSD BE'!$AM$45+'TUSD BF'!$AM$45+'TUSD CVA'!$AM$45)*1</f>
        <v>2071.8549620118952</v>
      </c>
      <c r="AA437" s="6">
        <f>('TE BE'!$AB$35+'TE BF'!$AB$35+'TE CVA'!$AB$35)*1</f>
        <v>77.958364182443049</v>
      </c>
      <c r="AB437" s="6">
        <f>$K$437*$V$437</f>
        <v>0</v>
      </c>
      <c r="AC437" s="6">
        <f>$M$437*$W$437</f>
        <v>352.74854999999997</v>
      </c>
      <c r="AD437" s="6">
        <f>$O$437*$X$437</f>
        <v>54.652149999999999</v>
      </c>
      <c r="AE437" s="6">
        <f>$K$437*$Y$437</f>
        <v>0</v>
      </c>
      <c r="AF437" s="6">
        <f ca="1">$M$437*$Z$437</f>
        <v>507.60446569291429</v>
      </c>
      <c r="AG437" s="6">
        <f>$O$437*$AA$437</f>
        <v>19.099799224698547</v>
      </c>
    </row>
    <row r="438" spans="1:33" ht="11.25" customHeight="1" x14ac:dyDescent="0.3">
      <c r="A438" s="4" t="s">
        <v>21</v>
      </c>
      <c r="B438" s="4" t="s">
        <v>37</v>
      </c>
      <c r="C438" s="4" t="s">
        <v>33</v>
      </c>
      <c r="D438" s="4" t="s">
        <v>41</v>
      </c>
      <c r="E438" s="4" t="s">
        <v>25</v>
      </c>
      <c r="F438" s="4" t="s">
        <v>25</v>
      </c>
      <c r="G438" s="4" t="s">
        <v>25</v>
      </c>
      <c r="H438" s="4" t="s">
        <v>34</v>
      </c>
      <c r="I438" s="5">
        <v>44621</v>
      </c>
      <c r="J438" s="6">
        <v>0</v>
      </c>
      <c r="K438" s="6">
        <v>0</v>
      </c>
      <c r="L438" s="6">
        <v>0.19400000000000001</v>
      </c>
      <c r="M438" s="6">
        <v>0.19400000000000001</v>
      </c>
      <c r="N438" s="6">
        <v>0.19400000000000001</v>
      </c>
      <c r="O438" s="6">
        <v>0.19400000000000001</v>
      </c>
      <c r="P438" s="6">
        <v>0</v>
      </c>
      <c r="Q438" s="4" t="s">
        <v>26</v>
      </c>
      <c r="R438" s="4">
        <v>0</v>
      </c>
      <c r="S438" s="6">
        <v>0</v>
      </c>
      <c r="T438" s="6">
        <v>44</v>
      </c>
      <c r="U438" s="6">
        <v>65</v>
      </c>
      <c r="V438" s="6">
        <f>IF(ISERROR(VLOOKUP($S$438,'TAR FIN'!$A$1:$O$85,15,0)),0,VLOOKUP($S$438,'TAR FIN'!$A$1:$O$85,15,0))</f>
        <v>0</v>
      </c>
      <c r="W438" s="6">
        <f>IF(ISERROR(VLOOKUP($T$438,'TAR FIN'!$A$1:$O$85,15,0)),0,VLOOKUP($T$438,'TAR FIN'!$A$1:$O$85,15,0))</f>
        <v>1439.79</v>
      </c>
      <c r="X438" s="6">
        <f>IF(ISERROR(VLOOKUP($U$438,'TAR FIN'!$A$1:$O$85,15,0)),0,VLOOKUP($U$438,'TAR FIN'!$A$1:$O$85,15,0))</f>
        <v>223.07</v>
      </c>
      <c r="Y438" s="6"/>
      <c r="Z438" s="6">
        <f ca="1">('TUSD BE'!$AM$45+'TUSD BF'!$AM$45+'TUSD CVA'!$AM$45)*1</f>
        <v>2071.8549620118952</v>
      </c>
      <c r="AA438" s="6">
        <f>('TE BE'!$AB$35+'TE BF'!$AB$35+'TE CVA'!$AB$35)*1</f>
        <v>77.958364182443049</v>
      </c>
      <c r="AB438" s="6">
        <f>$K$438*$V$438</f>
        <v>0</v>
      </c>
      <c r="AC438" s="6">
        <f>$M$438*$W$438</f>
        <v>279.31925999999999</v>
      </c>
      <c r="AD438" s="6">
        <f>$O$438*$X$438</f>
        <v>43.275579999999998</v>
      </c>
      <c r="AE438" s="6">
        <f>$K$438*$Y$438</f>
        <v>0</v>
      </c>
      <c r="AF438" s="6">
        <f ca="1">$M$438*$Z$438</f>
        <v>401.93986263030769</v>
      </c>
      <c r="AG438" s="6">
        <f>$O$438*$AA$438</f>
        <v>15.123922651393952</v>
      </c>
    </row>
    <row r="439" spans="1:33" ht="11.25" customHeight="1" x14ac:dyDescent="0.3">
      <c r="A439" s="4" t="s">
        <v>28</v>
      </c>
      <c r="B439" s="4" t="s">
        <v>37</v>
      </c>
      <c r="C439" s="4" t="s">
        <v>33</v>
      </c>
      <c r="D439" s="4" t="s">
        <v>41</v>
      </c>
      <c r="E439" s="4" t="s">
        <v>25</v>
      </c>
      <c r="F439" s="4" t="s">
        <v>25</v>
      </c>
      <c r="G439" s="4" t="s">
        <v>25</v>
      </c>
      <c r="H439" s="4" t="s">
        <v>34</v>
      </c>
      <c r="I439" s="5">
        <v>44621</v>
      </c>
      <c r="J439" s="6">
        <v>0</v>
      </c>
      <c r="K439" s="6">
        <v>0</v>
      </c>
      <c r="L439" s="6">
        <v>7.2999999999999995E-2</v>
      </c>
      <c r="M439" s="6">
        <v>7.2999999999999995E-2</v>
      </c>
      <c r="N439" s="6">
        <v>7.2999999999999995E-2</v>
      </c>
      <c r="O439" s="6">
        <v>7.2999999999999995E-2</v>
      </c>
      <c r="P439" s="6">
        <v>0</v>
      </c>
      <c r="Q439" s="4" t="s">
        <v>26</v>
      </c>
      <c r="R439" s="4">
        <v>0</v>
      </c>
      <c r="S439" s="6">
        <v>0</v>
      </c>
      <c r="T439" s="6">
        <v>44</v>
      </c>
      <c r="U439" s="6">
        <v>65</v>
      </c>
      <c r="V439" s="6">
        <f>IF(ISERROR(VLOOKUP($S$439,'TAR FIN'!$A$1:$O$85,15,0)),0,VLOOKUP($S$439,'TAR FIN'!$A$1:$O$85,15,0))</f>
        <v>0</v>
      </c>
      <c r="W439" s="6">
        <f>IF(ISERROR(VLOOKUP($T$439,'TAR FIN'!$A$1:$O$85,15,0)),0,VLOOKUP($T$439,'TAR FIN'!$A$1:$O$85,15,0))</f>
        <v>1439.79</v>
      </c>
      <c r="X439" s="6">
        <f>IF(ISERROR(VLOOKUP($U$439,'TAR FIN'!$A$1:$O$85,15,0)),0,VLOOKUP($U$439,'TAR FIN'!$A$1:$O$85,15,0))</f>
        <v>223.07</v>
      </c>
      <c r="Y439" s="6"/>
      <c r="Z439" s="6">
        <f ca="1">('TUSD BE'!$AM$45+'TUSD BF'!$AM$45+'TUSD CVA'!$AM$45)*1</f>
        <v>2071.8549620118952</v>
      </c>
      <c r="AA439" s="6">
        <f>('TE BE'!$AB$35+'TE BF'!$AB$35+'TE CVA'!$AB$35)*1</f>
        <v>77.958364182443049</v>
      </c>
      <c r="AB439" s="6">
        <f>$K$439*$V$439</f>
        <v>0</v>
      </c>
      <c r="AC439" s="6">
        <f>$M$439*$W$439</f>
        <v>105.10466999999998</v>
      </c>
      <c r="AD439" s="6">
        <f>$O$439*$X$439</f>
        <v>16.284109999999998</v>
      </c>
      <c r="AE439" s="6">
        <f>$K$439*$Y$439</f>
        <v>0</v>
      </c>
      <c r="AF439" s="6">
        <f ca="1">$M$439*$Z$439</f>
        <v>151.24541222686832</v>
      </c>
      <c r="AG439" s="6">
        <f>$O$439*$AA$439</f>
        <v>5.6909605853183418</v>
      </c>
    </row>
    <row r="440" spans="1:33" ht="11.25" customHeight="1" x14ac:dyDescent="0.3">
      <c r="A440" s="4" t="s">
        <v>21</v>
      </c>
      <c r="B440" s="4" t="s">
        <v>37</v>
      </c>
      <c r="C440" s="4" t="s">
        <v>33</v>
      </c>
      <c r="D440" s="4" t="s">
        <v>41</v>
      </c>
      <c r="E440" s="4" t="s">
        <v>25</v>
      </c>
      <c r="F440" s="4" t="s">
        <v>25</v>
      </c>
      <c r="G440" s="4" t="s">
        <v>25</v>
      </c>
      <c r="H440" s="4" t="s">
        <v>34</v>
      </c>
      <c r="I440" s="5">
        <v>44652</v>
      </c>
      <c r="J440" s="6">
        <v>0</v>
      </c>
      <c r="K440" s="6">
        <v>0</v>
      </c>
      <c r="L440" s="6">
        <v>0.193</v>
      </c>
      <c r="M440" s="6">
        <v>0.193</v>
      </c>
      <c r="N440" s="6">
        <v>0.193</v>
      </c>
      <c r="O440" s="6">
        <v>0.193</v>
      </c>
      <c r="P440" s="6">
        <v>0</v>
      </c>
      <c r="Q440" s="4" t="s">
        <v>26</v>
      </c>
      <c r="R440" s="4">
        <v>0</v>
      </c>
      <c r="S440" s="6">
        <v>0</v>
      </c>
      <c r="T440" s="6">
        <v>44</v>
      </c>
      <c r="U440" s="6">
        <v>65</v>
      </c>
      <c r="V440" s="6">
        <f>IF(ISERROR(VLOOKUP($S$440,'TAR FIN'!$A$1:$O$85,15,0)),0,VLOOKUP($S$440,'TAR FIN'!$A$1:$O$85,15,0))</f>
        <v>0</v>
      </c>
      <c r="W440" s="6">
        <f>IF(ISERROR(VLOOKUP($T$440,'TAR FIN'!$A$1:$O$85,15,0)),0,VLOOKUP($T$440,'TAR FIN'!$A$1:$O$85,15,0))</f>
        <v>1439.79</v>
      </c>
      <c r="X440" s="6">
        <f>IF(ISERROR(VLOOKUP($U$440,'TAR FIN'!$A$1:$O$85,15,0)),0,VLOOKUP($U$440,'TAR FIN'!$A$1:$O$85,15,0))</f>
        <v>223.07</v>
      </c>
      <c r="Y440" s="6"/>
      <c r="Z440" s="6">
        <f ca="1">('TUSD BE'!$AM$45+'TUSD BF'!$AM$45+'TUSD CVA'!$AM$45)*1</f>
        <v>2071.8549620118952</v>
      </c>
      <c r="AA440" s="6">
        <f>('TE BE'!$AB$35+'TE BF'!$AB$35+'TE CVA'!$AB$35)*1</f>
        <v>77.958364182443049</v>
      </c>
      <c r="AB440" s="6">
        <f>$K$440*$V$440</f>
        <v>0</v>
      </c>
      <c r="AC440" s="6">
        <f>$M$440*$W$440</f>
        <v>277.87947000000003</v>
      </c>
      <c r="AD440" s="6">
        <f>$O$440*$X$440</f>
        <v>43.052509999999998</v>
      </c>
      <c r="AE440" s="6">
        <f>$K$440*$Y$440</f>
        <v>0</v>
      </c>
      <c r="AF440" s="6">
        <f ca="1">$M$440*$Z$440</f>
        <v>399.86800766829577</v>
      </c>
      <c r="AG440" s="6">
        <f>$O$440*$AA$440</f>
        <v>15.045964287211509</v>
      </c>
    </row>
    <row r="441" spans="1:33" ht="11.25" customHeight="1" x14ac:dyDescent="0.3">
      <c r="A441" s="4" t="s">
        <v>28</v>
      </c>
      <c r="B441" s="4" t="s">
        <v>37</v>
      </c>
      <c r="C441" s="4" t="s">
        <v>33</v>
      </c>
      <c r="D441" s="4" t="s">
        <v>41</v>
      </c>
      <c r="E441" s="4" t="s">
        <v>25</v>
      </c>
      <c r="F441" s="4" t="s">
        <v>25</v>
      </c>
      <c r="G441" s="4" t="s">
        <v>25</v>
      </c>
      <c r="H441" s="4" t="s">
        <v>34</v>
      </c>
      <c r="I441" s="5">
        <v>44652</v>
      </c>
      <c r="J441" s="6">
        <v>0</v>
      </c>
      <c r="K441" s="6">
        <v>0</v>
      </c>
      <c r="L441" s="6">
        <v>3.7999999999999999E-2</v>
      </c>
      <c r="M441" s="6">
        <v>3.7999999999999999E-2</v>
      </c>
      <c r="N441" s="6">
        <v>3.7999999999999999E-2</v>
      </c>
      <c r="O441" s="6">
        <v>3.7999999999999999E-2</v>
      </c>
      <c r="P441" s="6">
        <v>0</v>
      </c>
      <c r="Q441" s="4" t="s">
        <v>26</v>
      </c>
      <c r="R441" s="4">
        <v>0</v>
      </c>
      <c r="S441" s="6">
        <v>0</v>
      </c>
      <c r="T441" s="6">
        <v>44</v>
      </c>
      <c r="U441" s="6">
        <v>65</v>
      </c>
      <c r="V441" s="6">
        <f>IF(ISERROR(VLOOKUP($S$441,'TAR FIN'!$A$1:$O$85,15,0)),0,VLOOKUP($S$441,'TAR FIN'!$A$1:$O$85,15,0))</f>
        <v>0</v>
      </c>
      <c r="W441" s="6">
        <f>IF(ISERROR(VLOOKUP($T$441,'TAR FIN'!$A$1:$O$85,15,0)),0,VLOOKUP($T$441,'TAR FIN'!$A$1:$O$85,15,0))</f>
        <v>1439.79</v>
      </c>
      <c r="X441" s="6">
        <f>IF(ISERROR(VLOOKUP($U$441,'TAR FIN'!$A$1:$O$85,15,0)),0,VLOOKUP($U$441,'TAR FIN'!$A$1:$O$85,15,0))</f>
        <v>223.07</v>
      </c>
      <c r="Y441" s="6"/>
      <c r="Z441" s="6">
        <f ca="1">('TUSD BE'!$AM$45+'TUSD BF'!$AM$45+'TUSD CVA'!$AM$45)*1</f>
        <v>2071.8549620118952</v>
      </c>
      <c r="AA441" s="6">
        <f>('TE BE'!$AB$35+'TE BF'!$AB$35+'TE CVA'!$AB$35)*1</f>
        <v>77.958364182443049</v>
      </c>
      <c r="AB441" s="6">
        <f>$K$441*$V$441</f>
        <v>0</v>
      </c>
      <c r="AC441" s="6">
        <f>$M$441*$W$441</f>
        <v>54.712019999999995</v>
      </c>
      <c r="AD441" s="6">
        <f>$O$441*$X$441</f>
        <v>8.476659999999999</v>
      </c>
      <c r="AE441" s="6">
        <f>$K$441*$Y$441</f>
        <v>0</v>
      </c>
      <c r="AF441" s="6">
        <f ca="1">$M$441*$Z$441</f>
        <v>78.730488556452016</v>
      </c>
      <c r="AG441" s="6">
        <f>$O$441*$AA$441</f>
        <v>2.9624178389328359</v>
      </c>
    </row>
    <row r="442" spans="1:33" ht="11.25" customHeight="1" x14ac:dyDescent="0.3">
      <c r="A442" s="4" t="s">
        <v>21</v>
      </c>
      <c r="B442" s="4" t="s">
        <v>37</v>
      </c>
      <c r="C442" s="4" t="s">
        <v>33</v>
      </c>
      <c r="D442" s="4" t="s">
        <v>41</v>
      </c>
      <c r="E442" s="4" t="s">
        <v>25</v>
      </c>
      <c r="F442" s="4" t="s">
        <v>25</v>
      </c>
      <c r="G442" s="4" t="s">
        <v>25</v>
      </c>
      <c r="H442" s="4" t="s">
        <v>34</v>
      </c>
      <c r="I442" s="5">
        <v>44682</v>
      </c>
      <c r="J442" s="6">
        <v>0</v>
      </c>
      <c r="K442" s="6">
        <v>0</v>
      </c>
      <c r="L442" s="6">
        <v>0.215</v>
      </c>
      <c r="M442" s="6">
        <v>0.215</v>
      </c>
      <c r="N442" s="6">
        <v>0.215</v>
      </c>
      <c r="O442" s="6">
        <v>0.215</v>
      </c>
      <c r="P442" s="6">
        <v>0</v>
      </c>
      <c r="Q442" s="4" t="s">
        <v>26</v>
      </c>
      <c r="R442" s="4">
        <v>0</v>
      </c>
      <c r="S442" s="6">
        <v>0</v>
      </c>
      <c r="T442" s="6">
        <v>44</v>
      </c>
      <c r="U442" s="6">
        <v>65</v>
      </c>
      <c r="V442" s="6">
        <f>IF(ISERROR(VLOOKUP($S$442,'TAR FIN'!$A$1:$O$85,15,0)),0,VLOOKUP($S$442,'TAR FIN'!$A$1:$O$85,15,0))</f>
        <v>0</v>
      </c>
      <c r="W442" s="6">
        <f>IF(ISERROR(VLOOKUP($T$442,'TAR FIN'!$A$1:$O$85,15,0)),0,VLOOKUP($T$442,'TAR FIN'!$A$1:$O$85,15,0))</f>
        <v>1439.79</v>
      </c>
      <c r="X442" s="6">
        <f>IF(ISERROR(VLOOKUP($U$442,'TAR FIN'!$A$1:$O$85,15,0)),0,VLOOKUP($U$442,'TAR FIN'!$A$1:$O$85,15,0))</f>
        <v>223.07</v>
      </c>
      <c r="Y442" s="6"/>
      <c r="Z442" s="6">
        <f ca="1">('TUSD BE'!$AM$45+'TUSD BF'!$AM$45+'TUSD CVA'!$AM$45)*1</f>
        <v>2071.8549620118952</v>
      </c>
      <c r="AA442" s="6">
        <f>('TE BE'!$AB$35+'TE BF'!$AB$35+'TE CVA'!$AB$35)*1</f>
        <v>77.958364182443049</v>
      </c>
      <c r="AB442" s="6">
        <f>$K$442*$V$442</f>
        <v>0</v>
      </c>
      <c r="AC442" s="6">
        <f>$M$442*$W$442</f>
        <v>309.55484999999999</v>
      </c>
      <c r="AD442" s="6">
        <f>$O$442*$X$442</f>
        <v>47.960049999999995</v>
      </c>
      <c r="AE442" s="6">
        <f>$K$442*$Y$442</f>
        <v>0</v>
      </c>
      <c r="AF442" s="6">
        <f ca="1">$M$442*$Z$442</f>
        <v>445.44881683255744</v>
      </c>
      <c r="AG442" s="6">
        <f>$O$442*$AA$442</f>
        <v>16.761048299225255</v>
      </c>
    </row>
    <row r="443" spans="1:33" ht="11.25" customHeight="1" x14ac:dyDescent="0.3">
      <c r="A443" s="4" t="s">
        <v>21</v>
      </c>
      <c r="B443" s="4" t="s">
        <v>37</v>
      </c>
      <c r="C443" s="4" t="s">
        <v>33</v>
      </c>
      <c r="D443" s="4" t="s">
        <v>41</v>
      </c>
      <c r="E443" s="4" t="s">
        <v>25</v>
      </c>
      <c r="F443" s="4" t="s">
        <v>25</v>
      </c>
      <c r="G443" s="4" t="s">
        <v>25</v>
      </c>
      <c r="H443" s="4" t="s">
        <v>34</v>
      </c>
      <c r="I443" s="5">
        <v>44713</v>
      </c>
      <c r="J443" s="6">
        <v>0</v>
      </c>
      <c r="K443" s="6">
        <v>0</v>
      </c>
      <c r="L443" s="6">
        <v>0.14899999999999999</v>
      </c>
      <c r="M443" s="6">
        <v>0.14899999999999999</v>
      </c>
      <c r="N443" s="6">
        <v>0.14899999999999999</v>
      </c>
      <c r="O443" s="6">
        <v>0.14899999999999999</v>
      </c>
      <c r="P443" s="6">
        <v>0</v>
      </c>
      <c r="Q443" s="4" t="s">
        <v>26</v>
      </c>
      <c r="R443" s="4">
        <v>0</v>
      </c>
      <c r="S443" s="6">
        <v>0</v>
      </c>
      <c r="T443" s="6">
        <v>44</v>
      </c>
      <c r="U443" s="6">
        <v>65</v>
      </c>
      <c r="V443" s="6">
        <f>IF(ISERROR(VLOOKUP($S$443,'TAR FIN'!$A$1:$O$85,15,0)),0,VLOOKUP($S$443,'TAR FIN'!$A$1:$O$85,15,0))</f>
        <v>0</v>
      </c>
      <c r="W443" s="6">
        <f>IF(ISERROR(VLOOKUP($T$443,'TAR FIN'!$A$1:$O$85,15,0)),0,VLOOKUP($T$443,'TAR FIN'!$A$1:$O$85,15,0))</f>
        <v>1439.79</v>
      </c>
      <c r="X443" s="6">
        <f>IF(ISERROR(VLOOKUP($U$443,'TAR FIN'!$A$1:$O$85,15,0)),0,VLOOKUP($U$443,'TAR FIN'!$A$1:$O$85,15,0))</f>
        <v>223.07</v>
      </c>
      <c r="Y443" s="6"/>
      <c r="Z443" s="6">
        <f ca="1">('TUSD BE'!$AM$45+'TUSD BF'!$AM$45+'TUSD CVA'!$AM$45)*1</f>
        <v>2071.8549620118952</v>
      </c>
      <c r="AA443" s="6">
        <f>('TE BE'!$AB$35+'TE BF'!$AB$35+'TE CVA'!$AB$35)*1</f>
        <v>77.958364182443049</v>
      </c>
      <c r="AB443" s="6">
        <f>$K$443*$V$443</f>
        <v>0</v>
      </c>
      <c r="AC443" s="6">
        <f>$M$443*$W$443</f>
        <v>214.52870999999999</v>
      </c>
      <c r="AD443" s="6">
        <f>$O$443*$X$443</f>
        <v>33.237429999999996</v>
      </c>
      <c r="AE443" s="6">
        <f>$K$443*$Y$443</f>
        <v>0</v>
      </c>
      <c r="AF443" s="6">
        <f ca="1">$M$443*$Z$443</f>
        <v>308.70638933977239</v>
      </c>
      <c r="AG443" s="6">
        <f>$O$443*$AA$443</f>
        <v>11.615796263184015</v>
      </c>
    </row>
    <row r="444" spans="1:33" ht="11.25" customHeight="1" x14ac:dyDescent="0.3">
      <c r="A444" s="4" t="s">
        <v>28</v>
      </c>
      <c r="B444" s="4" t="s">
        <v>37</v>
      </c>
      <c r="C444" s="4" t="s">
        <v>33</v>
      </c>
      <c r="D444" s="4" t="s">
        <v>41</v>
      </c>
      <c r="E444" s="4" t="s">
        <v>25</v>
      </c>
      <c r="F444" s="4" t="s">
        <v>25</v>
      </c>
      <c r="G444" s="4" t="s">
        <v>25</v>
      </c>
      <c r="H444" s="4" t="s">
        <v>34</v>
      </c>
      <c r="I444" s="5">
        <v>44713</v>
      </c>
      <c r="J444" s="6">
        <v>0</v>
      </c>
      <c r="K444" s="6">
        <v>0</v>
      </c>
      <c r="L444" s="6">
        <v>3.3000000000000002E-2</v>
      </c>
      <c r="M444" s="6">
        <v>3.3000000000000002E-2</v>
      </c>
      <c r="N444" s="6">
        <v>3.3000000000000002E-2</v>
      </c>
      <c r="O444" s="6">
        <v>3.3000000000000002E-2</v>
      </c>
      <c r="P444" s="6">
        <v>0</v>
      </c>
      <c r="Q444" s="4" t="s">
        <v>26</v>
      </c>
      <c r="R444" s="4">
        <v>0</v>
      </c>
      <c r="S444" s="6">
        <v>0</v>
      </c>
      <c r="T444" s="6">
        <v>44</v>
      </c>
      <c r="U444" s="6">
        <v>65</v>
      </c>
      <c r="V444" s="6">
        <f>IF(ISERROR(VLOOKUP($S$444,'TAR FIN'!$A$1:$O$85,15,0)),0,VLOOKUP($S$444,'TAR FIN'!$A$1:$O$85,15,0))</f>
        <v>0</v>
      </c>
      <c r="W444" s="6">
        <f>IF(ISERROR(VLOOKUP($T$444,'TAR FIN'!$A$1:$O$85,15,0)),0,VLOOKUP($T$444,'TAR FIN'!$A$1:$O$85,15,0))</f>
        <v>1439.79</v>
      </c>
      <c r="X444" s="6">
        <f>IF(ISERROR(VLOOKUP($U$444,'TAR FIN'!$A$1:$O$85,15,0)),0,VLOOKUP($U$444,'TAR FIN'!$A$1:$O$85,15,0))</f>
        <v>223.07</v>
      </c>
      <c r="Y444" s="6"/>
      <c r="Z444" s="6">
        <f ca="1">('TUSD BE'!$AM$45+'TUSD BF'!$AM$45+'TUSD CVA'!$AM$45)*1</f>
        <v>2071.8549620118952</v>
      </c>
      <c r="AA444" s="6">
        <f>('TE BE'!$AB$35+'TE BF'!$AB$35+'TE CVA'!$AB$35)*1</f>
        <v>77.958364182443049</v>
      </c>
      <c r="AB444" s="6">
        <f>$K$444*$V$444</f>
        <v>0</v>
      </c>
      <c r="AC444" s="6">
        <f>$M$444*$W$444</f>
        <v>47.513069999999999</v>
      </c>
      <c r="AD444" s="6">
        <f>$O$444*$X$444</f>
        <v>7.3613100000000005</v>
      </c>
      <c r="AE444" s="6">
        <f>$K$444*$Y$444</f>
        <v>0</v>
      </c>
      <c r="AF444" s="6">
        <f ca="1">$M$444*$Z$444</f>
        <v>68.371213746392542</v>
      </c>
      <c r="AG444" s="6">
        <f>$O$444*$AA$444</f>
        <v>2.5726260180206206</v>
      </c>
    </row>
    <row r="445" spans="1:33" ht="11.25" customHeight="1" x14ac:dyDescent="0.3">
      <c r="A445" s="4" t="s">
        <v>21</v>
      </c>
      <c r="B445" s="4" t="s">
        <v>37</v>
      </c>
      <c r="C445" s="4" t="s">
        <v>33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34</v>
      </c>
      <c r="I445" s="5">
        <v>44743</v>
      </c>
      <c r="J445" s="6">
        <v>0</v>
      </c>
      <c r="K445" s="6">
        <v>0</v>
      </c>
      <c r="L445" s="6">
        <v>3.1E-2</v>
      </c>
      <c r="M445" s="6">
        <v>3.1E-2</v>
      </c>
      <c r="N445" s="6">
        <v>3.1E-2</v>
      </c>
      <c r="O445" s="6">
        <v>3.1E-2</v>
      </c>
      <c r="P445" s="6">
        <v>0</v>
      </c>
      <c r="Q445" s="4" t="s">
        <v>26</v>
      </c>
      <c r="R445" s="4">
        <v>0</v>
      </c>
      <c r="S445" s="6">
        <v>0</v>
      </c>
      <c r="T445" s="6">
        <v>44</v>
      </c>
      <c r="U445" s="6">
        <v>65</v>
      </c>
      <c r="V445" s="6">
        <f>IF(ISERROR(VLOOKUP($S$445,'TAR FIN'!$A$1:$O$85,15,0)),0,VLOOKUP($S$445,'TAR FIN'!$A$1:$O$85,15,0))</f>
        <v>0</v>
      </c>
      <c r="W445" s="6">
        <f>IF(ISERROR(VLOOKUP($T$445,'TAR FIN'!$A$1:$O$85,15,0)),0,VLOOKUP($T$445,'TAR FIN'!$A$1:$O$85,15,0))</f>
        <v>1439.79</v>
      </c>
      <c r="X445" s="6">
        <f>IF(ISERROR(VLOOKUP($U$445,'TAR FIN'!$A$1:$O$85,15,0)),0,VLOOKUP($U$445,'TAR FIN'!$A$1:$O$85,15,0))</f>
        <v>223.07</v>
      </c>
      <c r="Y445" s="6"/>
      <c r="Z445" s="6">
        <f ca="1">('TUSD BE'!$AM$45+'TUSD BF'!$AM$45+'TUSD CVA'!$AM$45)*1</f>
        <v>2071.8549620118952</v>
      </c>
      <c r="AA445" s="6">
        <f>('TE BE'!$AB$35+'TE BF'!$AB$35+'TE CVA'!$AB$35)*1</f>
        <v>77.958364182443049</v>
      </c>
      <c r="AB445" s="6">
        <f>$K$445*$V$445</f>
        <v>0</v>
      </c>
      <c r="AC445" s="6">
        <f>$M$445*$W$445</f>
        <v>44.633490000000002</v>
      </c>
      <c r="AD445" s="6">
        <f>$O$445*$X$445</f>
        <v>6.9151699999999998</v>
      </c>
      <c r="AE445" s="6">
        <f>$K$445*$Y$445</f>
        <v>0</v>
      </c>
      <c r="AF445" s="6">
        <f ca="1">$M$445*$Z$445</f>
        <v>64.227503822368746</v>
      </c>
      <c r="AG445" s="6">
        <f>$O$445*$AA$445</f>
        <v>2.4167092896557345</v>
      </c>
    </row>
    <row r="446" spans="1:33" ht="11.25" customHeight="1" x14ac:dyDescent="0.3">
      <c r="A446" s="4" t="s">
        <v>28</v>
      </c>
      <c r="B446" s="4" t="s">
        <v>37</v>
      </c>
      <c r="C446" s="4" t="s">
        <v>33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34</v>
      </c>
      <c r="I446" s="5">
        <v>44743</v>
      </c>
      <c r="J446" s="6">
        <v>0</v>
      </c>
      <c r="K446" s="6">
        <v>0</v>
      </c>
      <c r="L446" s="6">
        <v>2.5999999999999999E-2</v>
      </c>
      <c r="M446" s="6">
        <v>2.5999999999999999E-2</v>
      </c>
      <c r="N446" s="6">
        <v>2.5999999999999999E-2</v>
      </c>
      <c r="O446" s="6">
        <v>2.5999999999999999E-2</v>
      </c>
      <c r="P446" s="6">
        <v>0</v>
      </c>
      <c r="Q446" s="4" t="s">
        <v>26</v>
      </c>
      <c r="R446" s="4">
        <v>0</v>
      </c>
      <c r="S446" s="6">
        <v>0</v>
      </c>
      <c r="T446" s="6">
        <v>44</v>
      </c>
      <c r="U446" s="6">
        <v>65</v>
      </c>
      <c r="V446" s="6">
        <f>IF(ISERROR(VLOOKUP($S$446,'TAR FIN'!$A$1:$O$85,15,0)),0,VLOOKUP($S$446,'TAR FIN'!$A$1:$O$85,15,0))</f>
        <v>0</v>
      </c>
      <c r="W446" s="6">
        <f>IF(ISERROR(VLOOKUP($T$446,'TAR FIN'!$A$1:$O$85,15,0)),0,VLOOKUP($T$446,'TAR FIN'!$A$1:$O$85,15,0))</f>
        <v>1439.79</v>
      </c>
      <c r="X446" s="6">
        <f>IF(ISERROR(VLOOKUP($U$446,'TAR FIN'!$A$1:$O$85,15,0)),0,VLOOKUP($U$446,'TAR FIN'!$A$1:$O$85,15,0))</f>
        <v>223.07</v>
      </c>
      <c r="Y446" s="6"/>
      <c r="Z446" s="6">
        <f ca="1">('TUSD BE'!$AM$45+'TUSD BF'!$AM$45+'TUSD CVA'!$AM$45)*1</f>
        <v>2071.8549620118952</v>
      </c>
      <c r="AA446" s="6">
        <f>('TE BE'!$AB$35+'TE BF'!$AB$35+'TE CVA'!$AB$35)*1</f>
        <v>77.958364182443049</v>
      </c>
      <c r="AB446" s="6">
        <f>$K$446*$V$446</f>
        <v>0</v>
      </c>
      <c r="AC446" s="6">
        <f>$M$446*$W$446</f>
        <v>37.434539999999998</v>
      </c>
      <c r="AD446" s="6">
        <f>$O$446*$X$446</f>
        <v>5.7998199999999995</v>
      </c>
      <c r="AE446" s="6">
        <f>$K$446*$Y$446</f>
        <v>0</v>
      </c>
      <c r="AF446" s="6">
        <f ca="1">$M$446*$Z$446</f>
        <v>53.868229012309271</v>
      </c>
      <c r="AG446" s="6">
        <f>$O$446*$AA$446</f>
        <v>2.0269174687435192</v>
      </c>
    </row>
    <row r="447" spans="1:33" ht="11.25" customHeight="1" x14ac:dyDescent="0.3">
      <c r="A447" s="4" t="s">
        <v>21</v>
      </c>
      <c r="B447" s="4" t="s">
        <v>37</v>
      </c>
      <c r="C447" s="4" t="s">
        <v>33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34</v>
      </c>
      <c r="I447" s="5">
        <v>44774</v>
      </c>
      <c r="J447" s="6">
        <v>0</v>
      </c>
      <c r="K447" s="6">
        <v>0</v>
      </c>
      <c r="L447" s="6">
        <v>5.8999999999999997E-2</v>
      </c>
      <c r="M447" s="6">
        <v>5.8999999999999997E-2</v>
      </c>
      <c r="N447" s="6">
        <v>5.8999999999999997E-2</v>
      </c>
      <c r="O447" s="6">
        <v>5.8999999999999997E-2</v>
      </c>
      <c r="P447" s="6">
        <v>0</v>
      </c>
      <c r="Q447" s="4" t="s">
        <v>26</v>
      </c>
      <c r="R447" s="4">
        <v>0</v>
      </c>
      <c r="S447" s="6">
        <v>0</v>
      </c>
      <c r="T447" s="6">
        <v>44</v>
      </c>
      <c r="U447" s="6">
        <v>65</v>
      </c>
      <c r="V447" s="6">
        <f>IF(ISERROR(VLOOKUP($S$447,'TAR FIN'!$A$1:$O$85,15,0)),0,VLOOKUP($S$447,'TAR FIN'!$A$1:$O$85,15,0))</f>
        <v>0</v>
      </c>
      <c r="W447" s="6">
        <f>IF(ISERROR(VLOOKUP($T$447,'TAR FIN'!$A$1:$O$85,15,0)),0,VLOOKUP($T$447,'TAR FIN'!$A$1:$O$85,15,0))</f>
        <v>1439.79</v>
      </c>
      <c r="X447" s="6">
        <f>IF(ISERROR(VLOOKUP($U$447,'TAR FIN'!$A$1:$O$85,15,0)),0,VLOOKUP($U$447,'TAR FIN'!$A$1:$O$85,15,0))</f>
        <v>223.07</v>
      </c>
      <c r="Y447" s="6"/>
      <c r="Z447" s="6">
        <f ca="1">('TUSD BE'!$AM$45+'TUSD BF'!$AM$45+'TUSD CVA'!$AM$45)*1</f>
        <v>2071.8549620118952</v>
      </c>
      <c r="AA447" s="6">
        <f>('TE BE'!$AB$35+'TE BF'!$AB$35+'TE CVA'!$AB$35)*1</f>
        <v>77.958364182443049</v>
      </c>
      <c r="AB447" s="6">
        <f>$K$447*$V$447</f>
        <v>0</v>
      </c>
      <c r="AC447" s="6">
        <f>$M$447*$W$447</f>
        <v>84.947609999999997</v>
      </c>
      <c r="AD447" s="6">
        <f>$O$447*$X$447</f>
        <v>13.161129999999998</v>
      </c>
      <c r="AE447" s="6">
        <f>$K$447*$Y$447</f>
        <v>0</v>
      </c>
      <c r="AF447" s="6">
        <f ca="1">$M$447*$Z$447</f>
        <v>122.23944275870181</v>
      </c>
      <c r="AG447" s="6">
        <f>$O$447*$AA$447</f>
        <v>4.5995434867641398</v>
      </c>
    </row>
    <row r="448" spans="1:33" ht="11.25" customHeight="1" x14ac:dyDescent="0.3">
      <c r="A448" s="4" t="s">
        <v>28</v>
      </c>
      <c r="B448" s="4" t="s">
        <v>37</v>
      </c>
      <c r="C448" s="4" t="s">
        <v>33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34</v>
      </c>
      <c r="I448" s="5">
        <v>44774</v>
      </c>
      <c r="J448" s="6">
        <v>0</v>
      </c>
      <c r="K448" s="6">
        <v>0</v>
      </c>
      <c r="L448" s="6">
        <v>3.2000000000000001E-2</v>
      </c>
      <c r="M448" s="6">
        <v>3.2000000000000001E-2</v>
      </c>
      <c r="N448" s="6">
        <v>3.2000000000000001E-2</v>
      </c>
      <c r="O448" s="6">
        <v>3.2000000000000001E-2</v>
      </c>
      <c r="P448" s="6">
        <v>0</v>
      </c>
      <c r="Q448" s="4" t="s">
        <v>26</v>
      </c>
      <c r="R448" s="4">
        <v>0</v>
      </c>
      <c r="S448" s="6">
        <v>0</v>
      </c>
      <c r="T448" s="6">
        <v>44</v>
      </c>
      <c r="U448" s="6">
        <v>65</v>
      </c>
      <c r="V448" s="6">
        <f>IF(ISERROR(VLOOKUP($S$448,'TAR FIN'!$A$1:$O$85,15,0)),0,VLOOKUP($S$448,'TAR FIN'!$A$1:$O$85,15,0))</f>
        <v>0</v>
      </c>
      <c r="W448" s="6">
        <f>IF(ISERROR(VLOOKUP($T$448,'TAR FIN'!$A$1:$O$85,15,0)),0,VLOOKUP($T$448,'TAR FIN'!$A$1:$O$85,15,0))</f>
        <v>1439.79</v>
      </c>
      <c r="X448" s="6">
        <f>IF(ISERROR(VLOOKUP($U$448,'TAR FIN'!$A$1:$O$85,15,0)),0,VLOOKUP($U$448,'TAR FIN'!$A$1:$O$85,15,0))</f>
        <v>223.07</v>
      </c>
      <c r="Y448" s="6"/>
      <c r="Z448" s="6">
        <f ca="1">('TUSD BE'!$AM$45+'TUSD BF'!$AM$45+'TUSD CVA'!$AM$45)*1</f>
        <v>2071.8549620118952</v>
      </c>
      <c r="AA448" s="6">
        <f>('TE BE'!$AB$35+'TE BF'!$AB$35+'TE CVA'!$AB$35)*1</f>
        <v>77.958364182443049</v>
      </c>
      <c r="AB448" s="6">
        <f>$K$448*$V$448</f>
        <v>0</v>
      </c>
      <c r="AC448" s="6">
        <f>$M$448*$W$448</f>
        <v>46.073279999999997</v>
      </c>
      <c r="AD448" s="6">
        <f>$O$448*$X$448</f>
        <v>7.1382399999999997</v>
      </c>
      <c r="AE448" s="6">
        <f>$K$448*$Y$448</f>
        <v>0</v>
      </c>
      <c r="AF448" s="6">
        <f ca="1">$M$448*$Z$448</f>
        <v>66.299358784380644</v>
      </c>
      <c r="AG448" s="6">
        <f>$O$448*$AA$448</f>
        <v>2.4946676538381776</v>
      </c>
    </row>
    <row r="449" spans="1:33" ht="11.25" customHeight="1" x14ac:dyDescent="0.3">
      <c r="A449" s="4" t="s">
        <v>21</v>
      </c>
      <c r="B449" s="4" t="s">
        <v>37</v>
      </c>
      <c r="C449" s="4" t="s">
        <v>33</v>
      </c>
      <c r="D449" s="4" t="s">
        <v>38</v>
      </c>
      <c r="E449" s="4" t="s">
        <v>25</v>
      </c>
      <c r="F449" s="4" t="s">
        <v>25</v>
      </c>
      <c r="G449" s="4" t="s">
        <v>25</v>
      </c>
      <c r="H449" s="4" t="s">
        <v>35</v>
      </c>
      <c r="I449" s="5">
        <v>44440</v>
      </c>
      <c r="J449" s="6">
        <v>0</v>
      </c>
      <c r="K449" s="6">
        <v>0</v>
      </c>
      <c r="L449" s="6">
        <v>15.238</v>
      </c>
      <c r="M449" s="6">
        <v>15.238</v>
      </c>
      <c r="N449" s="6">
        <v>15.238</v>
      </c>
      <c r="O449" s="6">
        <v>15.238</v>
      </c>
      <c r="P449" s="6">
        <v>0</v>
      </c>
      <c r="Q449" s="4" t="s">
        <v>26</v>
      </c>
      <c r="R449" s="4">
        <v>0</v>
      </c>
      <c r="S449" s="6">
        <v>0</v>
      </c>
      <c r="T449" s="6">
        <v>78</v>
      </c>
      <c r="U449" s="6">
        <v>60</v>
      </c>
      <c r="V449" s="6">
        <f>IF(ISERROR(VLOOKUP($S$449,'TAR FIN'!$A$1:$O$85,15,0)),0,VLOOKUP($S$449,'TAR FIN'!$A$1:$O$85,15,0))</f>
        <v>0</v>
      </c>
      <c r="W449" s="6">
        <f>IF(ISERROR(VLOOKUP($T$449,'TAR FIN'!$A$1:$O$85,15,0)),0,VLOOKUP($T$449,'TAR FIN'!$A$1:$O$85,15,0))</f>
        <v>361.54</v>
      </c>
      <c r="X449" s="6">
        <f>IF(ISERROR(VLOOKUP($U$449,'TAR FIN'!$A$1:$O$85,15,0)),0,VLOOKUP($U$449,'TAR FIN'!$A$1:$O$85,15,0))</f>
        <v>223.07</v>
      </c>
      <c r="Y449" s="6"/>
      <c r="Z449" s="6">
        <f ca="1">('TUSD BE'!$AM$47+'TUSD BF'!$AM$47+'TUSD CVA'!$AM$47)*1</f>
        <v>503.03617413781922</v>
      </c>
      <c r="AA449" s="6">
        <f>('TE BE'!$AB$37+'TE BF'!$AB$37+'TE CVA'!$AB$37)*1</f>
        <v>77.958364182443049</v>
      </c>
      <c r="AB449" s="6">
        <f>$K$449*$V$449</f>
        <v>0</v>
      </c>
      <c r="AC449" s="6">
        <f>$M$449*$W$449</f>
        <v>5509.1465200000002</v>
      </c>
      <c r="AD449" s="6">
        <f>$O$449*$X$449</f>
        <v>3399.1406599999996</v>
      </c>
      <c r="AE449" s="6">
        <f>$K$449*$Y$449</f>
        <v>0</v>
      </c>
      <c r="AF449" s="6">
        <f ca="1">$M$449*$Z$449</f>
        <v>7665.2652215120888</v>
      </c>
      <c r="AG449" s="6">
        <f>$O$449*$AA$449</f>
        <v>1187.9295534120672</v>
      </c>
    </row>
    <row r="450" spans="1:33" ht="11.25" customHeight="1" x14ac:dyDescent="0.3">
      <c r="A450" s="4" t="s">
        <v>21</v>
      </c>
      <c r="B450" s="4" t="s">
        <v>37</v>
      </c>
      <c r="C450" s="4" t="s">
        <v>33</v>
      </c>
      <c r="D450" s="4" t="s">
        <v>38</v>
      </c>
      <c r="E450" s="4" t="s">
        <v>25</v>
      </c>
      <c r="F450" s="4" t="s">
        <v>25</v>
      </c>
      <c r="G450" s="4" t="s">
        <v>25</v>
      </c>
      <c r="H450" s="4" t="s">
        <v>35</v>
      </c>
      <c r="I450" s="5">
        <v>44470</v>
      </c>
      <c r="J450" s="6">
        <v>0</v>
      </c>
      <c r="K450" s="6">
        <v>0</v>
      </c>
      <c r="L450" s="6">
        <v>11.590999999999999</v>
      </c>
      <c r="M450" s="6">
        <v>11.590999999999999</v>
      </c>
      <c r="N450" s="6">
        <v>11.590999999999999</v>
      </c>
      <c r="O450" s="6">
        <v>11.590999999999999</v>
      </c>
      <c r="P450" s="6">
        <v>0</v>
      </c>
      <c r="Q450" s="4" t="s">
        <v>26</v>
      </c>
      <c r="R450" s="4">
        <v>0</v>
      </c>
      <c r="S450" s="6">
        <v>0</v>
      </c>
      <c r="T450" s="6">
        <v>78</v>
      </c>
      <c r="U450" s="6">
        <v>60</v>
      </c>
      <c r="V450" s="6">
        <f>IF(ISERROR(VLOOKUP($S$450,'TAR FIN'!$A$1:$O$85,15,0)),0,VLOOKUP($S$450,'TAR FIN'!$A$1:$O$85,15,0))</f>
        <v>0</v>
      </c>
      <c r="W450" s="6">
        <f>IF(ISERROR(VLOOKUP($T$450,'TAR FIN'!$A$1:$O$85,15,0)),0,VLOOKUP($T$450,'TAR FIN'!$A$1:$O$85,15,0))</f>
        <v>361.54</v>
      </c>
      <c r="X450" s="6">
        <f>IF(ISERROR(VLOOKUP($U$450,'TAR FIN'!$A$1:$O$85,15,0)),0,VLOOKUP($U$450,'TAR FIN'!$A$1:$O$85,15,0))</f>
        <v>223.07</v>
      </c>
      <c r="Y450" s="6"/>
      <c r="Z450" s="6">
        <f ca="1">('TUSD BE'!$AM$47+'TUSD BF'!$AM$47+'TUSD CVA'!$AM$47)*1</f>
        <v>503.03617413781922</v>
      </c>
      <c r="AA450" s="6">
        <f>('TE BE'!$AB$37+'TE BF'!$AB$37+'TE CVA'!$AB$37)*1</f>
        <v>77.958364182443049</v>
      </c>
      <c r="AB450" s="6">
        <f>$K$450*$V$450</f>
        <v>0</v>
      </c>
      <c r="AC450" s="6">
        <f>$M$450*$W$450</f>
        <v>4190.6101399999998</v>
      </c>
      <c r="AD450" s="6">
        <f>$O$450*$X$450</f>
        <v>2585.6043699999996</v>
      </c>
      <c r="AE450" s="6">
        <f>$K$450*$Y$450</f>
        <v>0</v>
      </c>
      <c r="AF450" s="6">
        <f ca="1">$M$450*$Z$450</f>
        <v>5830.692294431462</v>
      </c>
      <c r="AG450" s="6">
        <f>$O$450*$AA$450</f>
        <v>903.61539923869736</v>
      </c>
    </row>
    <row r="451" spans="1:33" ht="11.25" customHeight="1" x14ac:dyDescent="0.3">
      <c r="A451" s="4" t="s">
        <v>21</v>
      </c>
      <c r="B451" s="4" t="s">
        <v>37</v>
      </c>
      <c r="C451" s="4" t="s">
        <v>33</v>
      </c>
      <c r="D451" s="4" t="s">
        <v>38</v>
      </c>
      <c r="E451" s="4" t="s">
        <v>25</v>
      </c>
      <c r="F451" s="4" t="s">
        <v>25</v>
      </c>
      <c r="G451" s="4" t="s">
        <v>25</v>
      </c>
      <c r="H451" s="4" t="s">
        <v>35</v>
      </c>
      <c r="I451" s="5">
        <v>44501</v>
      </c>
      <c r="J451" s="6">
        <v>0</v>
      </c>
      <c r="K451" s="6">
        <v>0</v>
      </c>
      <c r="L451" s="6">
        <v>12.178000000000001</v>
      </c>
      <c r="M451" s="6">
        <v>12.178000000000001</v>
      </c>
      <c r="N451" s="6">
        <v>12.178000000000001</v>
      </c>
      <c r="O451" s="6">
        <v>12.178000000000001</v>
      </c>
      <c r="P451" s="6">
        <v>0</v>
      </c>
      <c r="Q451" s="4" t="s">
        <v>26</v>
      </c>
      <c r="R451" s="4">
        <v>0</v>
      </c>
      <c r="S451" s="6">
        <v>0</v>
      </c>
      <c r="T451" s="6">
        <v>78</v>
      </c>
      <c r="U451" s="6">
        <v>60</v>
      </c>
      <c r="V451" s="6">
        <f>IF(ISERROR(VLOOKUP($S$451,'TAR FIN'!$A$1:$O$85,15,0)),0,VLOOKUP($S$451,'TAR FIN'!$A$1:$O$85,15,0))</f>
        <v>0</v>
      </c>
      <c r="W451" s="6">
        <f>IF(ISERROR(VLOOKUP($T$451,'TAR FIN'!$A$1:$O$85,15,0)),0,VLOOKUP($T$451,'TAR FIN'!$A$1:$O$85,15,0))</f>
        <v>361.54</v>
      </c>
      <c r="X451" s="6">
        <f>IF(ISERROR(VLOOKUP($U$451,'TAR FIN'!$A$1:$O$85,15,0)),0,VLOOKUP($U$451,'TAR FIN'!$A$1:$O$85,15,0))</f>
        <v>223.07</v>
      </c>
      <c r="Y451" s="6"/>
      <c r="Z451" s="6">
        <f ca="1">('TUSD BE'!$AM$47+'TUSD BF'!$AM$47+'TUSD CVA'!$AM$47)*1</f>
        <v>503.03617413781922</v>
      </c>
      <c r="AA451" s="6">
        <f>('TE BE'!$AB$37+'TE BF'!$AB$37+'TE CVA'!$AB$37)*1</f>
        <v>77.958364182443049</v>
      </c>
      <c r="AB451" s="6">
        <f>$K$451*$V$451</f>
        <v>0</v>
      </c>
      <c r="AC451" s="6">
        <f>$M$451*$W$451</f>
        <v>4402.8341200000004</v>
      </c>
      <c r="AD451" s="6">
        <f>$O$451*$X$451</f>
        <v>2716.54646</v>
      </c>
      <c r="AE451" s="6">
        <f>$K$451*$Y$451</f>
        <v>0</v>
      </c>
      <c r="AF451" s="6">
        <f ca="1">$M$451*$Z$451</f>
        <v>6125.974528650363</v>
      </c>
      <c r="AG451" s="6">
        <f>$O$451*$AA$451</f>
        <v>949.37695901379152</v>
      </c>
    </row>
    <row r="452" spans="1:33" ht="11.25" customHeight="1" x14ac:dyDescent="0.3">
      <c r="A452" s="4" t="s">
        <v>28</v>
      </c>
      <c r="B452" s="4" t="s">
        <v>37</v>
      </c>
      <c r="C452" s="4" t="s">
        <v>33</v>
      </c>
      <c r="D452" s="4" t="s">
        <v>38</v>
      </c>
      <c r="E452" s="4" t="s">
        <v>25</v>
      </c>
      <c r="F452" s="4" t="s">
        <v>25</v>
      </c>
      <c r="G452" s="4" t="s">
        <v>25</v>
      </c>
      <c r="H452" s="4" t="s">
        <v>35</v>
      </c>
      <c r="I452" s="5">
        <v>44501</v>
      </c>
      <c r="J452" s="6">
        <v>0</v>
      </c>
      <c r="K452" s="6">
        <v>0</v>
      </c>
      <c r="L452" s="6">
        <v>0.24199999999999999</v>
      </c>
      <c r="M452" s="6">
        <v>0.24199999999999999</v>
      </c>
      <c r="N452" s="6">
        <v>0.24199999999999999</v>
      </c>
      <c r="O452" s="6">
        <v>0.24199999999999999</v>
      </c>
      <c r="P452" s="6">
        <v>0</v>
      </c>
      <c r="Q452" s="4" t="s">
        <v>26</v>
      </c>
      <c r="R452" s="4">
        <v>0</v>
      </c>
      <c r="S452" s="6">
        <v>0</v>
      </c>
      <c r="T452" s="6">
        <v>78</v>
      </c>
      <c r="U452" s="6">
        <v>60</v>
      </c>
      <c r="V452" s="6">
        <f>IF(ISERROR(VLOOKUP($S$452,'TAR FIN'!$A$1:$O$85,15,0)),0,VLOOKUP($S$452,'TAR FIN'!$A$1:$O$85,15,0))</f>
        <v>0</v>
      </c>
      <c r="W452" s="6">
        <f>IF(ISERROR(VLOOKUP($T$452,'TAR FIN'!$A$1:$O$85,15,0)),0,VLOOKUP($T$452,'TAR FIN'!$A$1:$O$85,15,0))</f>
        <v>361.54</v>
      </c>
      <c r="X452" s="6">
        <f>IF(ISERROR(VLOOKUP($U$452,'TAR FIN'!$A$1:$O$85,15,0)),0,VLOOKUP($U$452,'TAR FIN'!$A$1:$O$85,15,0))</f>
        <v>223.07</v>
      </c>
      <c r="Y452" s="6"/>
      <c r="Z452" s="6">
        <f ca="1">('TUSD BE'!$AM$47+'TUSD BF'!$AM$47+'TUSD CVA'!$AM$47)*1</f>
        <v>503.03617413781922</v>
      </c>
      <c r="AA452" s="6">
        <f>('TE BE'!$AB$37+'TE BF'!$AB$37+'TE CVA'!$AB$37)*1</f>
        <v>77.958364182443049</v>
      </c>
      <c r="AB452" s="6">
        <f>$K$452*$V$452</f>
        <v>0</v>
      </c>
      <c r="AC452" s="6">
        <f>$M$452*$W$452</f>
        <v>87.492680000000007</v>
      </c>
      <c r="AD452" s="6">
        <f>$O$452*$X$452</f>
        <v>53.982939999999999</v>
      </c>
      <c r="AE452" s="6">
        <f>$K$452*$Y$452</f>
        <v>0</v>
      </c>
      <c r="AF452" s="6">
        <f ca="1">$M$452*$Z$452</f>
        <v>121.73475414135224</v>
      </c>
      <c r="AG452" s="6">
        <f>$O$452*$AA$452</f>
        <v>18.865924132151218</v>
      </c>
    </row>
    <row r="453" spans="1:33" ht="11.25" customHeight="1" x14ac:dyDescent="0.3">
      <c r="A453" s="4" t="s">
        <v>21</v>
      </c>
      <c r="B453" s="4" t="s">
        <v>37</v>
      </c>
      <c r="C453" s="4" t="s">
        <v>33</v>
      </c>
      <c r="D453" s="4" t="s">
        <v>38</v>
      </c>
      <c r="E453" s="4" t="s">
        <v>25</v>
      </c>
      <c r="F453" s="4" t="s">
        <v>25</v>
      </c>
      <c r="G453" s="4" t="s">
        <v>25</v>
      </c>
      <c r="H453" s="4" t="s">
        <v>35</v>
      </c>
      <c r="I453" s="5">
        <v>44531</v>
      </c>
      <c r="J453" s="6">
        <v>0</v>
      </c>
      <c r="K453" s="6">
        <v>0</v>
      </c>
      <c r="L453" s="6">
        <v>10.407</v>
      </c>
      <c r="M453" s="6">
        <v>10.407</v>
      </c>
      <c r="N453" s="6">
        <v>10.407</v>
      </c>
      <c r="O453" s="6">
        <v>10.407</v>
      </c>
      <c r="P453" s="6">
        <v>0</v>
      </c>
      <c r="Q453" s="4" t="s">
        <v>26</v>
      </c>
      <c r="R453" s="4">
        <v>0</v>
      </c>
      <c r="S453" s="6">
        <v>0</v>
      </c>
      <c r="T453" s="6">
        <v>78</v>
      </c>
      <c r="U453" s="6">
        <v>60</v>
      </c>
      <c r="V453" s="6">
        <f>IF(ISERROR(VLOOKUP($S$453,'TAR FIN'!$A$1:$O$85,15,0)),0,VLOOKUP($S$453,'TAR FIN'!$A$1:$O$85,15,0))</f>
        <v>0</v>
      </c>
      <c r="W453" s="6">
        <f>IF(ISERROR(VLOOKUP($T$453,'TAR FIN'!$A$1:$O$85,15,0)),0,VLOOKUP($T$453,'TAR FIN'!$A$1:$O$85,15,0))</f>
        <v>361.54</v>
      </c>
      <c r="X453" s="6">
        <f>IF(ISERROR(VLOOKUP($U$453,'TAR FIN'!$A$1:$O$85,15,0)),0,VLOOKUP($U$453,'TAR FIN'!$A$1:$O$85,15,0))</f>
        <v>223.07</v>
      </c>
      <c r="Y453" s="6"/>
      <c r="Z453" s="6">
        <f ca="1">('TUSD BE'!$AM$47+'TUSD BF'!$AM$47+'TUSD CVA'!$AM$47)*1</f>
        <v>503.03617413781922</v>
      </c>
      <c r="AA453" s="6">
        <f>('TE BE'!$AB$37+'TE BF'!$AB$37+'TE CVA'!$AB$37)*1</f>
        <v>77.958364182443049</v>
      </c>
      <c r="AB453" s="6">
        <f>$K$453*$V$453</f>
        <v>0</v>
      </c>
      <c r="AC453" s="6">
        <f>$M$453*$W$453</f>
        <v>3762.5467800000001</v>
      </c>
      <c r="AD453" s="6">
        <f>$O$453*$X$453</f>
        <v>2321.4894899999999</v>
      </c>
      <c r="AE453" s="6">
        <f>$K$453*$Y$453</f>
        <v>0</v>
      </c>
      <c r="AF453" s="6">
        <f ca="1">$M$453*$Z$453</f>
        <v>5235.0974642522842</v>
      </c>
      <c r="AG453" s="6">
        <f>$O$453*$AA$453</f>
        <v>811.31269604668478</v>
      </c>
    </row>
    <row r="454" spans="1:33" ht="11.25" customHeight="1" x14ac:dyDescent="0.3">
      <c r="A454" s="4" t="s">
        <v>21</v>
      </c>
      <c r="B454" s="4" t="s">
        <v>37</v>
      </c>
      <c r="C454" s="4" t="s">
        <v>33</v>
      </c>
      <c r="D454" s="4" t="s">
        <v>38</v>
      </c>
      <c r="E454" s="4" t="s">
        <v>25</v>
      </c>
      <c r="F454" s="4" t="s">
        <v>25</v>
      </c>
      <c r="G454" s="4" t="s">
        <v>25</v>
      </c>
      <c r="H454" s="4" t="s">
        <v>35</v>
      </c>
      <c r="I454" s="5">
        <v>44562</v>
      </c>
      <c r="J454" s="6">
        <v>0</v>
      </c>
      <c r="K454" s="6">
        <v>0</v>
      </c>
      <c r="L454" s="6">
        <v>10.179</v>
      </c>
      <c r="M454" s="6">
        <v>10.179</v>
      </c>
      <c r="N454" s="6">
        <v>10.179</v>
      </c>
      <c r="O454" s="6">
        <v>10.179</v>
      </c>
      <c r="P454" s="6">
        <v>0</v>
      </c>
      <c r="Q454" s="4" t="s">
        <v>26</v>
      </c>
      <c r="R454" s="4">
        <v>0</v>
      </c>
      <c r="S454" s="6">
        <v>0</v>
      </c>
      <c r="T454" s="6">
        <v>78</v>
      </c>
      <c r="U454" s="6">
        <v>60</v>
      </c>
      <c r="V454" s="6">
        <f>IF(ISERROR(VLOOKUP($S$454,'TAR FIN'!$A$1:$O$85,15,0)),0,VLOOKUP($S$454,'TAR FIN'!$A$1:$O$85,15,0))</f>
        <v>0</v>
      </c>
      <c r="W454" s="6">
        <f>IF(ISERROR(VLOOKUP($T$454,'TAR FIN'!$A$1:$O$85,15,0)),0,VLOOKUP($T$454,'TAR FIN'!$A$1:$O$85,15,0))</f>
        <v>361.54</v>
      </c>
      <c r="X454" s="6">
        <f>IF(ISERROR(VLOOKUP($U$454,'TAR FIN'!$A$1:$O$85,15,0)),0,VLOOKUP($U$454,'TAR FIN'!$A$1:$O$85,15,0))</f>
        <v>223.07</v>
      </c>
      <c r="Y454" s="6"/>
      <c r="Z454" s="6">
        <f ca="1">('TUSD BE'!$AM$47+'TUSD BF'!$AM$47+'TUSD CVA'!$AM$47)*1</f>
        <v>503.03617413781922</v>
      </c>
      <c r="AA454" s="6">
        <f>('TE BE'!$AB$37+'TE BF'!$AB$37+'TE CVA'!$AB$37)*1</f>
        <v>77.958364182443049</v>
      </c>
      <c r="AB454" s="6">
        <f>$K$454*$V$454</f>
        <v>0</v>
      </c>
      <c r="AC454" s="6">
        <f>$M$454*$W$454</f>
        <v>3680.1156600000004</v>
      </c>
      <c r="AD454" s="6">
        <f>$O$454*$X$454</f>
        <v>2270.6295300000002</v>
      </c>
      <c r="AE454" s="6">
        <f>$K$454*$Y$454</f>
        <v>0</v>
      </c>
      <c r="AF454" s="6">
        <f ca="1">$M$454*$Z$454</f>
        <v>5120.405216548862</v>
      </c>
      <c r="AG454" s="6">
        <f>$O$454*$AA$454</f>
        <v>793.53818901308784</v>
      </c>
    </row>
    <row r="455" spans="1:33" ht="11.25" customHeight="1" x14ac:dyDescent="0.3">
      <c r="A455" s="4" t="s">
        <v>28</v>
      </c>
      <c r="B455" s="4" t="s">
        <v>37</v>
      </c>
      <c r="C455" s="4" t="s">
        <v>33</v>
      </c>
      <c r="D455" s="4" t="s">
        <v>38</v>
      </c>
      <c r="E455" s="4" t="s">
        <v>25</v>
      </c>
      <c r="F455" s="4" t="s">
        <v>25</v>
      </c>
      <c r="G455" s="4" t="s">
        <v>25</v>
      </c>
      <c r="H455" s="4" t="s">
        <v>35</v>
      </c>
      <c r="I455" s="5">
        <v>44562</v>
      </c>
      <c r="J455" s="6">
        <v>0</v>
      </c>
      <c r="K455" s="6">
        <v>0</v>
      </c>
      <c r="L455" s="6">
        <v>0.24199999999999999</v>
      </c>
      <c r="M455" s="6">
        <v>0.24199999999999999</v>
      </c>
      <c r="N455" s="6">
        <v>0.24199999999999999</v>
      </c>
      <c r="O455" s="6">
        <v>0.24199999999999999</v>
      </c>
      <c r="P455" s="6">
        <v>0</v>
      </c>
      <c r="Q455" s="4" t="s">
        <v>26</v>
      </c>
      <c r="R455" s="4">
        <v>0</v>
      </c>
      <c r="S455" s="6">
        <v>0</v>
      </c>
      <c r="T455" s="6">
        <v>78</v>
      </c>
      <c r="U455" s="6">
        <v>60</v>
      </c>
      <c r="V455" s="6">
        <f>IF(ISERROR(VLOOKUP($S$455,'TAR FIN'!$A$1:$O$85,15,0)),0,VLOOKUP($S$455,'TAR FIN'!$A$1:$O$85,15,0))</f>
        <v>0</v>
      </c>
      <c r="W455" s="6">
        <f>IF(ISERROR(VLOOKUP($T$455,'TAR FIN'!$A$1:$O$85,15,0)),0,VLOOKUP($T$455,'TAR FIN'!$A$1:$O$85,15,0))</f>
        <v>361.54</v>
      </c>
      <c r="X455" s="6">
        <f>IF(ISERROR(VLOOKUP($U$455,'TAR FIN'!$A$1:$O$85,15,0)),0,VLOOKUP($U$455,'TAR FIN'!$A$1:$O$85,15,0))</f>
        <v>223.07</v>
      </c>
      <c r="Y455" s="6"/>
      <c r="Z455" s="6">
        <f ca="1">('TUSD BE'!$AM$47+'TUSD BF'!$AM$47+'TUSD CVA'!$AM$47)*1</f>
        <v>503.03617413781922</v>
      </c>
      <c r="AA455" s="6">
        <f>('TE BE'!$AB$37+'TE BF'!$AB$37+'TE CVA'!$AB$37)*1</f>
        <v>77.958364182443049</v>
      </c>
      <c r="AB455" s="6">
        <f>$K$455*$V$455</f>
        <v>0</v>
      </c>
      <c r="AC455" s="6">
        <f>$M$455*$W$455</f>
        <v>87.492680000000007</v>
      </c>
      <c r="AD455" s="6">
        <f>$O$455*$X$455</f>
        <v>53.982939999999999</v>
      </c>
      <c r="AE455" s="6">
        <f>$K$455*$Y$455</f>
        <v>0</v>
      </c>
      <c r="AF455" s="6">
        <f ca="1">$M$455*$Z$455</f>
        <v>121.73475414135224</v>
      </c>
      <c r="AG455" s="6">
        <f>$O$455*$AA$455</f>
        <v>18.865924132151218</v>
      </c>
    </row>
    <row r="456" spans="1:33" ht="11.25" customHeight="1" x14ac:dyDescent="0.3">
      <c r="A456" s="4" t="s">
        <v>21</v>
      </c>
      <c r="B456" s="4" t="s">
        <v>37</v>
      </c>
      <c r="C456" s="4" t="s">
        <v>33</v>
      </c>
      <c r="D456" s="4" t="s">
        <v>38</v>
      </c>
      <c r="E456" s="4" t="s">
        <v>25</v>
      </c>
      <c r="F456" s="4" t="s">
        <v>25</v>
      </c>
      <c r="G456" s="4" t="s">
        <v>25</v>
      </c>
      <c r="H456" s="4" t="s">
        <v>35</v>
      </c>
      <c r="I456" s="5">
        <v>44593</v>
      </c>
      <c r="J456" s="6">
        <v>0</v>
      </c>
      <c r="K456" s="6">
        <v>0</v>
      </c>
      <c r="L456" s="6">
        <v>12.564</v>
      </c>
      <c r="M456" s="6">
        <v>12.564</v>
      </c>
      <c r="N456" s="6">
        <v>12.564</v>
      </c>
      <c r="O456" s="6">
        <v>12.564</v>
      </c>
      <c r="P456" s="6">
        <v>0</v>
      </c>
      <c r="Q456" s="4" t="s">
        <v>26</v>
      </c>
      <c r="R456" s="4">
        <v>0</v>
      </c>
      <c r="S456" s="6">
        <v>0</v>
      </c>
      <c r="T456" s="6">
        <v>78</v>
      </c>
      <c r="U456" s="6">
        <v>60</v>
      </c>
      <c r="V456" s="6">
        <f>IF(ISERROR(VLOOKUP($S$456,'TAR FIN'!$A$1:$O$85,15,0)),0,VLOOKUP($S$456,'TAR FIN'!$A$1:$O$85,15,0))</f>
        <v>0</v>
      </c>
      <c r="W456" s="6">
        <f>IF(ISERROR(VLOOKUP($T$456,'TAR FIN'!$A$1:$O$85,15,0)),0,VLOOKUP($T$456,'TAR FIN'!$A$1:$O$85,15,0))</f>
        <v>361.54</v>
      </c>
      <c r="X456" s="6">
        <f>IF(ISERROR(VLOOKUP($U$456,'TAR FIN'!$A$1:$O$85,15,0)),0,VLOOKUP($U$456,'TAR FIN'!$A$1:$O$85,15,0))</f>
        <v>223.07</v>
      </c>
      <c r="Y456" s="6"/>
      <c r="Z456" s="6">
        <f ca="1">('TUSD BE'!$AM$47+'TUSD BF'!$AM$47+'TUSD CVA'!$AM$47)*1</f>
        <v>503.03617413781922</v>
      </c>
      <c r="AA456" s="6">
        <f>('TE BE'!$AB$37+'TE BF'!$AB$37+'TE CVA'!$AB$37)*1</f>
        <v>77.958364182443049</v>
      </c>
      <c r="AB456" s="6">
        <f>$K$456*$V$456</f>
        <v>0</v>
      </c>
      <c r="AC456" s="6">
        <f>$M$456*$W$456</f>
        <v>4542.3885600000003</v>
      </c>
      <c r="AD456" s="6">
        <f>$O$456*$X$456</f>
        <v>2802.65148</v>
      </c>
      <c r="AE456" s="6">
        <f>$K$456*$Y$456</f>
        <v>0</v>
      </c>
      <c r="AF456" s="6">
        <f ca="1">$M$456*$Z$456</f>
        <v>6320.1464918675611</v>
      </c>
      <c r="AG456" s="6">
        <f>$O$456*$AA$456</f>
        <v>979.46888758821444</v>
      </c>
    </row>
    <row r="457" spans="1:33" ht="11.25" customHeight="1" x14ac:dyDescent="0.3">
      <c r="A457" s="4" t="s">
        <v>21</v>
      </c>
      <c r="B457" s="4" t="s">
        <v>37</v>
      </c>
      <c r="C457" s="4" t="s">
        <v>33</v>
      </c>
      <c r="D457" s="4" t="s">
        <v>38</v>
      </c>
      <c r="E457" s="4" t="s">
        <v>25</v>
      </c>
      <c r="F457" s="4" t="s">
        <v>25</v>
      </c>
      <c r="G457" s="4" t="s">
        <v>25</v>
      </c>
      <c r="H457" s="4" t="s">
        <v>35</v>
      </c>
      <c r="I457" s="5">
        <v>44621</v>
      </c>
      <c r="J457" s="6">
        <v>0</v>
      </c>
      <c r="K457" s="6">
        <v>0</v>
      </c>
      <c r="L457" s="6">
        <v>12.347</v>
      </c>
      <c r="M457" s="6">
        <v>12.347</v>
      </c>
      <c r="N457" s="6">
        <v>12.347</v>
      </c>
      <c r="O457" s="6">
        <v>12.347</v>
      </c>
      <c r="P457" s="6">
        <v>0</v>
      </c>
      <c r="Q457" s="4" t="s">
        <v>26</v>
      </c>
      <c r="R457" s="4">
        <v>0</v>
      </c>
      <c r="S457" s="6">
        <v>0</v>
      </c>
      <c r="T457" s="6">
        <v>78</v>
      </c>
      <c r="U457" s="6">
        <v>60</v>
      </c>
      <c r="V457" s="6">
        <f>IF(ISERROR(VLOOKUP($S$457,'TAR FIN'!$A$1:$O$85,15,0)),0,VLOOKUP($S$457,'TAR FIN'!$A$1:$O$85,15,0))</f>
        <v>0</v>
      </c>
      <c r="W457" s="6">
        <f>IF(ISERROR(VLOOKUP($T$457,'TAR FIN'!$A$1:$O$85,15,0)),0,VLOOKUP($T$457,'TAR FIN'!$A$1:$O$85,15,0))</f>
        <v>361.54</v>
      </c>
      <c r="X457" s="6">
        <f>IF(ISERROR(VLOOKUP($U$457,'TAR FIN'!$A$1:$O$85,15,0)),0,VLOOKUP($U$457,'TAR FIN'!$A$1:$O$85,15,0))</f>
        <v>223.07</v>
      </c>
      <c r="Y457" s="6"/>
      <c r="Z457" s="6">
        <f ca="1">('TUSD BE'!$AM$47+'TUSD BF'!$AM$47+'TUSD CVA'!$AM$47)*1</f>
        <v>503.03617413781922</v>
      </c>
      <c r="AA457" s="6">
        <f>('TE BE'!$AB$37+'TE BF'!$AB$37+'TE CVA'!$AB$37)*1</f>
        <v>77.958364182443049</v>
      </c>
      <c r="AB457" s="6">
        <f>$K$457*$V$457</f>
        <v>0</v>
      </c>
      <c r="AC457" s="6">
        <f>$M$457*$W$457</f>
        <v>4463.9343799999997</v>
      </c>
      <c r="AD457" s="6">
        <f>$O$457*$X$457</f>
        <v>2754.2452899999998</v>
      </c>
      <c r="AE457" s="6">
        <f>$K$457*$Y$457</f>
        <v>0</v>
      </c>
      <c r="AF457" s="6">
        <f ca="1">$M$457*$Z$457</f>
        <v>6210.9876420796536</v>
      </c>
      <c r="AG457" s="6">
        <f>$O$457*$AA$457</f>
        <v>962.55192256062423</v>
      </c>
    </row>
    <row r="458" spans="1:33" ht="11.25" customHeight="1" x14ac:dyDescent="0.3">
      <c r="A458" s="4" t="s">
        <v>28</v>
      </c>
      <c r="B458" s="4" t="s">
        <v>37</v>
      </c>
      <c r="C458" s="4" t="s">
        <v>33</v>
      </c>
      <c r="D458" s="4" t="s">
        <v>38</v>
      </c>
      <c r="E458" s="4" t="s">
        <v>25</v>
      </c>
      <c r="F458" s="4" t="s">
        <v>25</v>
      </c>
      <c r="G458" s="4" t="s">
        <v>25</v>
      </c>
      <c r="H458" s="4" t="s">
        <v>35</v>
      </c>
      <c r="I458" s="5">
        <v>44621</v>
      </c>
      <c r="J458" s="6">
        <v>0</v>
      </c>
      <c r="K458" s="6">
        <v>0</v>
      </c>
      <c r="L458" s="6">
        <v>0.24199999999999999</v>
      </c>
      <c r="M458" s="6">
        <v>0.24199999999999999</v>
      </c>
      <c r="N458" s="6">
        <v>0.24199999999999999</v>
      </c>
      <c r="O458" s="6">
        <v>0.24199999999999999</v>
      </c>
      <c r="P458" s="6">
        <v>0</v>
      </c>
      <c r="Q458" s="4" t="s">
        <v>26</v>
      </c>
      <c r="R458" s="4">
        <v>0</v>
      </c>
      <c r="S458" s="6">
        <v>0</v>
      </c>
      <c r="T458" s="6">
        <v>78</v>
      </c>
      <c r="U458" s="6">
        <v>60</v>
      </c>
      <c r="V458" s="6">
        <f>IF(ISERROR(VLOOKUP($S$458,'TAR FIN'!$A$1:$O$85,15,0)),0,VLOOKUP($S$458,'TAR FIN'!$A$1:$O$85,15,0))</f>
        <v>0</v>
      </c>
      <c r="W458" s="6">
        <f>IF(ISERROR(VLOOKUP($T$458,'TAR FIN'!$A$1:$O$85,15,0)),0,VLOOKUP($T$458,'TAR FIN'!$A$1:$O$85,15,0))</f>
        <v>361.54</v>
      </c>
      <c r="X458" s="6">
        <f>IF(ISERROR(VLOOKUP($U$458,'TAR FIN'!$A$1:$O$85,15,0)),0,VLOOKUP($U$458,'TAR FIN'!$A$1:$O$85,15,0))</f>
        <v>223.07</v>
      </c>
      <c r="Y458" s="6"/>
      <c r="Z458" s="6">
        <f ca="1">('TUSD BE'!$AM$47+'TUSD BF'!$AM$47+'TUSD CVA'!$AM$47)*1</f>
        <v>503.03617413781922</v>
      </c>
      <c r="AA458" s="6">
        <f>('TE BE'!$AB$37+'TE BF'!$AB$37+'TE CVA'!$AB$37)*1</f>
        <v>77.958364182443049</v>
      </c>
      <c r="AB458" s="6">
        <f>$K$458*$V$458</f>
        <v>0</v>
      </c>
      <c r="AC458" s="6">
        <f>$M$458*$W$458</f>
        <v>87.492680000000007</v>
      </c>
      <c r="AD458" s="6">
        <f>$O$458*$X$458</f>
        <v>53.982939999999999</v>
      </c>
      <c r="AE458" s="6">
        <f>$K$458*$Y$458</f>
        <v>0</v>
      </c>
      <c r="AF458" s="6">
        <f ca="1">$M$458*$Z$458</f>
        <v>121.73475414135224</v>
      </c>
      <c r="AG458" s="6">
        <f>$O$458*$AA$458</f>
        <v>18.865924132151218</v>
      </c>
    </row>
    <row r="459" spans="1:33" ht="11.25" customHeight="1" x14ac:dyDescent="0.3">
      <c r="A459" s="4" t="s">
        <v>21</v>
      </c>
      <c r="B459" s="4" t="s">
        <v>37</v>
      </c>
      <c r="C459" s="4" t="s">
        <v>33</v>
      </c>
      <c r="D459" s="4" t="s">
        <v>38</v>
      </c>
      <c r="E459" s="4" t="s">
        <v>25</v>
      </c>
      <c r="F459" s="4" t="s">
        <v>25</v>
      </c>
      <c r="G459" s="4" t="s">
        <v>25</v>
      </c>
      <c r="H459" s="4" t="s">
        <v>35</v>
      </c>
      <c r="I459" s="5">
        <v>44652</v>
      </c>
      <c r="J459" s="6">
        <v>0</v>
      </c>
      <c r="K459" s="6">
        <v>0</v>
      </c>
      <c r="L459" s="6">
        <v>11.473000000000001</v>
      </c>
      <c r="M459" s="6">
        <v>11.473000000000001</v>
      </c>
      <c r="N459" s="6">
        <v>11.473000000000001</v>
      </c>
      <c r="O459" s="6">
        <v>11.473000000000001</v>
      </c>
      <c r="P459" s="6">
        <v>0</v>
      </c>
      <c r="Q459" s="4" t="s">
        <v>26</v>
      </c>
      <c r="R459" s="4">
        <v>0</v>
      </c>
      <c r="S459" s="6">
        <v>0</v>
      </c>
      <c r="T459" s="6">
        <v>78</v>
      </c>
      <c r="U459" s="6">
        <v>60</v>
      </c>
      <c r="V459" s="6">
        <f>IF(ISERROR(VLOOKUP($S$459,'TAR FIN'!$A$1:$O$85,15,0)),0,VLOOKUP($S$459,'TAR FIN'!$A$1:$O$85,15,0))</f>
        <v>0</v>
      </c>
      <c r="W459" s="6">
        <f>IF(ISERROR(VLOOKUP($T$459,'TAR FIN'!$A$1:$O$85,15,0)),0,VLOOKUP($T$459,'TAR FIN'!$A$1:$O$85,15,0))</f>
        <v>361.54</v>
      </c>
      <c r="X459" s="6">
        <f>IF(ISERROR(VLOOKUP($U$459,'TAR FIN'!$A$1:$O$85,15,0)),0,VLOOKUP($U$459,'TAR FIN'!$A$1:$O$85,15,0))</f>
        <v>223.07</v>
      </c>
      <c r="Y459" s="6"/>
      <c r="Z459" s="6">
        <f ca="1">('TUSD BE'!$AM$47+'TUSD BF'!$AM$47+'TUSD CVA'!$AM$47)*1</f>
        <v>503.03617413781922</v>
      </c>
      <c r="AA459" s="6">
        <f>('TE BE'!$AB$37+'TE BF'!$AB$37+'TE CVA'!$AB$37)*1</f>
        <v>77.958364182443049</v>
      </c>
      <c r="AB459" s="6">
        <f>$K$459*$V$459</f>
        <v>0</v>
      </c>
      <c r="AC459" s="6">
        <f>$M$459*$W$459</f>
        <v>4147.9484200000006</v>
      </c>
      <c r="AD459" s="6">
        <f>$O$459*$X$459</f>
        <v>2559.2821100000001</v>
      </c>
      <c r="AE459" s="6">
        <f>$K$459*$Y$459</f>
        <v>0</v>
      </c>
      <c r="AF459" s="6">
        <f ca="1">$M$459*$Z$459</f>
        <v>5771.3340258832004</v>
      </c>
      <c r="AG459" s="6">
        <f>$O$459*$AA$459</f>
        <v>894.41631226516915</v>
      </c>
    </row>
    <row r="460" spans="1:33" ht="11.25" customHeight="1" x14ac:dyDescent="0.3">
      <c r="A460" s="4" t="s">
        <v>28</v>
      </c>
      <c r="B460" s="4" t="s">
        <v>37</v>
      </c>
      <c r="C460" s="4" t="s">
        <v>33</v>
      </c>
      <c r="D460" s="4" t="s">
        <v>38</v>
      </c>
      <c r="E460" s="4" t="s">
        <v>25</v>
      </c>
      <c r="F460" s="4" t="s">
        <v>25</v>
      </c>
      <c r="G460" s="4" t="s">
        <v>25</v>
      </c>
      <c r="H460" s="4" t="s">
        <v>35</v>
      </c>
      <c r="I460" s="5">
        <v>44652</v>
      </c>
      <c r="J460" s="6">
        <v>0</v>
      </c>
      <c r="K460" s="6">
        <v>0</v>
      </c>
      <c r="L460" s="6">
        <v>0.24199999999999999</v>
      </c>
      <c r="M460" s="6">
        <v>0.24199999999999999</v>
      </c>
      <c r="N460" s="6">
        <v>0.24199999999999999</v>
      </c>
      <c r="O460" s="6">
        <v>0.24199999999999999</v>
      </c>
      <c r="P460" s="6">
        <v>0</v>
      </c>
      <c r="Q460" s="4" t="s">
        <v>26</v>
      </c>
      <c r="R460" s="4">
        <v>0</v>
      </c>
      <c r="S460" s="6">
        <v>0</v>
      </c>
      <c r="T460" s="6">
        <v>78</v>
      </c>
      <c r="U460" s="6">
        <v>60</v>
      </c>
      <c r="V460" s="6">
        <f>IF(ISERROR(VLOOKUP($S$460,'TAR FIN'!$A$1:$O$85,15,0)),0,VLOOKUP($S$460,'TAR FIN'!$A$1:$O$85,15,0))</f>
        <v>0</v>
      </c>
      <c r="W460" s="6">
        <f>IF(ISERROR(VLOOKUP($T$460,'TAR FIN'!$A$1:$O$85,15,0)),0,VLOOKUP($T$460,'TAR FIN'!$A$1:$O$85,15,0))</f>
        <v>361.54</v>
      </c>
      <c r="X460" s="6">
        <f>IF(ISERROR(VLOOKUP($U$460,'TAR FIN'!$A$1:$O$85,15,0)),0,VLOOKUP($U$460,'TAR FIN'!$A$1:$O$85,15,0))</f>
        <v>223.07</v>
      </c>
      <c r="Y460" s="6"/>
      <c r="Z460" s="6">
        <f ca="1">('TUSD BE'!$AM$47+'TUSD BF'!$AM$47+'TUSD CVA'!$AM$47)*1</f>
        <v>503.03617413781922</v>
      </c>
      <c r="AA460" s="6">
        <f>('TE BE'!$AB$37+'TE BF'!$AB$37+'TE CVA'!$AB$37)*1</f>
        <v>77.958364182443049</v>
      </c>
      <c r="AB460" s="6">
        <f>$K$460*$V$460</f>
        <v>0</v>
      </c>
      <c r="AC460" s="6">
        <f>$M$460*$W$460</f>
        <v>87.492680000000007</v>
      </c>
      <c r="AD460" s="6">
        <f>$O$460*$X$460</f>
        <v>53.982939999999999</v>
      </c>
      <c r="AE460" s="6">
        <f>$K$460*$Y$460</f>
        <v>0</v>
      </c>
      <c r="AF460" s="6">
        <f ca="1">$M$460*$Z$460</f>
        <v>121.73475414135224</v>
      </c>
      <c r="AG460" s="6">
        <f>$O$460*$AA$460</f>
        <v>18.865924132151218</v>
      </c>
    </row>
    <row r="461" spans="1:33" ht="11.25" customHeight="1" x14ac:dyDescent="0.3">
      <c r="A461" s="4" t="s">
        <v>21</v>
      </c>
      <c r="B461" s="4" t="s">
        <v>37</v>
      </c>
      <c r="C461" s="4" t="s">
        <v>33</v>
      </c>
      <c r="D461" s="4" t="s">
        <v>38</v>
      </c>
      <c r="E461" s="4" t="s">
        <v>25</v>
      </c>
      <c r="F461" s="4" t="s">
        <v>25</v>
      </c>
      <c r="G461" s="4" t="s">
        <v>25</v>
      </c>
      <c r="H461" s="4" t="s">
        <v>35</v>
      </c>
      <c r="I461" s="5">
        <v>44682</v>
      </c>
      <c r="J461" s="6">
        <v>0</v>
      </c>
      <c r="K461" s="6">
        <v>0</v>
      </c>
      <c r="L461" s="6">
        <v>13.253</v>
      </c>
      <c r="M461" s="6">
        <v>13.253</v>
      </c>
      <c r="N461" s="6">
        <v>13.253</v>
      </c>
      <c r="O461" s="6">
        <v>13.253</v>
      </c>
      <c r="P461" s="6">
        <v>0</v>
      </c>
      <c r="Q461" s="4" t="s">
        <v>26</v>
      </c>
      <c r="R461" s="4">
        <v>0</v>
      </c>
      <c r="S461" s="6">
        <v>0</v>
      </c>
      <c r="T461" s="6">
        <v>78</v>
      </c>
      <c r="U461" s="6">
        <v>60</v>
      </c>
      <c r="V461" s="6">
        <f>IF(ISERROR(VLOOKUP($S$461,'TAR FIN'!$A$1:$O$85,15,0)),0,VLOOKUP($S$461,'TAR FIN'!$A$1:$O$85,15,0))</f>
        <v>0</v>
      </c>
      <c r="W461" s="6">
        <f>IF(ISERROR(VLOOKUP($T$461,'TAR FIN'!$A$1:$O$85,15,0)),0,VLOOKUP($T$461,'TAR FIN'!$A$1:$O$85,15,0))</f>
        <v>361.54</v>
      </c>
      <c r="X461" s="6">
        <f>IF(ISERROR(VLOOKUP($U$461,'TAR FIN'!$A$1:$O$85,15,0)),0,VLOOKUP($U$461,'TAR FIN'!$A$1:$O$85,15,0))</f>
        <v>223.07</v>
      </c>
      <c r="Y461" s="6"/>
      <c r="Z461" s="6">
        <f ca="1">('TUSD BE'!$AM$47+'TUSD BF'!$AM$47+'TUSD CVA'!$AM$47)*1</f>
        <v>503.03617413781922</v>
      </c>
      <c r="AA461" s="6">
        <f>('TE BE'!$AB$37+'TE BF'!$AB$37+'TE CVA'!$AB$37)*1</f>
        <v>77.958364182443049</v>
      </c>
      <c r="AB461" s="6">
        <f>$K$461*$V$461</f>
        <v>0</v>
      </c>
      <c r="AC461" s="6">
        <f>$M$461*$W$461</f>
        <v>4791.4896200000003</v>
      </c>
      <c r="AD461" s="6">
        <f>$O$461*$X$461</f>
        <v>2956.3467099999998</v>
      </c>
      <c r="AE461" s="6">
        <f>$K$461*$Y$461</f>
        <v>0</v>
      </c>
      <c r="AF461" s="6">
        <f ca="1">$M$461*$Z$461</f>
        <v>6666.7384158485183</v>
      </c>
      <c r="AG461" s="6">
        <f>$O$461*$AA$461</f>
        <v>1033.1822005099177</v>
      </c>
    </row>
    <row r="462" spans="1:33" ht="11.25" customHeight="1" x14ac:dyDescent="0.3">
      <c r="A462" s="4" t="s">
        <v>28</v>
      </c>
      <c r="B462" s="4" t="s">
        <v>37</v>
      </c>
      <c r="C462" s="4" t="s">
        <v>33</v>
      </c>
      <c r="D462" s="4" t="s">
        <v>38</v>
      </c>
      <c r="E462" s="4" t="s">
        <v>25</v>
      </c>
      <c r="F462" s="4" t="s">
        <v>25</v>
      </c>
      <c r="G462" s="4" t="s">
        <v>25</v>
      </c>
      <c r="H462" s="4" t="s">
        <v>35</v>
      </c>
      <c r="I462" s="5">
        <v>44682</v>
      </c>
      <c r="J462" s="6">
        <v>0</v>
      </c>
      <c r="K462" s="6">
        <v>0</v>
      </c>
      <c r="L462" s="6">
        <v>0.24199999999999999</v>
      </c>
      <c r="M462" s="6">
        <v>0.24199999999999999</v>
      </c>
      <c r="N462" s="6">
        <v>0.24199999999999999</v>
      </c>
      <c r="O462" s="6">
        <v>0.24199999999999999</v>
      </c>
      <c r="P462" s="6">
        <v>0</v>
      </c>
      <c r="Q462" s="4" t="s">
        <v>26</v>
      </c>
      <c r="R462" s="4">
        <v>0</v>
      </c>
      <c r="S462" s="6">
        <v>0</v>
      </c>
      <c r="T462" s="6">
        <v>78</v>
      </c>
      <c r="U462" s="6">
        <v>60</v>
      </c>
      <c r="V462" s="6">
        <f>IF(ISERROR(VLOOKUP($S$462,'TAR FIN'!$A$1:$O$85,15,0)),0,VLOOKUP($S$462,'TAR FIN'!$A$1:$O$85,15,0))</f>
        <v>0</v>
      </c>
      <c r="W462" s="6">
        <f>IF(ISERROR(VLOOKUP($T$462,'TAR FIN'!$A$1:$O$85,15,0)),0,VLOOKUP($T$462,'TAR FIN'!$A$1:$O$85,15,0))</f>
        <v>361.54</v>
      </c>
      <c r="X462" s="6">
        <f>IF(ISERROR(VLOOKUP($U$462,'TAR FIN'!$A$1:$O$85,15,0)),0,VLOOKUP($U$462,'TAR FIN'!$A$1:$O$85,15,0))</f>
        <v>223.07</v>
      </c>
      <c r="Y462" s="6"/>
      <c r="Z462" s="6">
        <f ca="1">('TUSD BE'!$AM$47+'TUSD BF'!$AM$47+'TUSD CVA'!$AM$47)*1</f>
        <v>503.03617413781922</v>
      </c>
      <c r="AA462" s="6">
        <f>('TE BE'!$AB$37+'TE BF'!$AB$37+'TE CVA'!$AB$37)*1</f>
        <v>77.958364182443049</v>
      </c>
      <c r="AB462" s="6">
        <f>$K$462*$V$462</f>
        <v>0</v>
      </c>
      <c r="AC462" s="6">
        <f>$M$462*$W$462</f>
        <v>87.492680000000007</v>
      </c>
      <c r="AD462" s="6">
        <f>$O$462*$X$462</f>
        <v>53.982939999999999</v>
      </c>
      <c r="AE462" s="6">
        <f>$K$462*$Y$462</f>
        <v>0</v>
      </c>
      <c r="AF462" s="6">
        <f ca="1">$M$462*$Z$462</f>
        <v>121.73475414135224</v>
      </c>
      <c r="AG462" s="6">
        <f>$O$462*$AA$462</f>
        <v>18.865924132151218</v>
      </c>
    </row>
    <row r="463" spans="1:33" ht="11.25" customHeight="1" x14ac:dyDescent="0.3">
      <c r="A463" s="4" t="s">
        <v>21</v>
      </c>
      <c r="B463" s="4" t="s">
        <v>37</v>
      </c>
      <c r="C463" s="4" t="s">
        <v>33</v>
      </c>
      <c r="D463" s="4" t="s">
        <v>38</v>
      </c>
      <c r="E463" s="4" t="s">
        <v>25</v>
      </c>
      <c r="F463" s="4" t="s">
        <v>25</v>
      </c>
      <c r="G463" s="4" t="s">
        <v>25</v>
      </c>
      <c r="H463" s="4" t="s">
        <v>35</v>
      </c>
      <c r="I463" s="5">
        <v>44713</v>
      </c>
      <c r="J463" s="6">
        <v>0</v>
      </c>
      <c r="K463" s="6">
        <v>0</v>
      </c>
      <c r="L463" s="6">
        <v>9.5050000000000008</v>
      </c>
      <c r="M463" s="6">
        <v>9.5050000000000008</v>
      </c>
      <c r="N463" s="6">
        <v>9.5050000000000008</v>
      </c>
      <c r="O463" s="6">
        <v>9.5050000000000008</v>
      </c>
      <c r="P463" s="6">
        <v>0</v>
      </c>
      <c r="Q463" s="4" t="s">
        <v>26</v>
      </c>
      <c r="R463" s="4">
        <v>0</v>
      </c>
      <c r="S463" s="6">
        <v>0</v>
      </c>
      <c r="T463" s="6">
        <v>78</v>
      </c>
      <c r="U463" s="6">
        <v>60</v>
      </c>
      <c r="V463" s="6">
        <f>IF(ISERROR(VLOOKUP($S$463,'TAR FIN'!$A$1:$O$85,15,0)),0,VLOOKUP($S$463,'TAR FIN'!$A$1:$O$85,15,0))</f>
        <v>0</v>
      </c>
      <c r="W463" s="6">
        <f>IF(ISERROR(VLOOKUP($T$463,'TAR FIN'!$A$1:$O$85,15,0)),0,VLOOKUP($T$463,'TAR FIN'!$A$1:$O$85,15,0))</f>
        <v>361.54</v>
      </c>
      <c r="X463" s="6">
        <f>IF(ISERROR(VLOOKUP($U$463,'TAR FIN'!$A$1:$O$85,15,0)),0,VLOOKUP($U$463,'TAR FIN'!$A$1:$O$85,15,0))</f>
        <v>223.07</v>
      </c>
      <c r="Y463" s="6"/>
      <c r="Z463" s="6">
        <f ca="1">('TUSD BE'!$AM$47+'TUSD BF'!$AM$47+'TUSD CVA'!$AM$47)*1</f>
        <v>503.03617413781922</v>
      </c>
      <c r="AA463" s="6">
        <f>('TE BE'!$AB$37+'TE BF'!$AB$37+'TE CVA'!$AB$37)*1</f>
        <v>77.958364182443049</v>
      </c>
      <c r="AB463" s="6">
        <f>$K$463*$V$463</f>
        <v>0</v>
      </c>
      <c r="AC463" s="6">
        <f>$M$463*$W$463</f>
        <v>3436.4377000000004</v>
      </c>
      <c r="AD463" s="6">
        <f>$O$463*$X$463</f>
        <v>2120.28035</v>
      </c>
      <c r="AE463" s="6">
        <f>$K$463*$Y$463</f>
        <v>0</v>
      </c>
      <c r="AF463" s="6">
        <f ca="1">$M$463*$Z$463</f>
        <v>4781.3588351799717</v>
      </c>
      <c r="AG463" s="6">
        <f>$O$463*$AA$463</f>
        <v>740.99425155412121</v>
      </c>
    </row>
    <row r="464" spans="1:33" ht="11.25" customHeight="1" x14ac:dyDescent="0.3">
      <c r="A464" s="4" t="s">
        <v>28</v>
      </c>
      <c r="B464" s="4" t="s">
        <v>37</v>
      </c>
      <c r="C464" s="4" t="s">
        <v>33</v>
      </c>
      <c r="D464" s="4" t="s">
        <v>38</v>
      </c>
      <c r="E464" s="4" t="s">
        <v>25</v>
      </c>
      <c r="F464" s="4" t="s">
        <v>25</v>
      </c>
      <c r="G464" s="4" t="s">
        <v>25</v>
      </c>
      <c r="H464" s="4" t="s">
        <v>35</v>
      </c>
      <c r="I464" s="5">
        <v>44713</v>
      </c>
      <c r="J464" s="6">
        <v>0</v>
      </c>
      <c r="K464" s="6">
        <v>0</v>
      </c>
      <c r="L464" s="6">
        <v>0.24199999999999999</v>
      </c>
      <c r="M464" s="6">
        <v>0.24199999999999999</v>
      </c>
      <c r="N464" s="6">
        <v>0.24199999999999999</v>
      </c>
      <c r="O464" s="6">
        <v>0.24199999999999999</v>
      </c>
      <c r="P464" s="6">
        <v>0</v>
      </c>
      <c r="Q464" s="4" t="s">
        <v>26</v>
      </c>
      <c r="R464" s="4">
        <v>0</v>
      </c>
      <c r="S464" s="6">
        <v>0</v>
      </c>
      <c r="T464" s="6">
        <v>78</v>
      </c>
      <c r="U464" s="6">
        <v>60</v>
      </c>
      <c r="V464" s="6">
        <f>IF(ISERROR(VLOOKUP($S$464,'TAR FIN'!$A$1:$O$85,15,0)),0,VLOOKUP($S$464,'TAR FIN'!$A$1:$O$85,15,0))</f>
        <v>0</v>
      </c>
      <c r="W464" s="6">
        <f>IF(ISERROR(VLOOKUP($T$464,'TAR FIN'!$A$1:$O$85,15,0)),0,VLOOKUP($T$464,'TAR FIN'!$A$1:$O$85,15,0))</f>
        <v>361.54</v>
      </c>
      <c r="X464" s="6">
        <f>IF(ISERROR(VLOOKUP($U$464,'TAR FIN'!$A$1:$O$85,15,0)),0,VLOOKUP($U$464,'TAR FIN'!$A$1:$O$85,15,0))</f>
        <v>223.07</v>
      </c>
      <c r="Y464" s="6"/>
      <c r="Z464" s="6">
        <f ca="1">('TUSD BE'!$AM$47+'TUSD BF'!$AM$47+'TUSD CVA'!$AM$47)*1</f>
        <v>503.03617413781922</v>
      </c>
      <c r="AA464" s="6">
        <f>('TE BE'!$AB$37+'TE BF'!$AB$37+'TE CVA'!$AB$37)*1</f>
        <v>77.958364182443049</v>
      </c>
      <c r="AB464" s="6">
        <f>$K$464*$V$464</f>
        <v>0</v>
      </c>
      <c r="AC464" s="6">
        <f>$M$464*$W$464</f>
        <v>87.492680000000007</v>
      </c>
      <c r="AD464" s="6">
        <f>$O$464*$X$464</f>
        <v>53.982939999999999</v>
      </c>
      <c r="AE464" s="6">
        <f>$K$464*$Y$464</f>
        <v>0</v>
      </c>
      <c r="AF464" s="6">
        <f ca="1">$M$464*$Z$464</f>
        <v>121.73475414135224</v>
      </c>
      <c r="AG464" s="6">
        <f>$O$464*$AA$464</f>
        <v>18.865924132151218</v>
      </c>
    </row>
    <row r="465" spans="1:33" ht="11.25" customHeight="1" x14ac:dyDescent="0.3">
      <c r="A465" s="4" t="s">
        <v>21</v>
      </c>
      <c r="B465" s="4" t="s">
        <v>37</v>
      </c>
      <c r="C465" s="4" t="s">
        <v>33</v>
      </c>
      <c r="D465" s="4" t="s">
        <v>38</v>
      </c>
      <c r="E465" s="4" t="s">
        <v>25</v>
      </c>
      <c r="F465" s="4" t="s">
        <v>25</v>
      </c>
      <c r="G465" s="4" t="s">
        <v>25</v>
      </c>
      <c r="H465" s="4" t="s">
        <v>35</v>
      </c>
      <c r="I465" s="5">
        <v>44743</v>
      </c>
      <c r="J465" s="6">
        <v>0</v>
      </c>
      <c r="K465" s="6">
        <v>0</v>
      </c>
      <c r="L465" s="6">
        <v>9.4589999999999996</v>
      </c>
      <c r="M465" s="6">
        <v>9.4589999999999996</v>
      </c>
      <c r="N465" s="6">
        <v>9.4589999999999996</v>
      </c>
      <c r="O465" s="6">
        <v>9.4589999999999996</v>
      </c>
      <c r="P465" s="6">
        <v>0</v>
      </c>
      <c r="Q465" s="4" t="s">
        <v>26</v>
      </c>
      <c r="R465" s="4">
        <v>0</v>
      </c>
      <c r="S465" s="6">
        <v>0</v>
      </c>
      <c r="T465" s="6">
        <v>78</v>
      </c>
      <c r="U465" s="6">
        <v>60</v>
      </c>
      <c r="V465" s="6">
        <f>IF(ISERROR(VLOOKUP($S$465,'TAR FIN'!$A$1:$O$85,15,0)),0,VLOOKUP($S$465,'TAR FIN'!$A$1:$O$85,15,0))</f>
        <v>0</v>
      </c>
      <c r="W465" s="6">
        <f>IF(ISERROR(VLOOKUP($T$465,'TAR FIN'!$A$1:$O$85,15,0)),0,VLOOKUP($T$465,'TAR FIN'!$A$1:$O$85,15,0))</f>
        <v>361.54</v>
      </c>
      <c r="X465" s="6">
        <f>IF(ISERROR(VLOOKUP($U$465,'TAR FIN'!$A$1:$O$85,15,0)),0,VLOOKUP($U$465,'TAR FIN'!$A$1:$O$85,15,0))</f>
        <v>223.07</v>
      </c>
      <c r="Y465" s="6"/>
      <c r="Z465" s="6">
        <f ca="1">('TUSD BE'!$AM$47+'TUSD BF'!$AM$47+'TUSD CVA'!$AM$47)*1</f>
        <v>503.03617413781922</v>
      </c>
      <c r="AA465" s="6">
        <f>('TE BE'!$AB$37+'TE BF'!$AB$37+'TE CVA'!$AB$37)*1</f>
        <v>77.958364182443049</v>
      </c>
      <c r="AB465" s="6">
        <f>$K$465*$V$465</f>
        <v>0</v>
      </c>
      <c r="AC465" s="6">
        <f>$M$465*$W$465</f>
        <v>3419.8068600000001</v>
      </c>
      <c r="AD465" s="6">
        <f>$O$465*$X$465</f>
        <v>2110.0191299999997</v>
      </c>
      <c r="AE465" s="6">
        <f>$K$465*$Y$465</f>
        <v>0</v>
      </c>
      <c r="AF465" s="6">
        <f ca="1">$M$465*$Z$465</f>
        <v>4758.2191711696314</v>
      </c>
      <c r="AG465" s="6">
        <f>$O$465*$AA$465</f>
        <v>737.40816680172873</v>
      </c>
    </row>
    <row r="466" spans="1:33" ht="11.25" customHeight="1" x14ac:dyDescent="0.3">
      <c r="A466" s="4" t="s">
        <v>28</v>
      </c>
      <c r="B466" s="4" t="s">
        <v>37</v>
      </c>
      <c r="C466" s="4" t="s">
        <v>33</v>
      </c>
      <c r="D466" s="4" t="s">
        <v>38</v>
      </c>
      <c r="E466" s="4" t="s">
        <v>25</v>
      </c>
      <c r="F466" s="4" t="s">
        <v>25</v>
      </c>
      <c r="G466" s="4" t="s">
        <v>25</v>
      </c>
      <c r="H466" s="4" t="s">
        <v>35</v>
      </c>
      <c r="I466" s="5">
        <v>44743</v>
      </c>
      <c r="J466" s="6">
        <v>0</v>
      </c>
      <c r="K466" s="6">
        <v>0</v>
      </c>
      <c r="L466" s="6">
        <v>0.24199999999999999</v>
      </c>
      <c r="M466" s="6">
        <v>0.24199999999999999</v>
      </c>
      <c r="N466" s="6">
        <v>0.24199999999999999</v>
      </c>
      <c r="O466" s="6">
        <v>0.24199999999999999</v>
      </c>
      <c r="P466" s="6">
        <v>0</v>
      </c>
      <c r="Q466" s="4" t="s">
        <v>26</v>
      </c>
      <c r="R466" s="4">
        <v>0</v>
      </c>
      <c r="S466" s="6">
        <v>0</v>
      </c>
      <c r="T466" s="6">
        <v>78</v>
      </c>
      <c r="U466" s="6">
        <v>60</v>
      </c>
      <c r="V466" s="6">
        <f>IF(ISERROR(VLOOKUP($S$466,'TAR FIN'!$A$1:$O$85,15,0)),0,VLOOKUP($S$466,'TAR FIN'!$A$1:$O$85,15,0))</f>
        <v>0</v>
      </c>
      <c r="W466" s="6">
        <f>IF(ISERROR(VLOOKUP($T$466,'TAR FIN'!$A$1:$O$85,15,0)),0,VLOOKUP($T$466,'TAR FIN'!$A$1:$O$85,15,0))</f>
        <v>361.54</v>
      </c>
      <c r="X466" s="6">
        <f>IF(ISERROR(VLOOKUP($U$466,'TAR FIN'!$A$1:$O$85,15,0)),0,VLOOKUP($U$466,'TAR FIN'!$A$1:$O$85,15,0))</f>
        <v>223.07</v>
      </c>
      <c r="Y466" s="6"/>
      <c r="Z466" s="6">
        <f ca="1">('TUSD BE'!$AM$47+'TUSD BF'!$AM$47+'TUSD CVA'!$AM$47)*1</f>
        <v>503.03617413781922</v>
      </c>
      <c r="AA466" s="6">
        <f>('TE BE'!$AB$37+'TE BF'!$AB$37+'TE CVA'!$AB$37)*1</f>
        <v>77.958364182443049</v>
      </c>
      <c r="AB466" s="6">
        <f>$K$466*$V$466</f>
        <v>0</v>
      </c>
      <c r="AC466" s="6">
        <f>$M$466*$W$466</f>
        <v>87.492680000000007</v>
      </c>
      <c r="AD466" s="6">
        <f>$O$466*$X$466</f>
        <v>53.982939999999999</v>
      </c>
      <c r="AE466" s="6">
        <f>$K$466*$Y$466</f>
        <v>0</v>
      </c>
      <c r="AF466" s="6">
        <f ca="1">$M$466*$Z$466</f>
        <v>121.73475414135224</v>
      </c>
      <c r="AG466" s="6">
        <f>$O$466*$AA$466</f>
        <v>18.865924132151218</v>
      </c>
    </row>
    <row r="467" spans="1:33" ht="11.25" customHeight="1" x14ac:dyDescent="0.3">
      <c r="A467" s="4" t="s">
        <v>21</v>
      </c>
      <c r="B467" s="4" t="s">
        <v>37</v>
      </c>
      <c r="C467" s="4" t="s">
        <v>33</v>
      </c>
      <c r="D467" s="4" t="s">
        <v>38</v>
      </c>
      <c r="E467" s="4" t="s">
        <v>25</v>
      </c>
      <c r="F467" s="4" t="s">
        <v>25</v>
      </c>
      <c r="G467" s="4" t="s">
        <v>25</v>
      </c>
      <c r="H467" s="4" t="s">
        <v>35</v>
      </c>
      <c r="I467" s="5">
        <v>44774</v>
      </c>
      <c r="J467" s="6">
        <v>0</v>
      </c>
      <c r="K467" s="6">
        <v>0</v>
      </c>
      <c r="L467" s="6">
        <v>12.476000000000001</v>
      </c>
      <c r="M467" s="6">
        <v>12.476000000000001</v>
      </c>
      <c r="N467" s="6">
        <v>12.476000000000001</v>
      </c>
      <c r="O467" s="6">
        <v>12.476000000000001</v>
      </c>
      <c r="P467" s="6">
        <v>0</v>
      </c>
      <c r="Q467" s="4" t="s">
        <v>26</v>
      </c>
      <c r="R467" s="4">
        <v>0</v>
      </c>
      <c r="S467" s="6">
        <v>0</v>
      </c>
      <c r="T467" s="6">
        <v>78</v>
      </c>
      <c r="U467" s="6">
        <v>60</v>
      </c>
      <c r="V467" s="6">
        <f>IF(ISERROR(VLOOKUP($S$467,'TAR FIN'!$A$1:$O$85,15,0)),0,VLOOKUP($S$467,'TAR FIN'!$A$1:$O$85,15,0))</f>
        <v>0</v>
      </c>
      <c r="W467" s="6">
        <f>IF(ISERROR(VLOOKUP($T$467,'TAR FIN'!$A$1:$O$85,15,0)),0,VLOOKUP($T$467,'TAR FIN'!$A$1:$O$85,15,0))</f>
        <v>361.54</v>
      </c>
      <c r="X467" s="6">
        <f>IF(ISERROR(VLOOKUP($U$467,'TAR FIN'!$A$1:$O$85,15,0)),0,VLOOKUP($U$467,'TAR FIN'!$A$1:$O$85,15,0))</f>
        <v>223.07</v>
      </c>
      <c r="Y467" s="6"/>
      <c r="Z467" s="6">
        <f ca="1">('TUSD BE'!$AM$47+'TUSD BF'!$AM$47+'TUSD CVA'!$AM$47)*1</f>
        <v>503.03617413781922</v>
      </c>
      <c r="AA467" s="6">
        <f>('TE BE'!$AB$37+'TE BF'!$AB$37+'TE CVA'!$AB$37)*1</f>
        <v>77.958364182443049</v>
      </c>
      <c r="AB467" s="6">
        <f>$K$467*$V$467</f>
        <v>0</v>
      </c>
      <c r="AC467" s="6">
        <f>$M$467*$W$467</f>
        <v>4510.5730400000002</v>
      </c>
      <c r="AD467" s="6">
        <f>$O$467*$X$467</f>
        <v>2783.0213200000003</v>
      </c>
      <c r="AE467" s="6">
        <f>$K$467*$Y$467</f>
        <v>0</v>
      </c>
      <c r="AF467" s="6">
        <f ca="1">$M$467*$Z$467</f>
        <v>6275.8793085434327</v>
      </c>
      <c r="AG467" s="6">
        <f>$O$467*$AA$467</f>
        <v>972.60855154015951</v>
      </c>
    </row>
    <row r="468" spans="1:33" ht="11.25" customHeight="1" x14ac:dyDescent="0.3">
      <c r="A468" s="4" t="s">
        <v>21</v>
      </c>
      <c r="B468" s="4" t="s">
        <v>37</v>
      </c>
      <c r="C468" s="4" t="s">
        <v>33</v>
      </c>
      <c r="D468" s="4" t="s">
        <v>38</v>
      </c>
      <c r="E468" s="4" t="s">
        <v>25</v>
      </c>
      <c r="F468" s="4" t="s">
        <v>25</v>
      </c>
      <c r="G468" s="4" t="s">
        <v>25</v>
      </c>
      <c r="H468" s="4" t="s">
        <v>36</v>
      </c>
      <c r="I468" s="5">
        <v>44440</v>
      </c>
      <c r="J468" s="6">
        <v>0</v>
      </c>
      <c r="K468" s="6">
        <v>0</v>
      </c>
      <c r="L468" s="6">
        <v>0.46</v>
      </c>
      <c r="M468" s="6">
        <v>0.46</v>
      </c>
      <c r="N468" s="6">
        <v>0.46</v>
      </c>
      <c r="O468" s="6">
        <v>0.46</v>
      </c>
      <c r="P468" s="6">
        <v>0</v>
      </c>
      <c r="Q468" s="4" t="s">
        <v>26</v>
      </c>
      <c r="R468" s="4">
        <v>0</v>
      </c>
      <c r="S468" s="6">
        <v>0</v>
      </c>
      <c r="T468" s="6">
        <v>76</v>
      </c>
      <c r="U468" s="6">
        <v>54</v>
      </c>
      <c r="V468" s="6">
        <f>IF(ISERROR(VLOOKUP($S$468,'TAR FIN'!$A$1:$O$85,15,0)),0,VLOOKUP($S$468,'TAR FIN'!$A$1:$O$85,15,0))</f>
        <v>0</v>
      </c>
      <c r="W468" s="6">
        <f>IF(ISERROR(VLOOKUP($T$468,'TAR FIN'!$A$1:$O$85,15,0)),0,VLOOKUP($T$468,'TAR FIN'!$A$1:$O$85,15,0))</f>
        <v>900.63</v>
      </c>
      <c r="X468" s="6">
        <f>IF(ISERROR(VLOOKUP($U$468,'TAR FIN'!$A$1:$O$85,15,0)),0,VLOOKUP($U$468,'TAR FIN'!$A$1:$O$85,15,0))</f>
        <v>223.07</v>
      </c>
      <c r="Y468" s="6"/>
      <c r="Z468" s="6">
        <f ca="1">('TUSD BE'!$AM$46+'TUSD BF'!$AM$46+'TUSD CVA'!$AM$46)*1</f>
        <v>1287.4111034312796</v>
      </c>
      <c r="AA468" s="6">
        <f>('TE BE'!$AB$36+'TE BF'!$AB$36+'TE CVA'!$AB$36)*1</f>
        <v>77.958364182443049</v>
      </c>
      <c r="AB468" s="6">
        <f>$K$468*$V$468</f>
        <v>0</v>
      </c>
      <c r="AC468" s="6">
        <f>$M$468*$W$468</f>
        <v>414.28980000000001</v>
      </c>
      <c r="AD468" s="6">
        <f>$O$468*$X$468</f>
        <v>102.6122</v>
      </c>
      <c r="AE468" s="6">
        <f>$K$468*$Y$468</f>
        <v>0</v>
      </c>
      <c r="AF468" s="6">
        <f ca="1">$M$468*$Z$468</f>
        <v>592.20910757838863</v>
      </c>
      <c r="AG468" s="6">
        <f>$O$468*$AA$468</f>
        <v>35.860847523923802</v>
      </c>
    </row>
    <row r="469" spans="1:33" ht="11.25" customHeight="1" x14ac:dyDescent="0.3">
      <c r="A469" s="4" t="s">
        <v>21</v>
      </c>
      <c r="B469" s="4" t="s">
        <v>37</v>
      </c>
      <c r="C469" s="4" t="s">
        <v>33</v>
      </c>
      <c r="D469" s="4" t="s">
        <v>38</v>
      </c>
      <c r="E469" s="4" t="s">
        <v>25</v>
      </c>
      <c r="F469" s="4" t="s">
        <v>25</v>
      </c>
      <c r="G469" s="4" t="s">
        <v>25</v>
      </c>
      <c r="H469" s="4" t="s">
        <v>36</v>
      </c>
      <c r="I469" s="5">
        <v>44470</v>
      </c>
      <c r="J469" s="6">
        <v>0</v>
      </c>
      <c r="K469" s="6">
        <v>0</v>
      </c>
      <c r="L469" s="6">
        <v>0.47799999999999998</v>
      </c>
      <c r="M469" s="6">
        <v>0.47799999999999998</v>
      </c>
      <c r="N469" s="6">
        <v>0.47799999999999998</v>
      </c>
      <c r="O469" s="6">
        <v>0.47799999999999998</v>
      </c>
      <c r="P469" s="6">
        <v>0</v>
      </c>
      <c r="Q469" s="4" t="s">
        <v>26</v>
      </c>
      <c r="R469" s="4">
        <v>0</v>
      </c>
      <c r="S469" s="6">
        <v>0</v>
      </c>
      <c r="T469" s="6">
        <v>76</v>
      </c>
      <c r="U469" s="6">
        <v>54</v>
      </c>
      <c r="V469" s="6">
        <f>IF(ISERROR(VLOOKUP($S$469,'TAR FIN'!$A$1:$O$85,15,0)),0,VLOOKUP($S$469,'TAR FIN'!$A$1:$O$85,15,0))</f>
        <v>0</v>
      </c>
      <c r="W469" s="6">
        <f>IF(ISERROR(VLOOKUP($T$469,'TAR FIN'!$A$1:$O$85,15,0)),0,VLOOKUP($T$469,'TAR FIN'!$A$1:$O$85,15,0))</f>
        <v>900.63</v>
      </c>
      <c r="X469" s="6">
        <f>IF(ISERROR(VLOOKUP($U$469,'TAR FIN'!$A$1:$O$85,15,0)),0,VLOOKUP($U$469,'TAR FIN'!$A$1:$O$85,15,0))</f>
        <v>223.07</v>
      </c>
      <c r="Y469" s="6"/>
      <c r="Z469" s="6">
        <f ca="1">('TUSD BE'!$AM$46+'TUSD BF'!$AM$46+'TUSD CVA'!$AM$46)*1</f>
        <v>1287.4111034312796</v>
      </c>
      <c r="AA469" s="6">
        <f>('TE BE'!$AB$36+'TE BF'!$AB$36+'TE CVA'!$AB$36)*1</f>
        <v>77.958364182443049</v>
      </c>
      <c r="AB469" s="6">
        <f>$K$469*$V$469</f>
        <v>0</v>
      </c>
      <c r="AC469" s="6">
        <f>$M$469*$W$469</f>
        <v>430.50113999999996</v>
      </c>
      <c r="AD469" s="6">
        <f>$O$469*$X$469</f>
        <v>106.62746</v>
      </c>
      <c r="AE469" s="6">
        <f>$K$469*$Y$469</f>
        <v>0</v>
      </c>
      <c r="AF469" s="6">
        <f ca="1">$M$469*$Z$469</f>
        <v>615.38250744015158</v>
      </c>
      <c r="AG469" s="6">
        <f>$O$469*$AA$469</f>
        <v>37.264098079207777</v>
      </c>
    </row>
    <row r="470" spans="1:33" ht="11.25" customHeight="1" x14ac:dyDescent="0.3">
      <c r="A470" s="4" t="s">
        <v>21</v>
      </c>
      <c r="B470" s="4" t="s">
        <v>37</v>
      </c>
      <c r="C470" s="4" t="s">
        <v>33</v>
      </c>
      <c r="D470" s="4" t="s">
        <v>38</v>
      </c>
      <c r="E470" s="4" t="s">
        <v>25</v>
      </c>
      <c r="F470" s="4" t="s">
        <v>25</v>
      </c>
      <c r="G470" s="4" t="s">
        <v>25</v>
      </c>
      <c r="H470" s="4" t="s">
        <v>36</v>
      </c>
      <c r="I470" s="5">
        <v>44501</v>
      </c>
      <c r="J470" s="6">
        <v>0</v>
      </c>
      <c r="K470" s="6">
        <v>0</v>
      </c>
      <c r="L470" s="6">
        <v>0.32800000000000001</v>
      </c>
      <c r="M470" s="6">
        <v>0.32800000000000001</v>
      </c>
      <c r="N470" s="6">
        <v>0.32800000000000001</v>
      </c>
      <c r="O470" s="6">
        <v>0.32800000000000001</v>
      </c>
      <c r="P470" s="6">
        <v>0</v>
      </c>
      <c r="Q470" s="4" t="s">
        <v>26</v>
      </c>
      <c r="R470" s="4">
        <v>0</v>
      </c>
      <c r="S470" s="6">
        <v>0</v>
      </c>
      <c r="T470" s="6">
        <v>76</v>
      </c>
      <c r="U470" s="6">
        <v>54</v>
      </c>
      <c r="V470" s="6">
        <f>IF(ISERROR(VLOOKUP($S$470,'TAR FIN'!$A$1:$O$85,15,0)),0,VLOOKUP($S$470,'TAR FIN'!$A$1:$O$85,15,0))</f>
        <v>0</v>
      </c>
      <c r="W470" s="6">
        <f>IF(ISERROR(VLOOKUP($T$470,'TAR FIN'!$A$1:$O$85,15,0)),0,VLOOKUP($T$470,'TAR FIN'!$A$1:$O$85,15,0))</f>
        <v>900.63</v>
      </c>
      <c r="X470" s="6">
        <f>IF(ISERROR(VLOOKUP($U$470,'TAR FIN'!$A$1:$O$85,15,0)),0,VLOOKUP($U$470,'TAR FIN'!$A$1:$O$85,15,0))</f>
        <v>223.07</v>
      </c>
      <c r="Y470" s="6"/>
      <c r="Z470" s="6">
        <f ca="1">('TUSD BE'!$AM$46+'TUSD BF'!$AM$46+'TUSD CVA'!$AM$46)*1</f>
        <v>1287.4111034312796</v>
      </c>
      <c r="AA470" s="6">
        <f>('TE BE'!$AB$36+'TE BF'!$AB$36+'TE CVA'!$AB$36)*1</f>
        <v>77.958364182443049</v>
      </c>
      <c r="AB470" s="6">
        <f>$K$470*$V$470</f>
        <v>0</v>
      </c>
      <c r="AC470" s="6">
        <f>$M$470*$W$470</f>
        <v>295.40664000000004</v>
      </c>
      <c r="AD470" s="6">
        <f>$O$470*$X$470</f>
        <v>73.166960000000003</v>
      </c>
      <c r="AE470" s="6">
        <f>$K$470*$Y$470</f>
        <v>0</v>
      </c>
      <c r="AF470" s="6">
        <f ca="1">$M$470*$Z$470</f>
        <v>422.27084192545971</v>
      </c>
      <c r="AG470" s="6">
        <f>$O$470*$AA$470</f>
        <v>25.570343451841321</v>
      </c>
    </row>
    <row r="471" spans="1:33" ht="11.25" customHeight="1" x14ac:dyDescent="0.3">
      <c r="A471" s="4" t="s">
        <v>21</v>
      </c>
      <c r="B471" s="4" t="s">
        <v>37</v>
      </c>
      <c r="C471" s="4" t="s">
        <v>33</v>
      </c>
      <c r="D471" s="4" t="s">
        <v>38</v>
      </c>
      <c r="E471" s="4" t="s">
        <v>25</v>
      </c>
      <c r="F471" s="4" t="s">
        <v>25</v>
      </c>
      <c r="G471" s="4" t="s">
        <v>25</v>
      </c>
      <c r="H471" s="4" t="s">
        <v>36</v>
      </c>
      <c r="I471" s="5">
        <v>44531</v>
      </c>
      <c r="J471" s="6">
        <v>0</v>
      </c>
      <c r="K471" s="6">
        <v>0</v>
      </c>
      <c r="L471" s="6">
        <v>0.29899999999999999</v>
      </c>
      <c r="M471" s="6">
        <v>0.29899999999999999</v>
      </c>
      <c r="N471" s="6">
        <v>0.29899999999999999</v>
      </c>
      <c r="O471" s="6">
        <v>0.29899999999999999</v>
      </c>
      <c r="P471" s="6">
        <v>0</v>
      </c>
      <c r="Q471" s="4" t="s">
        <v>26</v>
      </c>
      <c r="R471" s="4">
        <v>0</v>
      </c>
      <c r="S471" s="6">
        <v>0</v>
      </c>
      <c r="T471" s="6">
        <v>76</v>
      </c>
      <c r="U471" s="6">
        <v>54</v>
      </c>
      <c r="V471" s="6">
        <f>IF(ISERROR(VLOOKUP($S$471,'TAR FIN'!$A$1:$O$85,15,0)),0,VLOOKUP($S$471,'TAR FIN'!$A$1:$O$85,15,0))</f>
        <v>0</v>
      </c>
      <c r="W471" s="6">
        <f>IF(ISERROR(VLOOKUP($T$471,'TAR FIN'!$A$1:$O$85,15,0)),0,VLOOKUP($T$471,'TAR FIN'!$A$1:$O$85,15,0))</f>
        <v>900.63</v>
      </c>
      <c r="X471" s="6">
        <f>IF(ISERROR(VLOOKUP($U$471,'TAR FIN'!$A$1:$O$85,15,0)),0,VLOOKUP($U$471,'TAR FIN'!$A$1:$O$85,15,0))</f>
        <v>223.07</v>
      </c>
      <c r="Y471" s="6"/>
      <c r="Z471" s="6">
        <f ca="1">('TUSD BE'!$AM$46+'TUSD BF'!$AM$46+'TUSD CVA'!$AM$46)*1</f>
        <v>1287.4111034312796</v>
      </c>
      <c r="AA471" s="6">
        <f>('TE BE'!$AB$36+'TE BF'!$AB$36+'TE CVA'!$AB$36)*1</f>
        <v>77.958364182443049</v>
      </c>
      <c r="AB471" s="6">
        <f>$K$471*$V$471</f>
        <v>0</v>
      </c>
      <c r="AC471" s="6">
        <f>$M$471*$W$471</f>
        <v>269.28836999999999</v>
      </c>
      <c r="AD471" s="6">
        <f>$O$471*$X$471</f>
        <v>66.697929999999999</v>
      </c>
      <c r="AE471" s="6">
        <f>$K$471*$Y$471</f>
        <v>0</v>
      </c>
      <c r="AF471" s="6">
        <f ca="1">$M$471*$Z$471</f>
        <v>384.93591992595259</v>
      </c>
      <c r="AG471" s="6">
        <f>$O$471*$AA$471</f>
        <v>23.309550890550472</v>
      </c>
    </row>
    <row r="472" spans="1:33" ht="11.25" customHeight="1" x14ac:dyDescent="0.3">
      <c r="A472" s="4" t="s">
        <v>21</v>
      </c>
      <c r="B472" s="4" t="s">
        <v>37</v>
      </c>
      <c r="C472" s="4" t="s">
        <v>33</v>
      </c>
      <c r="D472" s="4" t="s">
        <v>38</v>
      </c>
      <c r="E472" s="4" t="s">
        <v>25</v>
      </c>
      <c r="F472" s="4" t="s">
        <v>25</v>
      </c>
      <c r="G472" s="4" t="s">
        <v>25</v>
      </c>
      <c r="H472" s="4" t="s">
        <v>36</v>
      </c>
      <c r="I472" s="5">
        <v>44562</v>
      </c>
      <c r="J472" s="6">
        <v>0</v>
      </c>
      <c r="K472" s="6">
        <v>0</v>
      </c>
      <c r="L472" s="6">
        <v>0.28699999999999998</v>
      </c>
      <c r="M472" s="6">
        <v>0.28699999999999998</v>
      </c>
      <c r="N472" s="6">
        <v>0.28699999999999998</v>
      </c>
      <c r="O472" s="6">
        <v>0.28699999999999998</v>
      </c>
      <c r="P472" s="6">
        <v>0</v>
      </c>
      <c r="Q472" s="4" t="s">
        <v>26</v>
      </c>
      <c r="R472" s="4">
        <v>0</v>
      </c>
      <c r="S472" s="6">
        <v>0</v>
      </c>
      <c r="T472" s="6">
        <v>76</v>
      </c>
      <c r="U472" s="6">
        <v>54</v>
      </c>
      <c r="V472" s="6">
        <f>IF(ISERROR(VLOOKUP($S$472,'TAR FIN'!$A$1:$O$85,15,0)),0,VLOOKUP($S$472,'TAR FIN'!$A$1:$O$85,15,0))</f>
        <v>0</v>
      </c>
      <c r="W472" s="6">
        <f>IF(ISERROR(VLOOKUP($T$472,'TAR FIN'!$A$1:$O$85,15,0)),0,VLOOKUP($T$472,'TAR FIN'!$A$1:$O$85,15,0))</f>
        <v>900.63</v>
      </c>
      <c r="X472" s="6">
        <f>IF(ISERROR(VLOOKUP($U$472,'TAR FIN'!$A$1:$O$85,15,0)),0,VLOOKUP($U$472,'TAR FIN'!$A$1:$O$85,15,0))</f>
        <v>223.07</v>
      </c>
      <c r="Y472" s="6"/>
      <c r="Z472" s="6">
        <f ca="1">('TUSD BE'!$AM$46+'TUSD BF'!$AM$46+'TUSD CVA'!$AM$46)*1</f>
        <v>1287.4111034312796</v>
      </c>
      <c r="AA472" s="6">
        <f>('TE BE'!$AB$36+'TE BF'!$AB$36+'TE CVA'!$AB$36)*1</f>
        <v>77.958364182443049</v>
      </c>
      <c r="AB472" s="6">
        <f>$K$472*$V$472</f>
        <v>0</v>
      </c>
      <c r="AC472" s="6">
        <f>$M$472*$W$472</f>
        <v>258.48080999999996</v>
      </c>
      <c r="AD472" s="6">
        <f>$O$472*$X$472</f>
        <v>64.021089999999987</v>
      </c>
      <c r="AE472" s="6">
        <f>$K$472*$Y$472</f>
        <v>0</v>
      </c>
      <c r="AF472" s="6">
        <f ca="1">$M$472*$Z$472</f>
        <v>369.48698668477721</v>
      </c>
      <c r="AG472" s="6">
        <f>$O$472*$AA$472</f>
        <v>22.374050520361152</v>
      </c>
    </row>
    <row r="473" spans="1:33" ht="11.25" customHeight="1" x14ac:dyDescent="0.3">
      <c r="A473" s="4" t="s">
        <v>21</v>
      </c>
      <c r="B473" s="4" t="s">
        <v>37</v>
      </c>
      <c r="C473" s="4" t="s">
        <v>33</v>
      </c>
      <c r="D473" s="4" t="s">
        <v>38</v>
      </c>
      <c r="E473" s="4" t="s">
        <v>25</v>
      </c>
      <c r="F473" s="4" t="s">
        <v>25</v>
      </c>
      <c r="G473" s="4" t="s">
        <v>25</v>
      </c>
      <c r="H473" s="4" t="s">
        <v>36</v>
      </c>
      <c r="I473" s="5">
        <v>44593</v>
      </c>
      <c r="J473" s="6">
        <v>0</v>
      </c>
      <c r="K473" s="6">
        <v>0</v>
      </c>
      <c r="L473" s="6">
        <v>0.35599999999999998</v>
      </c>
      <c r="M473" s="6">
        <v>0.35599999999999998</v>
      </c>
      <c r="N473" s="6">
        <v>0.35599999999999998</v>
      </c>
      <c r="O473" s="6">
        <v>0.35599999999999998</v>
      </c>
      <c r="P473" s="6">
        <v>0</v>
      </c>
      <c r="Q473" s="4" t="s">
        <v>26</v>
      </c>
      <c r="R473" s="4">
        <v>0</v>
      </c>
      <c r="S473" s="6">
        <v>0</v>
      </c>
      <c r="T473" s="6">
        <v>76</v>
      </c>
      <c r="U473" s="6">
        <v>54</v>
      </c>
      <c r="V473" s="6">
        <f>IF(ISERROR(VLOOKUP($S$473,'TAR FIN'!$A$1:$O$85,15,0)),0,VLOOKUP($S$473,'TAR FIN'!$A$1:$O$85,15,0))</f>
        <v>0</v>
      </c>
      <c r="W473" s="6">
        <f>IF(ISERROR(VLOOKUP($T$473,'TAR FIN'!$A$1:$O$85,15,0)),0,VLOOKUP($T$473,'TAR FIN'!$A$1:$O$85,15,0))</f>
        <v>900.63</v>
      </c>
      <c r="X473" s="6">
        <f>IF(ISERROR(VLOOKUP($U$473,'TAR FIN'!$A$1:$O$85,15,0)),0,VLOOKUP($U$473,'TAR FIN'!$A$1:$O$85,15,0))</f>
        <v>223.07</v>
      </c>
      <c r="Y473" s="6"/>
      <c r="Z473" s="6">
        <f ca="1">('TUSD BE'!$AM$46+'TUSD BF'!$AM$46+'TUSD CVA'!$AM$46)*1</f>
        <v>1287.4111034312796</v>
      </c>
      <c r="AA473" s="6">
        <f>('TE BE'!$AB$36+'TE BF'!$AB$36+'TE CVA'!$AB$36)*1</f>
        <v>77.958364182443049</v>
      </c>
      <c r="AB473" s="6">
        <f>$K$473*$V$473</f>
        <v>0</v>
      </c>
      <c r="AC473" s="6">
        <f>$M$473*$W$473</f>
        <v>320.62428</v>
      </c>
      <c r="AD473" s="6">
        <f>$O$473*$X$473</f>
        <v>79.41292</v>
      </c>
      <c r="AE473" s="6">
        <f>$K$473*$Y$473</f>
        <v>0</v>
      </c>
      <c r="AF473" s="6">
        <f ca="1">$M$473*$Z$473</f>
        <v>458.31835282153548</v>
      </c>
      <c r="AG473" s="6">
        <f>$O$473*$AA$473</f>
        <v>27.753177648949723</v>
      </c>
    </row>
    <row r="474" spans="1:33" ht="11.25" customHeight="1" x14ac:dyDescent="0.3">
      <c r="A474" s="4" t="s">
        <v>21</v>
      </c>
      <c r="B474" s="4" t="s">
        <v>37</v>
      </c>
      <c r="C474" s="4" t="s">
        <v>33</v>
      </c>
      <c r="D474" s="4" t="s">
        <v>38</v>
      </c>
      <c r="E474" s="4" t="s">
        <v>25</v>
      </c>
      <c r="F474" s="4" t="s">
        <v>25</v>
      </c>
      <c r="G474" s="4" t="s">
        <v>25</v>
      </c>
      <c r="H474" s="4" t="s">
        <v>36</v>
      </c>
      <c r="I474" s="5">
        <v>44621</v>
      </c>
      <c r="J474" s="6">
        <v>0</v>
      </c>
      <c r="K474" s="6">
        <v>0</v>
      </c>
      <c r="L474" s="6">
        <v>0.34499999999999997</v>
      </c>
      <c r="M474" s="6">
        <v>0.34499999999999997</v>
      </c>
      <c r="N474" s="6">
        <v>0.34499999999999997</v>
      </c>
      <c r="O474" s="6">
        <v>0.34499999999999997</v>
      </c>
      <c r="P474" s="6">
        <v>0</v>
      </c>
      <c r="Q474" s="4" t="s">
        <v>26</v>
      </c>
      <c r="R474" s="4">
        <v>0</v>
      </c>
      <c r="S474" s="6">
        <v>0</v>
      </c>
      <c r="T474" s="6">
        <v>76</v>
      </c>
      <c r="U474" s="6">
        <v>54</v>
      </c>
      <c r="V474" s="6">
        <f>IF(ISERROR(VLOOKUP($S$474,'TAR FIN'!$A$1:$O$85,15,0)),0,VLOOKUP($S$474,'TAR FIN'!$A$1:$O$85,15,0))</f>
        <v>0</v>
      </c>
      <c r="W474" s="6">
        <f>IF(ISERROR(VLOOKUP($T$474,'TAR FIN'!$A$1:$O$85,15,0)),0,VLOOKUP($T$474,'TAR FIN'!$A$1:$O$85,15,0))</f>
        <v>900.63</v>
      </c>
      <c r="X474" s="6">
        <f>IF(ISERROR(VLOOKUP($U$474,'TAR FIN'!$A$1:$O$85,15,0)),0,VLOOKUP($U$474,'TAR FIN'!$A$1:$O$85,15,0))</f>
        <v>223.07</v>
      </c>
      <c r="Y474" s="6"/>
      <c r="Z474" s="6">
        <f ca="1">('TUSD BE'!$AM$46+'TUSD BF'!$AM$46+'TUSD CVA'!$AM$46)*1</f>
        <v>1287.4111034312796</v>
      </c>
      <c r="AA474" s="6">
        <f>('TE BE'!$AB$36+'TE BF'!$AB$36+'TE CVA'!$AB$36)*1</f>
        <v>77.958364182443049</v>
      </c>
      <c r="AB474" s="6">
        <f>$K$474*$V$474</f>
        <v>0</v>
      </c>
      <c r="AC474" s="6">
        <f>$M$474*$W$474</f>
        <v>310.71734999999995</v>
      </c>
      <c r="AD474" s="6">
        <f>$O$474*$X$474</f>
        <v>76.959149999999994</v>
      </c>
      <c r="AE474" s="6">
        <f>$K$474*$Y$474</f>
        <v>0</v>
      </c>
      <c r="AF474" s="6">
        <f ca="1">$M$474*$Z$474</f>
        <v>444.15683068379144</v>
      </c>
      <c r="AG474" s="6">
        <f>$O$474*$AA$474</f>
        <v>26.89563564294285</v>
      </c>
    </row>
    <row r="475" spans="1:33" ht="11.25" customHeight="1" x14ac:dyDescent="0.3">
      <c r="A475" s="4" t="s">
        <v>21</v>
      </c>
      <c r="B475" s="4" t="s">
        <v>37</v>
      </c>
      <c r="C475" s="4" t="s">
        <v>33</v>
      </c>
      <c r="D475" s="4" t="s">
        <v>38</v>
      </c>
      <c r="E475" s="4" t="s">
        <v>25</v>
      </c>
      <c r="F475" s="4" t="s">
        <v>25</v>
      </c>
      <c r="G475" s="4" t="s">
        <v>25</v>
      </c>
      <c r="H475" s="4" t="s">
        <v>36</v>
      </c>
      <c r="I475" s="5">
        <v>44652</v>
      </c>
      <c r="J475" s="6">
        <v>0</v>
      </c>
      <c r="K475" s="6">
        <v>0</v>
      </c>
      <c r="L475" s="6">
        <v>0.16300000000000001</v>
      </c>
      <c r="M475" s="6">
        <v>0.16300000000000001</v>
      </c>
      <c r="N475" s="6">
        <v>0.16300000000000001</v>
      </c>
      <c r="O475" s="6">
        <v>0.16300000000000001</v>
      </c>
      <c r="P475" s="6">
        <v>0</v>
      </c>
      <c r="Q475" s="4" t="s">
        <v>26</v>
      </c>
      <c r="R475" s="4">
        <v>0</v>
      </c>
      <c r="S475" s="6">
        <v>0</v>
      </c>
      <c r="T475" s="6">
        <v>76</v>
      </c>
      <c r="U475" s="6">
        <v>54</v>
      </c>
      <c r="V475" s="6">
        <f>IF(ISERROR(VLOOKUP($S$475,'TAR FIN'!$A$1:$O$85,15,0)),0,VLOOKUP($S$475,'TAR FIN'!$A$1:$O$85,15,0))</f>
        <v>0</v>
      </c>
      <c r="W475" s="6">
        <f>IF(ISERROR(VLOOKUP($T$475,'TAR FIN'!$A$1:$O$85,15,0)),0,VLOOKUP($T$475,'TAR FIN'!$A$1:$O$85,15,0))</f>
        <v>900.63</v>
      </c>
      <c r="X475" s="6">
        <f>IF(ISERROR(VLOOKUP($U$475,'TAR FIN'!$A$1:$O$85,15,0)),0,VLOOKUP($U$475,'TAR FIN'!$A$1:$O$85,15,0))</f>
        <v>223.07</v>
      </c>
      <c r="Y475" s="6"/>
      <c r="Z475" s="6">
        <f ca="1">('TUSD BE'!$AM$46+'TUSD BF'!$AM$46+'TUSD CVA'!$AM$46)*1</f>
        <v>1287.4111034312796</v>
      </c>
      <c r="AA475" s="6">
        <f>('TE BE'!$AB$36+'TE BF'!$AB$36+'TE CVA'!$AB$36)*1</f>
        <v>77.958364182443049</v>
      </c>
      <c r="AB475" s="6">
        <f>$K$475*$V$475</f>
        <v>0</v>
      </c>
      <c r="AC475" s="6">
        <f>$M$475*$W$475</f>
        <v>146.80269000000001</v>
      </c>
      <c r="AD475" s="6">
        <f>$O$475*$X$475</f>
        <v>36.360410000000002</v>
      </c>
      <c r="AE475" s="6">
        <f>$K$475*$Y$475</f>
        <v>0</v>
      </c>
      <c r="AF475" s="6">
        <f ca="1">$M$475*$Z$475</f>
        <v>209.84800985929857</v>
      </c>
      <c r="AG475" s="6">
        <f>$O$475*$AA$475</f>
        <v>12.707213361738217</v>
      </c>
    </row>
    <row r="476" spans="1:33" ht="11.25" customHeight="1" x14ac:dyDescent="0.3">
      <c r="A476" s="4" t="s">
        <v>21</v>
      </c>
      <c r="B476" s="4" t="s">
        <v>37</v>
      </c>
      <c r="C476" s="4" t="s">
        <v>33</v>
      </c>
      <c r="D476" s="4" t="s">
        <v>38</v>
      </c>
      <c r="E476" s="4" t="s">
        <v>25</v>
      </c>
      <c r="F476" s="4" t="s">
        <v>25</v>
      </c>
      <c r="G476" s="4" t="s">
        <v>25</v>
      </c>
      <c r="H476" s="4" t="s">
        <v>36</v>
      </c>
      <c r="I476" s="5">
        <v>44682</v>
      </c>
      <c r="J476" s="6">
        <v>0</v>
      </c>
      <c r="K476" s="6">
        <v>0</v>
      </c>
      <c r="L476" s="6">
        <v>0.19600000000000001</v>
      </c>
      <c r="M476" s="6">
        <v>0.19600000000000001</v>
      </c>
      <c r="N476" s="6">
        <v>0.19600000000000001</v>
      </c>
      <c r="O476" s="6">
        <v>0.19600000000000001</v>
      </c>
      <c r="P476" s="6">
        <v>0</v>
      </c>
      <c r="Q476" s="4" t="s">
        <v>26</v>
      </c>
      <c r="R476" s="4">
        <v>0</v>
      </c>
      <c r="S476" s="6">
        <v>0</v>
      </c>
      <c r="T476" s="6">
        <v>76</v>
      </c>
      <c r="U476" s="6">
        <v>54</v>
      </c>
      <c r="V476" s="6">
        <f>IF(ISERROR(VLOOKUP($S$476,'TAR FIN'!$A$1:$O$85,15,0)),0,VLOOKUP($S$476,'TAR FIN'!$A$1:$O$85,15,0))</f>
        <v>0</v>
      </c>
      <c r="W476" s="6">
        <f>IF(ISERROR(VLOOKUP($T$476,'TAR FIN'!$A$1:$O$85,15,0)),0,VLOOKUP($T$476,'TAR FIN'!$A$1:$O$85,15,0))</f>
        <v>900.63</v>
      </c>
      <c r="X476" s="6">
        <f>IF(ISERROR(VLOOKUP($U$476,'TAR FIN'!$A$1:$O$85,15,0)),0,VLOOKUP($U$476,'TAR FIN'!$A$1:$O$85,15,0))</f>
        <v>223.07</v>
      </c>
      <c r="Y476" s="6"/>
      <c r="Z476" s="6">
        <f ca="1">('TUSD BE'!$AM$46+'TUSD BF'!$AM$46+'TUSD CVA'!$AM$46)*1</f>
        <v>1287.4111034312796</v>
      </c>
      <c r="AA476" s="6">
        <f>('TE BE'!$AB$36+'TE BF'!$AB$36+'TE CVA'!$AB$36)*1</f>
        <v>77.958364182443049</v>
      </c>
      <c r="AB476" s="6">
        <f>$K$476*$V$476</f>
        <v>0</v>
      </c>
      <c r="AC476" s="6">
        <f>$M$476*$W$476</f>
        <v>176.52348000000001</v>
      </c>
      <c r="AD476" s="6">
        <f>$O$476*$X$476</f>
        <v>43.721719999999998</v>
      </c>
      <c r="AE476" s="6">
        <f>$K$476*$Y$476</f>
        <v>0</v>
      </c>
      <c r="AF476" s="6">
        <f ca="1">$M$476*$Z$476</f>
        <v>252.33257627253082</v>
      </c>
      <c r="AG476" s="6">
        <f>$O$476*$AA$476</f>
        <v>15.279839379758839</v>
      </c>
    </row>
    <row r="477" spans="1:33" ht="11.25" customHeight="1" x14ac:dyDescent="0.3">
      <c r="A477" s="4" t="s">
        <v>21</v>
      </c>
      <c r="B477" s="4" t="s">
        <v>37</v>
      </c>
      <c r="C477" s="4" t="s">
        <v>33</v>
      </c>
      <c r="D477" s="4" t="s">
        <v>38</v>
      </c>
      <c r="E477" s="4" t="s">
        <v>25</v>
      </c>
      <c r="F477" s="4" t="s">
        <v>25</v>
      </c>
      <c r="G477" s="4" t="s">
        <v>25</v>
      </c>
      <c r="H477" s="4" t="s">
        <v>36</v>
      </c>
      <c r="I477" s="5">
        <v>44713</v>
      </c>
      <c r="J477" s="6">
        <v>0</v>
      </c>
      <c r="K477" s="6">
        <v>0</v>
      </c>
      <c r="L477" s="6">
        <v>0.13800000000000001</v>
      </c>
      <c r="M477" s="6">
        <v>0.13800000000000001</v>
      </c>
      <c r="N477" s="6">
        <v>0.13800000000000001</v>
      </c>
      <c r="O477" s="6">
        <v>0.13800000000000001</v>
      </c>
      <c r="P477" s="6">
        <v>0</v>
      </c>
      <c r="Q477" s="4" t="s">
        <v>26</v>
      </c>
      <c r="R477" s="4">
        <v>0</v>
      </c>
      <c r="S477" s="6">
        <v>0</v>
      </c>
      <c r="T477" s="6">
        <v>76</v>
      </c>
      <c r="U477" s="6">
        <v>54</v>
      </c>
      <c r="V477" s="6">
        <f>IF(ISERROR(VLOOKUP($S$477,'TAR FIN'!$A$1:$O$85,15,0)),0,VLOOKUP($S$477,'TAR FIN'!$A$1:$O$85,15,0))</f>
        <v>0</v>
      </c>
      <c r="W477" s="6">
        <f>IF(ISERROR(VLOOKUP($T$477,'TAR FIN'!$A$1:$O$85,15,0)),0,VLOOKUP($T$477,'TAR FIN'!$A$1:$O$85,15,0))</f>
        <v>900.63</v>
      </c>
      <c r="X477" s="6">
        <f>IF(ISERROR(VLOOKUP($U$477,'TAR FIN'!$A$1:$O$85,15,0)),0,VLOOKUP($U$477,'TAR FIN'!$A$1:$O$85,15,0))</f>
        <v>223.07</v>
      </c>
      <c r="Y477" s="6"/>
      <c r="Z477" s="6">
        <f ca="1">('TUSD BE'!$AM$46+'TUSD BF'!$AM$46+'TUSD CVA'!$AM$46)*1</f>
        <v>1287.4111034312796</v>
      </c>
      <c r="AA477" s="6">
        <f>('TE BE'!$AB$36+'TE BF'!$AB$36+'TE CVA'!$AB$36)*1</f>
        <v>77.958364182443049</v>
      </c>
      <c r="AB477" s="6">
        <f>$K$477*$V$477</f>
        <v>0</v>
      </c>
      <c r="AC477" s="6">
        <f>$M$477*$W$477</f>
        <v>124.28694000000002</v>
      </c>
      <c r="AD477" s="6">
        <f>$O$477*$X$477</f>
        <v>30.783660000000001</v>
      </c>
      <c r="AE477" s="6">
        <f>$K$477*$Y$477</f>
        <v>0</v>
      </c>
      <c r="AF477" s="6">
        <f ca="1">$M$477*$Z$477</f>
        <v>177.66273227351658</v>
      </c>
      <c r="AG477" s="6">
        <f>$O$477*$AA$477</f>
        <v>10.758254257177141</v>
      </c>
    </row>
    <row r="478" spans="1:33" ht="11.25" customHeight="1" x14ac:dyDescent="0.3">
      <c r="A478" s="4" t="s">
        <v>21</v>
      </c>
      <c r="B478" s="4" t="s">
        <v>37</v>
      </c>
      <c r="C478" s="4" t="s">
        <v>33</v>
      </c>
      <c r="D478" s="4" t="s">
        <v>38</v>
      </c>
      <c r="E478" s="4" t="s">
        <v>25</v>
      </c>
      <c r="F478" s="4" t="s">
        <v>25</v>
      </c>
      <c r="G478" s="4" t="s">
        <v>25</v>
      </c>
      <c r="H478" s="4" t="s">
        <v>36</v>
      </c>
      <c r="I478" s="5">
        <v>44743</v>
      </c>
      <c r="J478" s="6">
        <v>0</v>
      </c>
      <c r="K478" s="6">
        <v>0</v>
      </c>
      <c r="L478" s="6">
        <v>0.11</v>
      </c>
      <c r="M478" s="6">
        <v>0.11</v>
      </c>
      <c r="N478" s="6">
        <v>0.11</v>
      </c>
      <c r="O478" s="6">
        <v>0.11</v>
      </c>
      <c r="P478" s="6">
        <v>0</v>
      </c>
      <c r="Q478" s="4" t="s">
        <v>26</v>
      </c>
      <c r="R478" s="4">
        <v>0</v>
      </c>
      <c r="S478" s="6">
        <v>0</v>
      </c>
      <c r="T478" s="6">
        <v>76</v>
      </c>
      <c r="U478" s="6">
        <v>54</v>
      </c>
      <c r="V478" s="6">
        <f>IF(ISERROR(VLOOKUP($S$478,'TAR FIN'!$A$1:$O$85,15,0)),0,VLOOKUP($S$478,'TAR FIN'!$A$1:$O$85,15,0))</f>
        <v>0</v>
      </c>
      <c r="W478" s="6">
        <f>IF(ISERROR(VLOOKUP($T$478,'TAR FIN'!$A$1:$O$85,15,0)),0,VLOOKUP($T$478,'TAR FIN'!$A$1:$O$85,15,0))</f>
        <v>900.63</v>
      </c>
      <c r="X478" s="6">
        <f>IF(ISERROR(VLOOKUP($U$478,'TAR FIN'!$A$1:$O$85,15,0)),0,VLOOKUP($U$478,'TAR FIN'!$A$1:$O$85,15,0))</f>
        <v>223.07</v>
      </c>
      <c r="Y478" s="6"/>
      <c r="Z478" s="6">
        <f ca="1">('TUSD BE'!$AM$46+'TUSD BF'!$AM$46+'TUSD CVA'!$AM$46)*1</f>
        <v>1287.4111034312796</v>
      </c>
      <c r="AA478" s="6">
        <f>('TE BE'!$AB$36+'TE BF'!$AB$36+'TE CVA'!$AB$36)*1</f>
        <v>77.958364182443049</v>
      </c>
      <c r="AB478" s="6">
        <f>$K$478*$V$478</f>
        <v>0</v>
      </c>
      <c r="AC478" s="6">
        <f>$M$478*$W$478</f>
        <v>99.069299999999998</v>
      </c>
      <c r="AD478" s="6">
        <f>$O$478*$X$478</f>
        <v>24.537700000000001</v>
      </c>
      <c r="AE478" s="6">
        <f>$K$478*$Y$478</f>
        <v>0</v>
      </c>
      <c r="AF478" s="6">
        <f ca="1">$M$478*$Z$478</f>
        <v>141.61522137744075</v>
      </c>
      <c r="AG478" s="6">
        <f>$O$478*$AA$478</f>
        <v>8.5754200600687351</v>
      </c>
    </row>
    <row r="479" spans="1:33" ht="11.25" customHeight="1" x14ac:dyDescent="0.3">
      <c r="A479" s="4" t="s">
        <v>21</v>
      </c>
      <c r="B479" s="4" t="s">
        <v>37</v>
      </c>
      <c r="C479" s="4" t="s">
        <v>33</v>
      </c>
      <c r="D479" s="4" t="s">
        <v>38</v>
      </c>
      <c r="E479" s="4" t="s">
        <v>25</v>
      </c>
      <c r="F479" s="4" t="s">
        <v>25</v>
      </c>
      <c r="G479" s="4" t="s">
        <v>25</v>
      </c>
      <c r="H479" s="4" t="s">
        <v>36</v>
      </c>
      <c r="I479" s="5">
        <v>44774</v>
      </c>
      <c r="J479" s="6">
        <v>0</v>
      </c>
      <c r="K479" s="6">
        <v>0</v>
      </c>
      <c r="L479" s="6">
        <v>0.13700000000000001</v>
      </c>
      <c r="M479" s="6">
        <v>0.13700000000000001</v>
      </c>
      <c r="N479" s="6">
        <v>0.13700000000000001</v>
      </c>
      <c r="O479" s="6">
        <v>0.13700000000000001</v>
      </c>
      <c r="P479" s="6">
        <v>0</v>
      </c>
      <c r="Q479" s="4" t="s">
        <v>26</v>
      </c>
      <c r="R479" s="4">
        <v>0</v>
      </c>
      <c r="S479" s="6">
        <v>0</v>
      </c>
      <c r="T479" s="6">
        <v>76</v>
      </c>
      <c r="U479" s="6">
        <v>54</v>
      </c>
      <c r="V479" s="6">
        <f>IF(ISERROR(VLOOKUP($S$479,'TAR FIN'!$A$1:$O$85,15,0)),0,VLOOKUP($S$479,'TAR FIN'!$A$1:$O$85,15,0))</f>
        <v>0</v>
      </c>
      <c r="W479" s="6">
        <f>IF(ISERROR(VLOOKUP($T$479,'TAR FIN'!$A$1:$O$85,15,0)),0,VLOOKUP($T$479,'TAR FIN'!$A$1:$O$85,15,0))</f>
        <v>900.63</v>
      </c>
      <c r="X479" s="6">
        <f>IF(ISERROR(VLOOKUP($U$479,'TAR FIN'!$A$1:$O$85,15,0)),0,VLOOKUP($U$479,'TAR FIN'!$A$1:$O$85,15,0))</f>
        <v>223.07</v>
      </c>
      <c r="Y479" s="6"/>
      <c r="Z479" s="6">
        <f ca="1">('TUSD BE'!$AM$46+'TUSD BF'!$AM$46+'TUSD CVA'!$AM$46)*1</f>
        <v>1287.4111034312796</v>
      </c>
      <c r="AA479" s="6">
        <f>('TE BE'!$AB$36+'TE BF'!$AB$36+'TE CVA'!$AB$36)*1</f>
        <v>77.958364182443049</v>
      </c>
      <c r="AB479" s="6">
        <f>$K$479*$V$479</f>
        <v>0</v>
      </c>
      <c r="AC479" s="6">
        <f>$M$479*$W$479</f>
        <v>123.38631000000001</v>
      </c>
      <c r="AD479" s="6">
        <f>$O$479*$X$479</f>
        <v>30.560590000000001</v>
      </c>
      <c r="AE479" s="6">
        <f>$K$479*$Y$479</f>
        <v>0</v>
      </c>
      <c r="AF479" s="6">
        <f ca="1">$M$479*$Z$479</f>
        <v>176.37532117008533</v>
      </c>
      <c r="AG479" s="6">
        <f>$O$479*$AA$479</f>
        <v>10.680295892994698</v>
      </c>
    </row>
    <row r="480" spans="1:33" ht="11.25" customHeight="1" x14ac:dyDescent="0.3">
      <c r="A480" s="4" t="s">
        <v>21</v>
      </c>
      <c r="B480" s="4" t="s">
        <v>37</v>
      </c>
      <c r="C480" s="4" t="s">
        <v>33</v>
      </c>
      <c r="D480" s="4" t="s">
        <v>38</v>
      </c>
      <c r="E480" s="4" t="s">
        <v>25</v>
      </c>
      <c r="F480" s="4" t="s">
        <v>25</v>
      </c>
      <c r="G480" s="4" t="s">
        <v>25</v>
      </c>
      <c r="H480" s="4" t="s">
        <v>34</v>
      </c>
      <c r="I480" s="5">
        <v>44440</v>
      </c>
      <c r="J480" s="6">
        <v>0</v>
      </c>
      <c r="K480" s="6">
        <v>0</v>
      </c>
      <c r="L480" s="6">
        <v>0.09</v>
      </c>
      <c r="M480" s="6">
        <v>0.09</v>
      </c>
      <c r="N480" s="6">
        <v>0.09</v>
      </c>
      <c r="O480" s="6">
        <v>0.09</v>
      </c>
      <c r="P480" s="6">
        <v>0</v>
      </c>
      <c r="Q480" s="4" t="s">
        <v>26</v>
      </c>
      <c r="R480" s="4">
        <v>0</v>
      </c>
      <c r="S480" s="6">
        <v>0</v>
      </c>
      <c r="T480" s="6">
        <v>44</v>
      </c>
      <c r="U480" s="6">
        <v>65</v>
      </c>
      <c r="V480" s="6">
        <f>IF(ISERROR(VLOOKUP($S$480,'TAR FIN'!$A$1:$O$85,15,0)),0,VLOOKUP($S$480,'TAR FIN'!$A$1:$O$85,15,0))</f>
        <v>0</v>
      </c>
      <c r="W480" s="6">
        <f>IF(ISERROR(VLOOKUP($T$480,'TAR FIN'!$A$1:$O$85,15,0)),0,VLOOKUP($T$480,'TAR FIN'!$A$1:$O$85,15,0))</f>
        <v>1439.79</v>
      </c>
      <c r="X480" s="6">
        <f>IF(ISERROR(VLOOKUP($U$480,'TAR FIN'!$A$1:$O$85,15,0)),0,VLOOKUP($U$480,'TAR FIN'!$A$1:$O$85,15,0))</f>
        <v>223.07</v>
      </c>
      <c r="Y480" s="6"/>
      <c r="Z480" s="6">
        <f ca="1">('TUSD BE'!$AM$45+'TUSD BF'!$AM$45+'TUSD CVA'!$AM$45)*1</f>
        <v>2071.8549620118952</v>
      </c>
      <c r="AA480" s="6">
        <f>('TE BE'!$AB$35+'TE BF'!$AB$35+'TE CVA'!$AB$35)*1</f>
        <v>77.958364182443049</v>
      </c>
      <c r="AB480" s="6">
        <f>$K$480*$V$480</f>
        <v>0</v>
      </c>
      <c r="AC480" s="6">
        <f>$M$480*$W$480</f>
        <v>129.58109999999999</v>
      </c>
      <c r="AD480" s="6">
        <f>$O$480*$X$480</f>
        <v>20.0763</v>
      </c>
      <c r="AE480" s="6">
        <f>$K$480*$Y$480</f>
        <v>0</v>
      </c>
      <c r="AF480" s="6">
        <f ca="1">$M$480*$Z$480</f>
        <v>186.46694658107054</v>
      </c>
      <c r="AG480" s="6">
        <f>$O$480*$AA$480</f>
        <v>7.0162527764198739</v>
      </c>
    </row>
    <row r="481" spans="1:33" ht="11.25" customHeight="1" x14ac:dyDescent="0.3">
      <c r="A481" s="4" t="s">
        <v>21</v>
      </c>
      <c r="B481" s="4" t="s">
        <v>37</v>
      </c>
      <c r="C481" s="4" t="s">
        <v>33</v>
      </c>
      <c r="D481" s="4" t="s">
        <v>38</v>
      </c>
      <c r="E481" s="4" t="s">
        <v>25</v>
      </c>
      <c r="F481" s="4" t="s">
        <v>25</v>
      </c>
      <c r="G481" s="4" t="s">
        <v>25</v>
      </c>
      <c r="H481" s="4" t="s">
        <v>34</v>
      </c>
      <c r="I481" s="5">
        <v>44470</v>
      </c>
      <c r="J481" s="6">
        <v>0</v>
      </c>
      <c r="K481" s="6">
        <v>0</v>
      </c>
      <c r="L481" s="6">
        <v>0.14599999999999999</v>
      </c>
      <c r="M481" s="6">
        <v>0.14599999999999999</v>
      </c>
      <c r="N481" s="6">
        <v>0.14599999999999999</v>
      </c>
      <c r="O481" s="6">
        <v>0.14599999999999999</v>
      </c>
      <c r="P481" s="6">
        <v>0</v>
      </c>
      <c r="Q481" s="4" t="s">
        <v>26</v>
      </c>
      <c r="R481" s="4">
        <v>0</v>
      </c>
      <c r="S481" s="6">
        <v>0</v>
      </c>
      <c r="T481" s="6">
        <v>44</v>
      </c>
      <c r="U481" s="6">
        <v>65</v>
      </c>
      <c r="V481" s="6">
        <f>IF(ISERROR(VLOOKUP($S$481,'TAR FIN'!$A$1:$O$85,15,0)),0,VLOOKUP($S$481,'TAR FIN'!$A$1:$O$85,15,0))</f>
        <v>0</v>
      </c>
      <c r="W481" s="6">
        <f>IF(ISERROR(VLOOKUP($T$481,'TAR FIN'!$A$1:$O$85,15,0)),0,VLOOKUP($T$481,'TAR FIN'!$A$1:$O$85,15,0))</f>
        <v>1439.79</v>
      </c>
      <c r="X481" s="6">
        <f>IF(ISERROR(VLOOKUP($U$481,'TAR FIN'!$A$1:$O$85,15,0)),0,VLOOKUP($U$481,'TAR FIN'!$A$1:$O$85,15,0))</f>
        <v>223.07</v>
      </c>
      <c r="Y481" s="6"/>
      <c r="Z481" s="6">
        <f ca="1">('TUSD BE'!$AM$45+'TUSD BF'!$AM$45+'TUSD CVA'!$AM$45)*1</f>
        <v>2071.8549620118952</v>
      </c>
      <c r="AA481" s="6">
        <f>('TE BE'!$AB$35+'TE BF'!$AB$35+'TE CVA'!$AB$35)*1</f>
        <v>77.958364182443049</v>
      </c>
      <c r="AB481" s="6">
        <f>$K$481*$V$481</f>
        <v>0</v>
      </c>
      <c r="AC481" s="6">
        <f>$M$481*$W$481</f>
        <v>210.20933999999997</v>
      </c>
      <c r="AD481" s="6">
        <f>$O$481*$X$481</f>
        <v>32.568219999999997</v>
      </c>
      <c r="AE481" s="6">
        <f>$K$481*$Y$481</f>
        <v>0</v>
      </c>
      <c r="AF481" s="6">
        <f ca="1">$M$481*$Z$481</f>
        <v>302.49082445373665</v>
      </c>
      <c r="AG481" s="6">
        <f>$O$481*$AA$481</f>
        <v>11.381921170636684</v>
      </c>
    </row>
    <row r="482" spans="1:33" ht="11.25" customHeight="1" x14ac:dyDescent="0.3">
      <c r="A482" s="4" t="s">
        <v>21</v>
      </c>
      <c r="B482" s="4" t="s">
        <v>37</v>
      </c>
      <c r="C482" s="4" t="s">
        <v>33</v>
      </c>
      <c r="D482" s="4" t="s">
        <v>38</v>
      </c>
      <c r="E482" s="4" t="s">
        <v>25</v>
      </c>
      <c r="F482" s="4" t="s">
        <v>25</v>
      </c>
      <c r="G482" s="4" t="s">
        <v>25</v>
      </c>
      <c r="H482" s="4" t="s">
        <v>34</v>
      </c>
      <c r="I482" s="5">
        <v>44501</v>
      </c>
      <c r="J482" s="6">
        <v>0</v>
      </c>
      <c r="K482" s="6">
        <v>0</v>
      </c>
      <c r="L482" s="6">
        <v>0.109</v>
      </c>
      <c r="M482" s="6">
        <v>0.109</v>
      </c>
      <c r="N482" s="6">
        <v>0.109</v>
      </c>
      <c r="O482" s="6">
        <v>0.109</v>
      </c>
      <c r="P482" s="6">
        <v>0</v>
      </c>
      <c r="Q482" s="4" t="s">
        <v>26</v>
      </c>
      <c r="R482" s="4">
        <v>0</v>
      </c>
      <c r="S482" s="6">
        <v>0</v>
      </c>
      <c r="T482" s="6">
        <v>44</v>
      </c>
      <c r="U482" s="6">
        <v>65</v>
      </c>
      <c r="V482" s="6">
        <f>IF(ISERROR(VLOOKUP($S$482,'TAR FIN'!$A$1:$O$85,15,0)),0,VLOOKUP($S$482,'TAR FIN'!$A$1:$O$85,15,0))</f>
        <v>0</v>
      </c>
      <c r="W482" s="6">
        <f>IF(ISERROR(VLOOKUP($T$482,'TAR FIN'!$A$1:$O$85,15,0)),0,VLOOKUP($T$482,'TAR FIN'!$A$1:$O$85,15,0))</f>
        <v>1439.79</v>
      </c>
      <c r="X482" s="6">
        <f>IF(ISERROR(VLOOKUP($U$482,'TAR FIN'!$A$1:$O$85,15,0)),0,VLOOKUP($U$482,'TAR FIN'!$A$1:$O$85,15,0))</f>
        <v>223.07</v>
      </c>
      <c r="Y482" s="6"/>
      <c r="Z482" s="6">
        <f ca="1">('TUSD BE'!$AM$45+'TUSD BF'!$AM$45+'TUSD CVA'!$AM$45)*1</f>
        <v>2071.8549620118952</v>
      </c>
      <c r="AA482" s="6">
        <f>('TE BE'!$AB$35+'TE BF'!$AB$35+'TE CVA'!$AB$35)*1</f>
        <v>77.958364182443049</v>
      </c>
      <c r="AB482" s="6">
        <f>$K$482*$V$482</f>
        <v>0</v>
      </c>
      <c r="AC482" s="6">
        <f>$M$482*$W$482</f>
        <v>156.93710999999999</v>
      </c>
      <c r="AD482" s="6">
        <f>$O$482*$X$482</f>
        <v>24.314629999999998</v>
      </c>
      <c r="AE482" s="6">
        <f>$K$482*$Y$482</f>
        <v>0</v>
      </c>
      <c r="AF482" s="6">
        <f ca="1">$M$482*$Z$482</f>
        <v>225.83219085929656</v>
      </c>
      <c r="AG482" s="6">
        <f>$O$482*$AA$482</f>
        <v>8.4974616958862921</v>
      </c>
    </row>
    <row r="483" spans="1:33" ht="11.25" customHeight="1" x14ac:dyDescent="0.3">
      <c r="A483" s="4" t="s">
        <v>21</v>
      </c>
      <c r="B483" s="4" t="s">
        <v>37</v>
      </c>
      <c r="C483" s="4" t="s">
        <v>33</v>
      </c>
      <c r="D483" s="4" t="s">
        <v>38</v>
      </c>
      <c r="E483" s="4" t="s">
        <v>25</v>
      </c>
      <c r="F483" s="4" t="s">
        <v>25</v>
      </c>
      <c r="G483" s="4" t="s">
        <v>25</v>
      </c>
      <c r="H483" s="4" t="s">
        <v>34</v>
      </c>
      <c r="I483" s="5">
        <v>44531</v>
      </c>
      <c r="J483" s="6">
        <v>0</v>
      </c>
      <c r="K483" s="6">
        <v>0</v>
      </c>
      <c r="L483" s="6">
        <v>0.18</v>
      </c>
      <c r="M483" s="6">
        <v>0.18</v>
      </c>
      <c r="N483" s="6">
        <v>0.18</v>
      </c>
      <c r="O483" s="6">
        <v>0.18</v>
      </c>
      <c r="P483" s="6">
        <v>0</v>
      </c>
      <c r="Q483" s="4" t="s">
        <v>26</v>
      </c>
      <c r="R483" s="4">
        <v>0</v>
      </c>
      <c r="S483" s="6">
        <v>0</v>
      </c>
      <c r="T483" s="6">
        <v>44</v>
      </c>
      <c r="U483" s="6">
        <v>65</v>
      </c>
      <c r="V483" s="6">
        <f>IF(ISERROR(VLOOKUP($S$483,'TAR FIN'!$A$1:$O$85,15,0)),0,VLOOKUP($S$483,'TAR FIN'!$A$1:$O$85,15,0))</f>
        <v>0</v>
      </c>
      <c r="W483" s="6">
        <f>IF(ISERROR(VLOOKUP($T$483,'TAR FIN'!$A$1:$O$85,15,0)),0,VLOOKUP($T$483,'TAR FIN'!$A$1:$O$85,15,0))</f>
        <v>1439.79</v>
      </c>
      <c r="X483" s="6">
        <f>IF(ISERROR(VLOOKUP($U$483,'TAR FIN'!$A$1:$O$85,15,0)),0,VLOOKUP($U$483,'TAR FIN'!$A$1:$O$85,15,0))</f>
        <v>223.07</v>
      </c>
      <c r="Y483" s="6"/>
      <c r="Z483" s="6">
        <f ca="1">('TUSD BE'!$AM$45+'TUSD BF'!$AM$45+'TUSD CVA'!$AM$45)*1</f>
        <v>2071.8549620118952</v>
      </c>
      <c r="AA483" s="6">
        <f>('TE BE'!$AB$35+'TE BF'!$AB$35+'TE CVA'!$AB$35)*1</f>
        <v>77.958364182443049</v>
      </c>
      <c r="AB483" s="6">
        <f>$K$483*$V$483</f>
        <v>0</v>
      </c>
      <c r="AC483" s="6">
        <f>$M$483*$W$483</f>
        <v>259.16219999999998</v>
      </c>
      <c r="AD483" s="6">
        <f>$O$483*$X$483</f>
        <v>40.1526</v>
      </c>
      <c r="AE483" s="6">
        <f>$K$483*$Y$483</f>
        <v>0</v>
      </c>
      <c r="AF483" s="6">
        <f ca="1">$M$483*$Z$483</f>
        <v>372.93389316214109</v>
      </c>
      <c r="AG483" s="6">
        <f>$O$483*$AA$483</f>
        <v>14.032505552839748</v>
      </c>
    </row>
    <row r="484" spans="1:33" ht="11.25" customHeight="1" x14ac:dyDescent="0.3">
      <c r="A484" s="4" t="s">
        <v>21</v>
      </c>
      <c r="B484" s="4" t="s">
        <v>37</v>
      </c>
      <c r="C484" s="4" t="s">
        <v>33</v>
      </c>
      <c r="D484" s="4" t="s">
        <v>38</v>
      </c>
      <c r="E484" s="4" t="s">
        <v>25</v>
      </c>
      <c r="F484" s="4" t="s">
        <v>25</v>
      </c>
      <c r="G484" s="4" t="s">
        <v>25</v>
      </c>
      <c r="H484" s="4" t="s">
        <v>34</v>
      </c>
      <c r="I484" s="5">
        <v>44562</v>
      </c>
      <c r="J484" s="6">
        <v>0</v>
      </c>
      <c r="K484" s="6">
        <v>0</v>
      </c>
      <c r="L484" s="6">
        <v>0.113</v>
      </c>
      <c r="M484" s="6">
        <v>0.113</v>
      </c>
      <c r="N484" s="6">
        <v>0.113</v>
      </c>
      <c r="O484" s="6">
        <v>0.113</v>
      </c>
      <c r="P484" s="6">
        <v>0</v>
      </c>
      <c r="Q484" s="4" t="s">
        <v>26</v>
      </c>
      <c r="R484" s="4">
        <v>0</v>
      </c>
      <c r="S484" s="6">
        <v>0</v>
      </c>
      <c r="T484" s="6">
        <v>44</v>
      </c>
      <c r="U484" s="6">
        <v>65</v>
      </c>
      <c r="V484" s="6">
        <f>IF(ISERROR(VLOOKUP($S$484,'TAR FIN'!$A$1:$O$85,15,0)),0,VLOOKUP($S$484,'TAR FIN'!$A$1:$O$85,15,0))</f>
        <v>0</v>
      </c>
      <c r="W484" s="6">
        <f>IF(ISERROR(VLOOKUP($T$484,'TAR FIN'!$A$1:$O$85,15,0)),0,VLOOKUP($T$484,'TAR FIN'!$A$1:$O$85,15,0))</f>
        <v>1439.79</v>
      </c>
      <c r="X484" s="6">
        <f>IF(ISERROR(VLOOKUP($U$484,'TAR FIN'!$A$1:$O$85,15,0)),0,VLOOKUP($U$484,'TAR FIN'!$A$1:$O$85,15,0))</f>
        <v>223.07</v>
      </c>
      <c r="Y484" s="6"/>
      <c r="Z484" s="6">
        <f ca="1">('TUSD BE'!$AM$45+'TUSD BF'!$AM$45+'TUSD CVA'!$AM$45)*1</f>
        <v>2071.8549620118952</v>
      </c>
      <c r="AA484" s="6">
        <f>('TE BE'!$AB$35+'TE BF'!$AB$35+'TE CVA'!$AB$35)*1</f>
        <v>77.958364182443049</v>
      </c>
      <c r="AB484" s="6">
        <f>$K$484*$V$484</f>
        <v>0</v>
      </c>
      <c r="AC484" s="6">
        <f>$M$484*$W$484</f>
        <v>162.69627</v>
      </c>
      <c r="AD484" s="6">
        <f>$O$484*$X$484</f>
        <v>25.206910000000001</v>
      </c>
      <c r="AE484" s="6">
        <f>$K$484*$Y$484</f>
        <v>0</v>
      </c>
      <c r="AF484" s="6">
        <f ca="1">$M$484*$Z$484</f>
        <v>234.11961070734415</v>
      </c>
      <c r="AG484" s="6">
        <f>$O$484*$AA$484</f>
        <v>8.8092951526160643</v>
      </c>
    </row>
    <row r="485" spans="1:33" ht="11.25" customHeight="1" x14ac:dyDescent="0.3">
      <c r="A485" s="4" t="s">
        <v>21</v>
      </c>
      <c r="B485" s="4" t="s">
        <v>37</v>
      </c>
      <c r="C485" s="4" t="s">
        <v>33</v>
      </c>
      <c r="D485" s="4" t="s">
        <v>38</v>
      </c>
      <c r="E485" s="4" t="s">
        <v>25</v>
      </c>
      <c r="F485" s="4" t="s">
        <v>25</v>
      </c>
      <c r="G485" s="4" t="s">
        <v>25</v>
      </c>
      <c r="H485" s="4" t="s">
        <v>34</v>
      </c>
      <c r="I485" s="5">
        <v>44593</v>
      </c>
      <c r="J485" s="6">
        <v>0</v>
      </c>
      <c r="K485" s="6">
        <v>0</v>
      </c>
      <c r="L485" s="6">
        <v>8.5000000000000006E-2</v>
      </c>
      <c r="M485" s="6">
        <v>8.5000000000000006E-2</v>
      </c>
      <c r="N485" s="6">
        <v>8.5000000000000006E-2</v>
      </c>
      <c r="O485" s="6">
        <v>8.5000000000000006E-2</v>
      </c>
      <c r="P485" s="6">
        <v>0</v>
      </c>
      <c r="Q485" s="4" t="s">
        <v>26</v>
      </c>
      <c r="R485" s="4">
        <v>0</v>
      </c>
      <c r="S485" s="6">
        <v>0</v>
      </c>
      <c r="T485" s="6">
        <v>44</v>
      </c>
      <c r="U485" s="6">
        <v>65</v>
      </c>
      <c r="V485" s="6">
        <f>IF(ISERROR(VLOOKUP($S$485,'TAR FIN'!$A$1:$O$85,15,0)),0,VLOOKUP($S$485,'TAR FIN'!$A$1:$O$85,15,0))</f>
        <v>0</v>
      </c>
      <c r="W485" s="6">
        <f>IF(ISERROR(VLOOKUP($T$485,'TAR FIN'!$A$1:$O$85,15,0)),0,VLOOKUP($T$485,'TAR FIN'!$A$1:$O$85,15,0))</f>
        <v>1439.79</v>
      </c>
      <c r="X485" s="6">
        <f>IF(ISERROR(VLOOKUP($U$485,'TAR FIN'!$A$1:$O$85,15,0)),0,VLOOKUP($U$485,'TAR FIN'!$A$1:$O$85,15,0))</f>
        <v>223.07</v>
      </c>
      <c r="Y485" s="6"/>
      <c r="Z485" s="6">
        <f ca="1">('TUSD BE'!$AM$45+'TUSD BF'!$AM$45+'TUSD CVA'!$AM$45)*1</f>
        <v>2071.8549620118952</v>
      </c>
      <c r="AA485" s="6">
        <f>('TE BE'!$AB$35+'TE BF'!$AB$35+'TE CVA'!$AB$35)*1</f>
        <v>77.958364182443049</v>
      </c>
      <c r="AB485" s="6">
        <f>$K$485*$V$485</f>
        <v>0</v>
      </c>
      <c r="AC485" s="6">
        <f>$M$485*$W$485</f>
        <v>122.38215000000001</v>
      </c>
      <c r="AD485" s="6">
        <f>$O$485*$X$485</f>
        <v>18.96095</v>
      </c>
      <c r="AE485" s="6">
        <f>$K$485*$Y$485</f>
        <v>0</v>
      </c>
      <c r="AF485" s="6">
        <f ca="1">$M$485*$Z$485</f>
        <v>176.1076717710111</v>
      </c>
      <c r="AG485" s="6">
        <f>$O$485*$AA$485</f>
        <v>6.6264609555076595</v>
      </c>
    </row>
    <row r="486" spans="1:33" ht="11.25" customHeight="1" x14ac:dyDescent="0.3">
      <c r="A486" s="4" t="s">
        <v>21</v>
      </c>
      <c r="B486" s="4" t="s">
        <v>37</v>
      </c>
      <c r="C486" s="4" t="s">
        <v>33</v>
      </c>
      <c r="D486" s="4" t="s">
        <v>38</v>
      </c>
      <c r="E486" s="4" t="s">
        <v>25</v>
      </c>
      <c r="F486" s="4" t="s">
        <v>25</v>
      </c>
      <c r="G486" s="4" t="s">
        <v>25</v>
      </c>
      <c r="H486" s="4" t="s">
        <v>34</v>
      </c>
      <c r="I486" s="5">
        <v>44621</v>
      </c>
      <c r="J486" s="6">
        <v>0</v>
      </c>
      <c r="K486" s="6">
        <v>0</v>
      </c>
      <c r="L486" s="6">
        <v>9.7000000000000003E-2</v>
      </c>
      <c r="M486" s="6">
        <v>9.7000000000000003E-2</v>
      </c>
      <c r="N486" s="6">
        <v>9.7000000000000003E-2</v>
      </c>
      <c r="O486" s="6">
        <v>9.7000000000000003E-2</v>
      </c>
      <c r="P486" s="6">
        <v>0</v>
      </c>
      <c r="Q486" s="4" t="s">
        <v>26</v>
      </c>
      <c r="R486" s="4">
        <v>0</v>
      </c>
      <c r="S486" s="6">
        <v>0</v>
      </c>
      <c r="T486" s="6">
        <v>44</v>
      </c>
      <c r="U486" s="6">
        <v>65</v>
      </c>
      <c r="V486" s="6">
        <f>IF(ISERROR(VLOOKUP($S$486,'TAR FIN'!$A$1:$O$85,15,0)),0,VLOOKUP($S$486,'TAR FIN'!$A$1:$O$85,15,0))</f>
        <v>0</v>
      </c>
      <c r="W486" s="6">
        <f>IF(ISERROR(VLOOKUP($T$486,'TAR FIN'!$A$1:$O$85,15,0)),0,VLOOKUP($T$486,'TAR FIN'!$A$1:$O$85,15,0))</f>
        <v>1439.79</v>
      </c>
      <c r="X486" s="6">
        <f>IF(ISERROR(VLOOKUP($U$486,'TAR FIN'!$A$1:$O$85,15,0)),0,VLOOKUP($U$486,'TAR FIN'!$A$1:$O$85,15,0))</f>
        <v>223.07</v>
      </c>
      <c r="Y486" s="6"/>
      <c r="Z486" s="6">
        <f ca="1">('TUSD BE'!$AM$45+'TUSD BF'!$AM$45+'TUSD CVA'!$AM$45)*1</f>
        <v>2071.8549620118952</v>
      </c>
      <c r="AA486" s="6">
        <f>('TE BE'!$AB$35+'TE BF'!$AB$35+'TE CVA'!$AB$35)*1</f>
        <v>77.958364182443049</v>
      </c>
      <c r="AB486" s="6">
        <f>$K$486*$V$486</f>
        <v>0</v>
      </c>
      <c r="AC486" s="6">
        <f>$M$486*$W$486</f>
        <v>139.65962999999999</v>
      </c>
      <c r="AD486" s="6">
        <f>$O$486*$X$486</f>
        <v>21.637789999999999</v>
      </c>
      <c r="AE486" s="6">
        <f>$K$486*$Y$486</f>
        <v>0</v>
      </c>
      <c r="AF486" s="6">
        <f ca="1">$M$486*$Z$486</f>
        <v>200.96993131515384</v>
      </c>
      <c r="AG486" s="6">
        <f>$O$486*$AA$486</f>
        <v>7.5619613256969762</v>
      </c>
    </row>
    <row r="487" spans="1:33" ht="11.25" customHeight="1" x14ac:dyDescent="0.3">
      <c r="A487" s="4" t="s">
        <v>21</v>
      </c>
      <c r="B487" s="4" t="s">
        <v>37</v>
      </c>
      <c r="C487" s="4" t="s">
        <v>33</v>
      </c>
      <c r="D487" s="4" t="s">
        <v>38</v>
      </c>
      <c r="E487" s="4" t="s">
        <v>25</v>
      </c>
      <c r="F487" s="4" t="s">
        <v>25</v>
      </c>
      <c r="G487" s="4" t="s">
        <v>25</v>
      </c>
      <c r="H487" s="4" t="s">
        <v>34</v>
      </c>
      <c r="I487" s="5">
        <v>44652</v>
      </c>
      <c r="J487" s="6">
        <v>0</v>
      </c>
      <c r="K487" s="6">
        <v>0</v>
      </c>
      <c r="L487" s="6">
        <v>7.4999999999999997E-2</v>
      </c>
      <c r="M487" s="6">
        <v>7.4999999999999997E-2</v>
      </c>
      <c r="N487" s="6">
        <v>7.4999999999999997E-2</v>
      </c>
      <c r="O487" s="6">
        <v>7.4999999999999997E-2</v>
      </c>
      <c r="P487" s="6">
        <v>0</v>
      </c>
      <c r="Q487" s="4" t="s">
        <v>26</v>
      </c>
      <c r="R487" s="4">
        <v>0</v>
      </c>
      <c r="S487" s="6">
        <v>0</v>
      </c>
      <c r="T487" s="6">
        <v>44</v>
      </c>
      <c r="U487" s="6">
        <v>65</v>
      </c>
      <c r="V487" s="6">
        <f>IF(ISERROR(VLOOKUP($S$487,'TAR FIN'!$A$1:$O$85,15,0)),0,VLOOKUP($S$487,'TAR FIN'!$A$1:$O$85,15,0))</f>
        <v>0</v>
      </c>
      <c r="W487" s="6">
        <f>IF(ISERROR(VLOOKUP($T$487,'TAR FIN'!$A$1:$O$85,15,0)),0,VLOOKUP($T$487,'TAR FIN'!$A$1:$O$85,15,0))</f>
        <v>1439.79</v>
      </c>
      <c r="X487" s="6">
        <f>IF(ISERROR(VLOOKUP($U$487,'TAR FIN'!$A$1:$O$85,15,0)),0,VLOOKUP($U$487,'TAR FIN'!$A$1:$O$85,15,0))</f>
        <v>223.07</v>
      </c>
      <c r="Y487" s="6"/>
      <c r="Z487" s="6">
        <f ca="1">('TUSD BE'!$AM$45+'TUSD BF'!$AM$45+'TUSD CVA'!$AM$45)*1</f>
        <v>2071.8549620118952</v>
      </c>
      <c r="AA487" s="6">
        <f>('TE BE'!$AB$35+'TE BF'!$AB$35+'TE CVA'!$AB$35)*1</f>
        <v>77.958364182443049</v>
      </c>
      <c r="AB487" s="6">
        <f>$K$487*$V$487</f>
        <v>0</v>
      </c>
      <c r="AC487" s="6">
        <f>$M$487*$W$487</f>
        <v>107.98424999999999</v>
      </c>
      <c r="AD487" s="6">
        <f>$O$487*$X$487</f>
        <v>16.730249999999998</v>
      </c>
      <c r="AE487" s="6">
        <f>$K$487*$Y$487</f>
        <v>0</v>
      </c>
      <c r="AF487" s="6">
        <f ca="1">$M$487*$Z$487</f>
        <v>155.38912215089212</v>
      </c>
      <c r="AG487" s="6">
        <f>$O$487*$AA$487</f>
        <v>5.8468773136832288</v>
      </c>
    </row>
    <row r="488" spans="1:33" ht="11.25" customHeight="1" x14ac:dyDescent="0.3">
      <c r="A488" s="4" t="s">
        <v>21</v>
      </c>
      <c r="B488" s="4" t="s">
        <v>37</v>
      </c>
      <c r="C488" s="4" t="s">
        <v>33</v>
      </c>
      <c r="D488" s="4" t="s">
        <v>38</v>
      </c>
      <c r="E488" s="4" t="s">
        <v>25</v>
      </c>
      <c r="F488" s="4" t="s">
        <v>25</v>
      </c>
      <c r="G488" s="4" t="s">
        <v>25</v>
      </c>
      <c r="H488" s="4" t="s">
        <v>34</v>
      </c>
      <c r="I488" s="5">
        <v>44682</v>
      </c>
      <c r="J488" s="6">
        <v>0</v>
      </c>
      <c r="K488" s="6">
        <v>0</v>
      </c>
      <c r="L488" s="6">
        <v>6.4000000000000001E-2</v>
      </c>
      <c r="M488" s="6">
        <v>6.4000000000000001E-2</v>
      </c>
      <c r="N488" s="6">
        <v>6.4000000000000001E-2</v>
      </c>
      <c r="O488" s="6">
        <v>6.4000000000000001E-2</v>
      </c>
      <c r="P488" s="6">
        <v>0</v>
      </c>
      <c r="Q488" s="4" t="s">
        <v>26</v>
      </c>
      <c r="R488" s="4">
        <v>0</v>
      </c>
      <c r="S488" s="6">
        <v>0</v>
      </c>
      <c r="T488" s="6">
        <v>44</v>
      </c>
      <c r="U488" s="6">
        <v>65</v>
      </c>
      <c r="V488" s="6">
        <f>IF(ISERROR(VLOOKUP($S$488,'TAR FIN'!$A$1:$O$85,15,0)),0,VLOOKUP($S$488,'TAR FIN'!$A$1:$O$85,15,0))</f>
        <v>0</v>
      </c>
      <c r="W488" s="6">
        <f>IF(ISERROR(VLOOKUP($T$488,'TAR FIN'!$A$1:$O$85,15,0)),0,VLOOKUP($T$488,'TAR FIN'!$A$1:$O$85,15,0))</f>
        <v>1439.79</v>
      </c>
      <c r="X488" s="6">
        <f>IF(ISERROR(VLOOKUP($U$488,'TAR FIN'!$A$1:$O$85,15,0)),0,VLOOKUP($U$488,'TAR FIN'!$A$1:$O$85,15,0))</f>
        <v>223.07</v>
      </c>
      <c r="Y488" s="6"/>
      <c r="Z488" s="6">
        <f ca="1">('TUSD BE'!$AM$45+'TUSD BF'!$AM$45+'TUSD CVA'!$AM$45)*1</f>
        <v>2071.8549620118952</v>
      </c>
      <c r="AA488" s="6">
        <f>('TE BE'!$AB$35+'TE BF'!$AB$35+'TE CVA'!$AB$35)*1</f>
        <v>77.958364182443049</v>
      </c>
      <c r="AB488" s="6">
        <f>$K$488*$V$488</f>
        <v>0</v>
      </c>
      <c r="AC488" s="6">
        <f>$M$488*$W$488</f>
        <v>92.146559999999994</v>
      </c>
      <c r="AD488" s="6">
        <f>$O$488*$X$488</f>
        <v>14.276479999999999</v>
      </c>
      <c r="AE488" s="6">
        <f>$K$488*$Y$488</f>
        <v>0</v>
      </c>
      <c r="AF488" s="6">
        <f ca="1">$M$488*$Z$488</f>
        <v>132.59871756876129</v>
      </c>
      <c r="AG488" s="6">
        <f>$O$488*$AA$488</f>
        <v>4.9893353076763551</v>
      </c>
    </row>
    <row r="489" spans="1:33" ht="11.25" customHeight="1" x14ac:dyDescent="0.3">
      <c r="A489" s="4" t="s">
        <v>21</v>
      </c>
      <c r="B489" s="4" t="s">
        <v>37</v>
      </c>
      <c r="C489" s="4" t="s">
        <v>33</v>
      </c>
      <c r="D489" s="4" t="s">
        <v>38</v>
      </c>
      <c r="E489" s="4" t="s">
        <v>25</v>
      </c>
      <c r="F489" s="4" t="s">
        <v>25</v>
      </c>
      <c r="G489" s="4" t="s">
        <v>25</v>
      </c>
      <c r="H489" s="4" t="s">
        <v>34</v>
      </c>
      <c r="I489" s="5">
        <v>44713</v>
      </c>
      <c r="J489" s="6">
        <v>0</v>
      </c>
      <c r="K489" s="6">
        <v>0</v>
      </c>
      <c r="L489" s="6">
        <v>4.8000000000000001E-2</v>
      </c>
      <c r="M489" s="6">
        <v>4.8000000000000001E-2</v>
      </c>
      <c r="N489" s="6">
        <v>4.8000000000000001E-2</v>
      </c>
      <c r="O489" s="6">
        <v>4.8000000000000001E-2</v>
      </c>
      <c r="P489" s="6">
        <v>0</v>
      </c>
      <c r="Q489" s="4" t="s">
        <v>26</v>
      </c>
      <c r="R489" s="4">
        <v>0</v>
      </c>
      <c r="S489" s="6">
        <v>0</v>
      </c>
      <c r="T489" s="6">
        <v>44</v>
      </c>
      <c r="U489" s="6">
        <v>65</v>
      </c>
      <c r="V489" s="6">
        <f>IF(ISERROR(VLOOKUP($S$489,'TAR FIN'!$A$1:$O$85,15,0)),0,VLOOKUP($S$489,'TAR FIN'!$A$1:$O$85,15,0))</f>
        <v>0</v>
      </c>
      <c r="W489" s="6">
        <f>IF(ISERROR(VLOOKUP($T$489,'TAR FIN'!$A$1:$O$85,15,0)),0,VLOOKUP($T$489,'TAR FIN'!$A$1:$O$85,15,0))</f>
        <v>1439.79</v>
      </c>
      <c r="X489" s="6">
        <f>IF(ISERROR(VLOOKUP($U$489,'TAR FIN'!$A$1:$O$85,15,0)),0,VLOOKUP($U$489,'TAR FIN'!$A$1:$O$85,15,0))</f>
        <v>223.07</v>
      </c>
      <c r="Y489" s="6"/>
      <c r="Z489" s="6">
        <f ca="1">('TUSD BE'!$AM$45+'TUSD BF'!$AM$45+'TUSD CVA'!$AM$45)*1</f>
        <v>2071.8549620118952</v>
      </c>
      <c r="AA489" s="6">
        <f>('TE BE'!$AB$35+'TE BF'!$AB$35+'TE CVA'!$AB$35)*1</f>
        <v>77.958364182443049</v>
      </c>
      <c r="AB489" s="6">
        <f>$K$489*$V$489</f>
        <v>0</v>
      </c>
      <c r="AC489" s="6">
        <f>$M$489*$W$489</f>
        <v>69.109920000000002</v>
      </c>
      <c r="AD489" s="6">
        <f>$O$489*$X$489</f>
        <v>10.70736</v>
      </c>
      <c r="AE489" s="6">
        <f>$K$489*$Y$489</f>
        <v>0</v>
      </c>
      <c r="AF489" s="6">
        <f ca="1">$M$489*$Z$489</f>
        <v>99.449038176570966</v>
      </c>
      <c r="AG489" s="6">
        <f>$O$489*$AA$489</f>
        <v>3.7420014807572666</v>
      </c>
    </row>
    <row r="490" spans="1:33" ht="11.25" customHeight="1" x14ac:dyDescent="0.3">
      <c r="A490" s="4" t="s">
        <v>21</v>
      </c>
      <c r="B490" s="4" t="s">
        <v>37</v>
      </c>
      <c r="C490" s="4" t="s">
        <v>33</v>
      </c>
      <c r="D490" s="4" t="s">
        <v>38</v>
      </c>
      <c r="E490" s="4" t="s">
        <v>25</v>
      </c>
      <c r="F490" s="4" t="s">
        <v>25</v>
      </c>
      <c r="G490" s="4" t="s">
        <v>25</v>
      </c>
      <c r="H490" s="4" t="s">
        <v>34</v>
      </c>
      <c r="I490" s="5">
        <v>44743</v>
      </c>
      <c r="J490" s="6">
        <v>0</v>
      </c>
      <c r="K490" s="6">
        <v>0</v>
      </c>
      <c r="L490" s="6">
        <v>0.05</v>
      </c>
      <c r="M490" s="6">
        <v>0.05</v>
      </c>
      <c r="N490" s="6">
        <v>0.05</v>
      </c>
      <c r="O490" s="6">
        <v>0.05</v>
      </c>
      <c r="P490" s="6">
        <v>0</v>
      </c>
      <c r="Q490" s="4" t="s">
        <v>26</v>
      </c>
      <c r="R490" s="4">
        <v>0</v>
      </c>
      <c r="S490" s="6">
        <v>0</v>
      </c>
      <c r="T490" s="6">
        <v>44</v>
      </c>
      <c r="U490" s="6">
        <v>65</v>
      </c>
      <c r="V490" s="6">
        <f>IF(ISERROR(VLOOKUP($S$490,'TAR FIN'!$A$1:$O$85,15,0)),0,VLOOKUP($S$490,'TAR FIN'!$A$1:$O$85,15,0))</f>
        <v>0</v>
      </c>
      <c r="W490" s="6">
        <f>IF(ISERROR(VLOOKUP($T$490,'TAR FIN'!$A$1:$O$85,15,0)),0,VLOOKUP($T$490,'TAR FIN'!$A$1:$O$85,15,0))</f>
        <v>1439.79</v>
      </c>
      <c r="X490" s="6">
        <f>IF(ISERROR(VLOOKUP($U$490,'TAR FIN'!$A$1:$O$85,15,0)),0,VLOOKUP($U$490,'TAR FIN'!$A$1:$O$85,15,0))</f>
        <v>223.07</v>
      </c>
      <c r="Y490" s="6"/>
      <c r="Z490" s="6">
        <f ca="1">('TUSD BE'!$AM$45+'TUSD BF'!$AM$45+'TUSD CVA'!$AM$45)*1</f>
        <v>2071.8549620118952</v>
      </c>
      <c r="AA490" s="6">
        <f>('TE BE'!$AB$35+'TE BF'!$AB$35+'TE CVA'!$AB$35)*1</f>
        <v>77.958364182443049</v>
      </c>
      <c r="AB490" s="6">
        <f>$K$490*$V$490</f>
        <v>0</v>
      </c>
      <c r="AC490" s="6">
        <f>$M$490*$W$490</f>
        <v>71.989500000000007</v>
      </c>
      <c r="AD490" s="6">
        <f>$O$490*$X$490</f>
        <v>11.153500000000001</v>
      </c>
      <c r="AE490" s="6">
        <f>$K$490*$Y$490</f>
        <v>0</v>
      </c>
      <c r="AF490" s="6">
        <f ca="1">$M$490*$Z$490</f>
        <v>103.59274810059476</v>
      </c>
      <c r="AG490" s="6">
        <f>$O$490*$AA$490</f>
        <v>3.8979182091221527</v>
      </c>
    </row>
    <row r="491" spans="1:33" ht="11.25" customHeight="1" x14ac:dyDescent="0.3">
      <c r="A491" s="4" t="s">
        <v>21</v>
      </c>
      <c r="B491" s="4" t="s">
        <v>37</v>
      </c>
      <c r="C491" s="4" t="s">
        <v>33</v>
      </c>
      <c r="D491" s="4" t="s">
        <v>38</v>
      </c>
      <c r="E491" s="4" t="s">
        <v>25</v>
      </c>
      <c r="F491" s="4" t="s">
        <v>25</v>
      </c>
      <c r="G491" s="4" t="s">
        <v>25</v>
      </c>
      <c r="H491" s="4" t="s">
        <v>34</v>
      </c>
      <c r="I491" s="5">
        <v>44774</v>
      </c>
      <c r="J491" s="6">
        <v>0</v>
      </c>
      <c r="K491" s="6">
        <v>0</v>
      </c>
      <c r="L491" s="6">
        <v>6.6000000000000003E-2</v>
      </c>
      <c r="M491" s="6">
        <v>6.6000000000000003E-2</v>
      </c>
      <c r="N491" s="6">
        <v>6.6000000000000003E-2</v>
      </c>
      <c r="O491" s="6">
        <v>6.6000000000000003E-2</v>
      </c>
      <c r="P491" s="6">
        <v>0</v>
      </c>
      <c r="Q491" s="4" t="s">
        <v>26</v>
      </c>
      <c r="R491" s="4">
        <v>0</v>
      </c>
      <c r="S491" s="6">
        <v>0</v>
      </c>
      <c r="T491" s="6">
        <v>44</v>
      </c>
      <c r="U491" s="6">
        <v>65</v>
      </c>
      <c r="V491" s="6">
        <f>IF(ISERROR(VLOOKUP($S$491,'TAR FIN'!$A$1:$O$85,15,0)),0,VLOOKUP($S$491,'TAR FIN'!$A$1:$O$85,15,0))</f>
        <v>0</v>
      </c>
      <c r="W491" s="6">
        <f>IF(ISERROR(VLOOKUP($T$491,'TAR FIN'!$A$1:$O$85,15,0)),0,VLOOKUP($T$491,'TAR FIN'!$A$1:$O$85,15,0))</f>
        <v>1439.79</v>
      </c>
      <c r="X491" s="6">
        <f>IF(ISERROR(VLOOKUP($U$491,'TAR FIN'!$A$1:$O$85,15,0)),0,VLOOKUP($U$491,'TAR FIN'!$A$1:$O$85,15,0))</f>
        <v>223.07</v>
      </c>
      <c r="Y491" s="6"/>
      <c r="Z491" s="6">
        <f ca="1">('TUSD BE'!$AM$45+'TUSD BF'!$AM$45+'TUSD CVA'!$AM$45)*1</f>
        <v>2071.8549620118952</v>
      </c>
      <c r="AA491" s="6">
        <f>('TE BE'!$AB$35+'TE BF'!$AB$35+'TE CVA'!$AB$35)*1</f>
        <v>77.958364182443049</v>
      </c>
      <c r="AB491" s="6">
        <f>$K$491*$V$491</f>
        <v>0</v>
      </c>
      <c r="AC491" s="6">
        <f>$M$491*$W$491</f>
        <v>95.026139999999998</v>
      </c>
      <c r="AD491" s="6">
        <f>$O$491*$X$491</f>
        <v>14.722620000000001</v>
      </c>
      <c r="AE491" s="6">
        <f>$K$491*$Y$491</f>
        <v>0</v>
      </c>
      <c r="AF491" s="6">
        <f ca="1">$M$491*$Z$491</f>
        <v>136.74242749278508</v>
      </c>
      <c r="AG491" s="6">
        <f>$O$491*$AA$491</f>
        <v>5.1452520360412413</v>
      </c>
    </row>
    <row r="492" spans="1:33" ht="11.25" customHeight="1" x14ac:dyDescent="0.3">
      <c r="A492" s="4" t="s">
        <v>21</v>
      </c>
      <c r="B492" s="4" t="s">
        <v>37</v>
      </c>
      <c r="C492" s="4" t="s">
        <v>23</v>
      </c>
      <c r="D492" s="4" t="s">
        <v>41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44440</v>
      </c>
      <c r="J492" s="6">
        <v>0</v>
      </c>
      <c r="K492" s="6">
        <v>0</v>
      </c>
      <c r="L492" s="6">
        <v>843.88099999999997</v>
      </c>
      <c r="M492" s="6">
        <v>843.88099999999997</v>
      </c>
      <c r="N492" s="6">
        <v>843.88099999999997</v>
      </c>
      <c r="O492" s="6">
        <v>843.88099999999997</v>
      </c>
      <c r="P492" s="6">
        <v>1111</v>
      </c>
      <c r="Q492" s="4" t="s">
        <v>26</v>
      </c>
      <c r="R492" s="4">
        <v>0</v>
      </c>
      <c r="S492" s="6">
        <v>0</v>
      </c>
      <c r="T492" s="6">
        <v>36</v>
      </c>
      <c r="U492" s="6">
        <v>81</v>
      </c>
      <c r="V492" s="6">
        <f>IF(ISERROR(VLOOKUP($S$492,'TAR FIN'!$A$1:$O$85,15,0)),0,VLOOKUP($S$492,'TAR FIN'!$A$1:$O$85,15,0))</f>
        <v>0</v>
      </c>
      <c r="W492" s="6">
        <f>IF(ISERROR(VLOOKUP($T$492,'TAR FIN'!$A$1:$O$85,15,0)),0,VLOOKUP($T$492,'TAR FIN'!$A$1:$O$85,15,0))</f>
        <v>482.65</v>
      </c>
      <c r="X492" s="6">
        <f>IF(ISERROR(VLOOKUP($U$492,'TAR FIN'!$A$1:$O$85,15,0)),0,VLOOKUP($U$492,'TAR FIN'!$A$1:$O$85,15,0))</f>
        <v>223.07</v>
      </c>
      <c r="Y492" s="6"/>
      <c r="Z492" s="6">
        <f ca="1">('TUSD BE'!$AM$48+'TUSD BF'!$AM$48+'TUSD CVA'!$AM$48)*1</f>
        <v>679.24595390998343</v>
      </c>
      <c r="AA492" s="6">
        <f>('TE BE'!$AB$38+'TE BF'!$AB$38+'TE CVA'!$AB$38)*1</f>
        <v>77.958364182443049</v>
      </c>
      <c r="AB492" s="6">
        <f>$K$492*$V$492</f>
        <v>0</v>
      </c>
      <c r="AC492" s="6">
        <f>$M$492*$W$492</f>
        <v>407299.16464999999</v>
      </c>
      <c r="AD492" s="6">
        <f>$O$492*$X$492</f>
        <v>188244.53466999999</v>
      </c>
      <c r="AE492" s="6">
        <f>$K$492*$Y$492</f>
        <v>0</v>
      </c>
      <c r="AF492" s="6">
        <f ca="1">$M$492*$Z$492</f>
        <v>573202.75483151071</v>
      </c>
      <c r="AG492" s="6">
        <f>$O$492*$AA$492</f>
        <v>65787.582324644216</v>
      </c>
    </row>
    <row r="493" spans="1:33" ht="11.25" customHeight="1" x14ac:dyDescent="0.3">
      <c r="A493" s="4" t="s">
        <v>28</v>
      </c>
      <c r="B493" s="4" t="s">
        <v>37</v>
      </c>
      <c r="C493" s="4" t="s">
        <v>23</v>
      </c>
      <c r="D493" s="4" t="s">
        <v>41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44440</v>
      </c>
      <c r="J493" s="6">
        <v>0</v>
      </c>
      <c r="K493" s="6">
        <v>0</v>
      </c>
      <c r="L493" s="6">
        <v>57.822000000000003</v>
      </c>
      <c r="M493" s="6">
        <v>57.822000000000003</v>
      </c>
      <c r="N493" s="6">
        <v>57.822000000000003</v>
      </c>
      <c r="O493" s="6">
        <v>57.822000000000003</v>
      </c>
      <c r="P493" s="6">
        <v>48</v>
      </c>
      <c r="Q493" s="4" t="s">
        <v>26</v>
      </c>
      <c r="R493" s="4">
        <v>0</v>
      </c>
      <c r="S493" s="6">
        <v>0</v>
      </c>
      <c r="T493" s="6">
        <v>36</v>
      </c>
      <c r="U493" s="6">
        <v>81</v>
      </c>
      <c r="V493" s="6">
        <f>IF(ISERROR(VLOOKUP($S$493,'TAR FIN'!$A$1:$O$85,15,0)),0,VLOOKUP($S$493,'TAR FIN'!$A$1:$O$85,15,0))</f>
        <v>0</v>
      </c>
      <c r="W493" s="6">
        <f>IF(ISERROR(VLOOKUP($T$493,'TAR FIN'!$A$1:$O$85,15,0)),0,VLOOKUP($T$493,'TAR FIN'!$A$1:$O$85,15,0))</f>
        <v>482.65</v>
      </c>
      <c r="X493" s="6">
        <f>IF(ISERROR(VLOOKUP($U$493,'TAR FIN'!$A$1:$O$85,15,0)),0,VLOOKUP($U$493,'TAR FIN'!$A$1:$O$85,15,0))</f>
        <v>223.07</v>
      </c>
      <c r="Y493" s="6"/>
      <c r="Z493" s="6">
        <f ca="1">('TUSD BE'!$AM$48+'TUSD BF'!$AM$48+'TUSD CVA'!$AM$48)*1</f>
        <v>679.24595390998343</v>
      </c>
      <c r="AA493" s="6">
        <f>('TE BE'!$AB$38+'TE BF'!$AB$38+'TE CVA'!$AB$38)*1</f>
        <v>77.958364182443049</v>
      </c>
      <c r="AB493" s="6">
        <f>$K$493*$V$493</f>
        <v>0</v>
      </c>
      <c r="AC493" s="6">
        <f>$M$493*$W$493</f>
        <v>27907.7883</v>
      </c>
      <c r="AD493" s="6">
        <f>$O$493*$X$493</f>
        <v>12898.35354</v>
      </c>
      <c r="AE493" s="6">
        <f>$K$493*$Y$493</f>
        <v>0</v>
      </c>
      <c r="AF493" s="6">
        <f ca="1">$M$493*$Z$493</f>
        <v>39275.359546983062</v>
      </c>
      <c r="AG493" s="6">
        <f>$O$493*$AA$493</f>
        <v>4507.7085337572225</v>
      </c>
    </row>
    <row r="494" spans="1:33" ht="11.25" customHeight="1" x14ac:dyDescent="0.3">
      <c r="A494" s="4" t="s">
        <v>21</v>
      </c>
      <c r="B494" s="4" t="s">
        <v>37</v>
      </c>
      <c r="C494" s="4" t="s">
        <v>23</v>
      </c>
      <c r="D494" s="4" t="s">
        <v>41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44470</v>
      </c>
      <c r="J494" s="6">
        <v>0</v>
      </c>
      <c r="K494" s="6">
        <v>0</v>
      </c>
      <c r="L494" s="6">
        <v>817.37800000000004</v>
      </c>
      <c r="M494" s="6">
        <v>817.37800000000004</v>
      </c>
      <c r="N494" s="6">
        <v>817.37800000000004</v>
      </c>
      <c r="O494" s="6">
        <v>817.37800000000004</v>
      </c>
      <c r="P494" s="6">
        <v>1126</v>
      </c>
      <c r="Q494" s="4" t="s">
        <v>26</v>
      </c>
      <c r="R494" s="4">
        <v>0</v>
      </c>
      <c r="S494" s="6">
        <v>0</v>
      </c>
      <c r="T494" s="6">
        <v>36</v>
      </c>
      <c r="U494" s="6">
        <v>81</v>
      </c>
      <c r="V494" s="6">
        <f>IF(ISERROR(VLOOKUP($S$494,'TAR FIN'!$A$1:$O$85,15,0)),0,VLOOKUP($S$494,'TAR FIN'!$A$1:$O$85,15,0))</f>
        <v>0</v>
      </c>
      <c r="W494" s="6">
        <f>IF(ISERROR(VLOOKUP($T$494,'TAR FIN'!$A$1:$O$85,15,0)),0,VLOOKUP($T$494,'TAR FIN'!$A$1:$O$85,15,0))</f>
        <v>482.65</v>
      </c>
      <c r="X494" s="6">
        <f>IF(ISERROR(VLOOKUP($U$494,'TAR FIN'!$A$1:$O$85,15,0)),0,VLOOKUP($U$494,'TAR FIN'!$A$1:$O$85,15,0))</f>
        <v>223.07</v>
      </c>
      <c r="Y494" s="6"/>
      <c r="Z494" s="6">
        <f ca="1">('TUSD BE'!$AM$48+'TUSD BF'!$AM$48+'TUSD CVA'!$AM$48)*1</f>
        <v>679.24595390998343</v>
      </c>
      <c r="AA494" s="6">
        <f>('TE BE'!$AB$38+'TE BF'!$AB$38+'TE CVA'!$AB$38)*1</f>
        <v>77.958364182443049</v>
      </c>
      <c r="AB494" s="6">
        <f>$K$494*$V$494</f>
        <v>0</v>
      </c>
      <c r="AC494" s="6">
        <f>$M$494*$W$494</f>
        <v>394507.49170000001</v>
      </c>
      <c r="AD494" s="6">
        <f>$O$494*$X$494</f>
        <v>182332.51045999999</v>
      </c>
      <c r="AE494" s="6">
        <f>$K$494*$Y$494</f>
        <v>0</v>
      </c>
      <c r="AF494" s="6">
        <f ca="1">$M$494*$Z$494</f>
        <v>555200.69931503444</v>
      </c>
      <c r="AG494" s="6">
        <f>$O$494*$AA$494</f>
        <v>63721.451798716938</v>
      </c>
    </row>
    <row r="495" spans="1:33" ht="11.25" customHeight="1" x14ac:dyDescent="0.3">
      <c r="A495" s="4" t="s">
        <v>28</v>
      </c>
      <c r="B495" s="4" t="s">
        <v>37</v>
      </c>
      <c r="C495" s="4" t="s">
        <v>23</v>
      </c>
      <c r="D495" s="4" t="s">
        <v>41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44470</v>
      </c>
      <c r="J495" s="6">
        <v>0</v>
      </c>
      <c r="K495" s="6">
        <v>0</v>
      </c>
      <c r="L495" s="6">
        <v>58.777000000000001</v>
      </c>
      <c r="M495" s="6">
        <v>58.777000000000001</v>
      </c>
      <c r="N495" s="6">
        <v>58.777000000000001</v>
      </c>
      <c r="O495" s="6">
        <v>58.777000000000001</v>
      </c>
      <c r="P495" s="6">
        <v>49</v>
      </c>
      <c r="Q495" s="4" t="s">
        <v>26</v>
      </c>
      <c r="R495" s="4">
        <v>0</v>
      </c>
      <c r="S495" s="6">
        <v>0</v>
      </c>
      <c r="T495" s="6">
        <v>36</v>
      </c>
      <c r="U495" s="6">
        <v>81</v>
      </c>
      <c r="V495" s="6">
        <f>IF(ISERROR(VLOOKUP($S$495,'TAR FIN'!$A$1:$O$85,15,0)),0,VLOOKUP($S$495,'TAR FIN'!$A$1:$O$85,15,0))</f>
        <v>0</v>
      </c>
      <c r="W495" s="6">
        <f>IF(ISERROR(VLOOKUP($T$495,'TAR FIN'!$A$1:$O$85,15,0)),0,VLOOKUP($T$495,'TAR FIN'!$A$1:$O$85,15,0))</f>
        <v>482.65</v>
      </c>
      <c r="X495" s="6">
        <f>IF(ISERROR(VLOOKUP($U$495,'TAR FIN'!$A$1:$O$85,15,0)),0,VLOOKUP($U$495,'TAR FIN'!$A$1:$O$85,15,0))</f>
        <v>223.07</v>
      </c>
      <c r="Y495" s="6"/>
      <c r="Z495" s="6">
        <f ca="1">('TUSD BE'!$AM$48+'TUSD BF'!$AM$48+'TUSD CVA'!$AM$48)*1</f>
        <v>679.24595390998343</v>
      </c>
      <c r="AA495" s="6">
        <f>('TE BE'!$AB$38+'TE BF'!$AB$38+'TE CVA'!$AB$38)*1</f>
        <v>77.958364182443049</v>
      </c>
      <c r="AB495" s="6">
        <f>$K$495*$V$495</f>
        <v>0</v>
      </c>
      <c r="AC495" s="6">
        <f>$M$495*$W$495</f>
        <v>28368.71905</v>
      </c>
      <c r="AD495" s="6">
        <f>$O$495*$X$495</f>
        <v>13111.385389999999</v>
      </c>
      <c r="AE495" s="6">
        <f>$K$495*$Y$495</f>
        <v>0</v>
      </c>
      <c r="AF495" s="6">
        <f ca="1">$M$495*$Z$495</f>
        <v>39924.039432967096</v>
      </c>
      <c r="AG495" s="6">
        <f>$O$495*$AA$495</f>
        <v>4582.1587715514552</v>
      </c>
    </row>
    <row r="496" spans="1:33" ht="11.25" customHeight="1" x14ac:dyDescent="0.3">
      <c r="A496" s="4" t="s">
        <v>21</v>
      </c>
      <c r="B496" s="4" t="s">
        <v>37</v>
      </c>
      <c r="C496" s="4" t="s">
        <v>23</v>
      </c>
      <c r="D496" s="4" t="s">
        <v>41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44501</v>
      </c>
      <c r="J496" s="6">
        <v>0</v>
      </c>
      <c r="K496" s="6">
        <v>0</v>
      </c>
      <c r="L496" s="6">
        <v>889.322</v>
      </c>
      <c r="M496" s="6">
        <v>889.322</v>
      </c>
      <c r="N496" s="6">
        <v>889.322</v>
      </c>
      <c r="O496" s="6">
        <v>889.322</v>
      </c>
      <c r="P496" s="6">
        <v>1125</v>
      </c>
      <c r="Q496" s="4" t="s">
        <v>26</v>
      </c>
      <c r="R496" s="4">
        <v>0</v>
      </c>
      <c r="S496" s="6">
        <v>0</v>
      </c>
      <c r="T496" s="6">
        <v>36</v>
      </c>
      <c r="U496" s="6">
        <v>81</v>
      </c>
      <c r="V496" s="6">
        <f>IF(ISERROR(VLOOKUP($S$496,'TAR FIN'!$A$1:$O$85,15,0)),0,VLOOKUP($S$496,'TAR FIN'!$A$1:$O$85,15,0))</f>
        <v>0</v>
      </c>
      <c r="W496" s="6">
        <f>IF(ISERROR(VLOOKUP($T$496,'TAR FIN'!$A$1:$O$85,15,0)),0,VLOOKUP($T$496,'TAR FIN'!$A$1:$O$85,15,0))</f>
        <v>482.65</v>
      </c>
      <c r="X496" s="6">
        <f>IF(ISERROR(VLOOKUP($U$496,'TAR FIN'!$A$1:$O$85,15,0)),0,VLOOKUP($U$496,'TAR FIN'!$A$1:$O$85,15,0))</f>
        <v>223.07</v>
      </c>
      <c r="Y496" s="6"/>
      <c r="Z496" s="6">
        <f ca="1">('TUSD BE'!$AM$48+'TUSD BF'!$AM$48+'TUSD CVA'!$AM$48)*1</f>
        <v>679.24595390998343</v>
      </c>
      <c r="AA496" s="6">
        <f>('TE BE'!$AB$38+'TE BF'!$AB$38+'TE CVA'!$AB$38)*1</f>
        <v>77.958364182443049</v>
      </c>
      <c r="AB496" s="6">
        <f>$K$496*$V$496</f>
        <v>0</v>
      </c>
      <c r="AC496" s="6">
        <f>$M$496*$W$496</f>
        <v>429231.26329999999</v>
      </c>
      <c r="AD496" s="6">
        <f>$O$496*$X$496</f>
        <v>198381.05854</v>
      </c>
      <c r="AE496" s="6">
        <f>$K$496*$Y$496</f>
        <v>0</v>
      </c>
      <c r="AF496" s="6">
        <f ca="1">$M$496*$Z$496</f>
        <v>604068.37022313429</v>
      </c>
      <c r="AG496" s="6">
        <f>$O$496*$AA$496</f>
        <v>69330.088351458617</v>
      </c>
    </row>
    <row r="497" spans="1:33" ht="11.25" customHeight="1" x14ac:dyDescent="0.3">
      <c r="A497" s="4" t="s">
        <v>28</v>
      </c>
      <c r="B497" s="4" t="s">
        <v>37</v>
      </c>
      <c r="C497" s="4" t="s">
        <v>23</v>
      </c>
      <c r="D497" s="4" t="s">
        <v>41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44501</v>
      </c>
      <c r="J497" s="6">
        <v>0</v>
      </c>
      <c r="K497" s="6">
        <v>0</v>
      </c>
      <c r="L497" s="6">
        <v>41.744999999999997</v>
      </c>
      <c r="M497" s="6">
        <v>41.744999999999997</v>
      </c>
      <c r="N497" s="6">
        <v>41.744999999999997</v>
      </c>
      <c r="O497" s="6">
        <v>41.744999999999997</v>
      </c>
      <c r="P497" s="6">
        <v>53</v>
      </c>
      <c r="Q497" s="4" t="s">
        <v>26</v>
      </c>
      <c r="R497" s="4">
        <v>0</v>
      </c>
      <c r="S497" s="6">
        <v>0</v>
      </c>
      <c r="T497" s="6">
        <v>36</v>
      </c>
      <c r="U497" s="6">
        <v>81</v>
      </c>
      <c r="V497" s="6">
        <f>IF(ISERROR(VLOOKUP($S$497,'TAR FIN'!$A$1:$O$85,15,0)),0,VLOOKUP($S$497,'TAR FIN'!$A$1:$O$85,15,0))</f>
        <v>0</v>
      </c>
      <c r="W497" s="6">
        <f>IF(ISERROR(VLOOKUP($T$497,'TAR FIN'!$A$1:$O$85,15,0)),0,VLOOKUP($T$497,'TAR FIN'!$A$1:$O$85,15,0))</f>
        <v>482.65</v>
      </c>
      <c r="X497" s="6">
        <f>IF(ISERROR(VLOOKUP($U$497,'TAR FIN'!$A$1:$O$85,15,0)),0,VLOOKUP($U$497,'TAR FIN'!$A$1:$O$85,15,0))</f>
        <v>223.07</v>
      </c>
      <c r="Y497" s="6"/>
      <c r="Z497" s="6">
        <f ca="1">('TUSD BE'!$AM$48+'TUSD BF'!$AM$48+'TUSD CVA'!$AM$48)*1</f>
        <v>679.24595390998343</v>
      </c>
      <c r="AA497" s="6">
        <f>('TE BE'!$AB$38+'TE BF'!$AB$38+'TE CVA'!$AB$38)*1</f>
        <v>77.958364182443049</v>
      </c>
      <c r="AB497" s="6">
        <f>$K$497*$V$497</f>
        <v>0</v>
      </c>
      <c r="AC497" s="6">
        <f>$M$497*$W$497</f>
        <v>20148.224249999999</v>
      </c>
      <c r="AD497" s="6">
        <f>$O$497*$X$497</f>
        <v>9312.0571499999987</v>
      </c>
      <c r="AE497" s="6">
        <f>$K$497*$Y$497</f>
        <v>0</v>
      </c>
      <c r="AF497" s="6">
        <f ca="1">$M$497*$Z$497</f>
        <v>28355.122345972257</v>
      </c>
      <c r="AG497" s="6">
        <f>$O$497*$AA$497</f>
        <v>3254.3719127960849</v>
      </c>
    </row>
    <row r="498" spans="1:33" ht="11.25" customHeight="1" x14ac:dyDescent="0.3">
      <c r="A498" s="4" t="s">
        <v>21</v>
      </c>
      <c r="B498" s="4" t="s">
        <v>37</v>
      </c>
      <c r="C498" s="4" t="s">
        <v>23</v>
      </c>
      <c r="D498" s="4" t="s">
        <v>41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44531</v>
      </c>
      <c r="J498" s="6">
        <v>0</v>
      </c>
      <c r="K498" s="6">
        <v>0</v>
      </c>
      <c r="L498" s="6">
        <v>874.52700000000004</v>
      </c>
      <c r="M498" s="6">
        <v>874.52700000000004</v>
      </c>
      <c r="N498" s="6">
        <v>874.52700000000004</v>
      </c>
      <c r="O498" s="6">
        <v>874.52700000000004</v>
      </c>
      <c r="P498" s="6">
        <v>1133</v>
      </c>
      <c r="Q498" s="4" t="s">
        <v>26</v>
      </c>
      <c r="R498" s="4">
        <v>0</v>
      </c>
      <c r="S498" s="6">
        <v>0</v>
      </c>
      <c r="T498" s="6">
        <v>36</v>
      </c>
      <c r="U498" s="6">
        <v>81</v>
      </c>
      <c r="V498" s="6">
        <f>IF(ISERROR(VLOOKUP($S$498,'TAR FIN'!$A$1:$O$85,15,0)),0,VLOOKUP($S$498,'TAR FIN'!$A$1:$O$85,15,0))</f>
        <v>0</v>
      </c>
      <c r="W498" s="6">
        <f>IF(ISERROR(VLOOKUP($T$498,'TAR FIN'!$A$1:$O$85,15,0)),0,VLOOKUP($T$498,'TAR FIN'!$A$1:$O$85,15,0))</f>
        <v>482.65</v>
      </c>
      <c r="X498" s="6">
        <f>IF(ISERROR(VLOOKUP($U$498,'TAR FIN'!$A$1:$O$85,15,0)),0,VLOOKUP($U$498,'TAR FIN'!$A$1:$O$85,15,0))</f>
        <v>223.07</v>
      </c>
      <c r="Y498" s="6"/>
      <c r="Z498" s="6">
        <f ca="1">('TUSD BE'!$AM$48+'TUSD BF'!$AM$48+'TUSD CVA'!$AM$48)*1</f>
        <v>679.24595390998343</v>
      </c>
      <c r="AA498" s="6">
        <f>('TE BE'!$AB$38+'TE BF'!$AB$38+'TE CVA'!$AB$38)*1</f>
        <v>77.958364182443049</v>
      </c>
      <c r="AB498" s="6">
        <f>$K$498*$V$498</f>
        <v>0</v>
      </c>
      <c r="AC498" s="6">
        <f>$M$498*$W$498</f>
        <v>422090.45655</v>
      </c>
      <c r="AD498" s="6">
        <f>$O$498*$X$498</f>
        <v>195080.73788999999</v>
      </c>
      <c r="AE498" s="6">
        <f>$K$498*$Y$498</f>
        <v>0</v>
      </c>
      <c r="AF498" s="6">
        <f ca="1">$M$498*$Z$498</f>
        <v>594018.92633503606</v>
      </c>
      <c r="AG498" s="6">
        <f>$O$498*$AA$498</f>
        <v>68176.694353379382</v>
      </c>
    </row>
    <row r="499" spans="1:33" ht="11.25" customHeight="1" x14ac:dyDescent="0.3">
      <c r="A499" s="4" t="s">
        <v>28</v>
      </c>
      <c r="B499" s="4" t="s">
        <v>37</v>
      </c>
      <c r="C499" s="4" t="s">
        <v>23</v>
      </c>
      <c r="D499" s="4" t="s">
        <v>41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44531</v>
      </c>
      <c r="J499" s="6">
        <v>0</v>
      </c>
      <c r="K499" s="6">
        <v>0</v>
      </c>
      <c r="L499" s="6">
        <v>32.83</v>
      </c>
      <c r="M499" s="6">
        <v>32.83</v>
      </c>
      <c r="N499" s="6">
        <v>32.83</v>
      </c>
      <c r="O499" s="6">
        <v>32.83</v>
      </c>
      <c r="P499" s="6">
        <v>54</v>
      </c>
      <c r="Q499" s="4" t="s">
        <v>26</v>
      </c>
      <c r="R499" s="4">
        <v>0</v>
      </c>
      <c r="S499" s="6">
        <v>0</v>
      </c>
      <c r="T499" s="6">
        <v>36</v>
      </c>
      <c r="U499" s="6">
        <v>81</v>
      </c>
      <c r="V499" s="6">
        <f>IF(ISERROR(VLOOKUP($S$499,'TAR FIN'!$A$1:$O$85,15,0)),0,VLOOKUP($S$499,'TAR FIN'!$A$1:$O$85,15,0))</f>
        <v>0</v>
      </c>
      <c r="W499" s="6">
        <f>IF(ISERROR(VLOOKUP($T$499,'TAR FIN'!$A$1:$O$85,15,0)),0,VLOOKUP($T$499,'TAR FIN'!$A$1:$O$85,15,0))</f>
        <v>482.65</v>
      </c>
      <c r="X499" s="6">
        <f>IF(ISERROR(VLOOKUP($U$499,'TAR FIN'!$A$1:$O$85,15,0)),0,VLOOKUP($U$499,'TAR FIN'!$A$1:$O$85,15,0))</f>
        <v>223.07</v>
      </c>
      <c r="Y499" s="6"/>
      <c r="Z499" s="6">
        <f ca="1">('TUSD BE'!$AM$48+'TUSD BF'!$AM$48+'TUSD CVA'!$AM$48)*1</f>
        <v>679.24595390998343</v>
      </c>
      <c r="AA499" s="6">
        <f>('TE BE'!$AB$38+'TE BF'!$AB$38+'TE CVA'!$AB$38)*1</f>
        <v>77.958364182443049</v>
      </c>
      <c r="AB499" s="6">
        <f>$K$499*$V$499</f>
        <v>0</v>
      </c>
      <c r="AC499" s="6">
        <f>$M$499*$W$499</f>
        <v>15845.399499999998</v>
      </c>
      <c r="AD499" s="6">
        <f>$O$499*$X$499</f>
        <v>7323.3880999999992</v>
      </c>
      <c r="AE499" s="6">
        <f>$K$499*$Y$499</f>
        <v>0</v>
      </c>
      <c r="AF499" s="6">
        <f ca="1">$M$499*$Z$499</f>
        <v>22299.644666864755</v>
      </c>
      <c r="AG499" s="6">
        <f>$O$499*$AA$499</f>
        <v>2559.3730961096053</v>
      </c>
    </row>
    <row r="500" spans="1:33" ht="11.25" customHeight="1" x14ac:dyDescent="0.3">
      <c r="A500" s="4" t="s">
        <v>21</v>
      </c>
      <c r="B500" s="4" t="s">
        <v>37</v>
      </c>
      <c r="C500" s="4" t="s">
        <v>23</v>
      </c>
      <c r="D500" s="4" t="s">
        <v>41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44562</v>
      </c>
      <c r="J500" s="6">
        <v>0</v>
      </c>
      <c r="K500" s="6">
        <v>0</v>
      </c>
      <c r="L500" s="6">
        <v>1291.8989999999999</v>
      </c>
      <c r="M500" s="6">
        <v>1291.8989999999999</v>
      </c>
      <c r="N500" s="6">
        <v>1291.8989999999999</v>
      </c>
      <c r="O500" s="6">
        <v>1291.8989999999999</v>
      </c>
      <c r="P500" s="6">
        <v>1135</v>
      </c>
      <c r="Q500" s="4" t="s">
        <v>26</v>
      </c>
      <c r="R500" s="4">
        <v>0</v>
      </c>
      <c r="S500" s="6">
        <v>0</v>
      </c>
      <c r="T500" s="6">
        <v>36</v>
      </c>
      <c r="U500" s="6">
        <v>81</v>
      </c>
      <c r="V500" s="6">
        <f>IF(ISERROR(VLOOKUP($S$500,'TAR FIN'!$A$1:$O$85,15,0)),0,VLOOKUP($S$500,'TAR FIN'!$A$1:$O$85,15,0))</f>
        <v>0</v>
      </c>
      <c r="W500" s="6">
        <f>IF(ISERROR(VLOOKUP($T$500,'TAR FIN'!$A$1:$O$85,15,0)),0,VLOOKUP($T$500,'TAR FIN'!$A$1:$O$85,15,0))</f>
        <v>482.65</v>
      </c>
      <c r="X500" s="6">
        <f>IF(ISERROR(VLOOKUP($U$500,'TAR FIN'!$A$1:$O$85,15,0)),0,VLOOKUP($U$500,'TAR FIN'!$A$1:$O$85,15,0))</f>
        <v>223.07</v>
      </c>
      <c r="Y500" s="6"/>
      <c r="Z500" s="6">
        <f ca="1">('TUSD BE'!$AM$48+'TUSD BF'!$AM$48+'TUSD CVA'!$AM$48)*1</f>
        <v>679.24595390998343</v>
      </c>
      <c r="AA500" s="6">
        <f>('TE BE'!$AB$38+'TE BF'!$AB$38+'TE CVA'!$AB$38)*1</f>
        <v>77.958364182443049</v>
      </c>
      <c r="AB500" s="6">
        <f>$K$500*$V$500</f>
        <v>0</v>
      </c>
      <c r="AC500" s="6">
        <f>$M$500*$W$500</f>
        <v>623535.0523499999</v>
      </c>
      <c r="AD500" s="6">
        <f>$O$500*$X$500</f>
        <v>288183.90992999997</v>
      </c>
      <c r="AE500" s="6">
        <f>$K$500*$Y$500</f>
        <v>0</v>
      </c>
      <c r="AF500" s="6">
        <f ca="1">$M$500*$Z$500</f>
        <v>877517.1686103536</v>
      </c>
      <c r="AG500" s="6">
        <f>$O$500*$AA$500</f>
        <v>100714.33272893398</v>
      </c>
    </row>
    <row r="501" spans="1:33" ht="11.25" customHeight="1" x14ac:dyDescent="0.3">
      <c r="A501" s="4" t="s">
        <v>27</v>
      </c>
      <c r="B501" s="4" t="s">
        <v>37</v>
      </c>
      <c r="C501" s="4" t="s">
        <v>23</v>
      </c>
      <c r="D501" s="4" t="s">
        <v>41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44562</v>
      </c>
      <c r="J501" s="6">
        <v>0</v>
      </c>
      <c r="K501" s="6">
        <v>0</v>
      </c>
      <c r="L501" s="6">
        <v>-2.7050000000000001</v>
      </c>
      <c r="M501" s="6">
        <v>-2.7050000000000001</v>
      </c>
      <c r="N501" s="6">
        <v>-2.7050000000000001</v>
      </c>
      <c r="O501" s="6">
        <v>-2.7050000000000001</v>
      </c>
      <c r="P501" s="6">
        <v>0</v>
      </c>
      <c r="Q501" s="4" t="s">
        <v>26</v>
      </c>
      <c r="R501" s="4">
        <v>0</v>
      </c>
      <c r="S501" s="6">
        <v>0</v>
      </c>
      <c r="T501" s="6">
        <v>36</v>
      </c>
      <c r="U501" s="6">
        <v>81</v>
      </c>
      <c r="V501" s="6">
        <f>IF(ISERROR(VLOOKUP($S$501,'TAR FIN'!$A$1:$O$85,15,0)),0,VLOOKUP($S$501,'TAR FIN'!$A$1:$O$85,15,0))</f>
        <v>0</v>
      </c>
      <c r="W501" s="6">
        <f>IF(ISERROR(VLOOKUP($T$501,'TAR FIN'!$A$1:$O$85,15,0)),0,VLOOKUP($T$501,'TAR FIN'!$A$1:$O$85,15,0))</f>
        <v>482.65</v>
      </c>
      <c r="X501" s="6">
        <f>IF(ISERROR(VLOOKUP($U$501,'TAR FIN'!$A$1:$O$85,15,0)),0,VLOOKUP($U$501,'TAR FIN'!$A$1:$O$85,15,0))</f>
        <v>223.07</v>
      </c>
      <c r="Y501" s="6"/>
      <c r="Z501" s="6">
        <f ca="1">('TUSD BE'!$AM$48+'TUSD BF'!$AM$48+'TUSD CVA'!$AM$48)*1</f>
        <v>679.24595390998343</v>
      </c>
      <c r="AA501" s="6">
        <f>('TE BE'!$AB$38+'TE BF'!$AB$38+'TE CVA'!$AB$38)*1</f>
        <v>77.958364182443049</v>
      </c>
      <c r="AB501" s="6">
        <f>$K$501*$V$501</f>
        <v>0</v>
      </c>
      <c r="AC501" s="6">
        <f>$M$501*$W$501</f>
        <v>-1305.56825</v>
      </c>
      <c r="AD501" s="6">
        <f>$O$501*$X$501</f>
        <v>-603.40435000000002</v>
      </c>
      <c r="AE501" s="6">
        <f>$K$501*$Y$501</f>
        <v>0</v>
      </c>
      <c r="AF501" s="6">
        <f ca="1">$M$501*$Z$501</f>
        <v>-1837.3603053265051</v>
      </c>
      <c r="AG501" s="6">
        <f>$O$501*$AA$501</f>
        <v>-210.87737511350846</v>
      </c>
    </row>
    <row r="502" spans="1:33" ht="11.25" customHeight="1" x14ac:dyDescent="0.3">
      <c r="A502" s="4" t="s">
        <v>28</v>
      </c>
      <c r="B502" s="4" t="s">
        <v>37</v>
      </c>
      <c r="C502" s="4" t="s">
        <v>23</v>
      </c>
      <c r="D502" s="4" t="s">
        <v>41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44562</v>
      </c>
      <c r="J502" s="6">
        <v>0</v>
      </c>
      <c r="K502" s="6">
        <v>0</v>
      </c>
      <c r="L502" s="6">
        <v>65.289000000000001</v>
      </c>
      <c r="M502" s="6">
        <v>65.289000000000001</v>
      </c>
      <c r="N502" s="6">
        <v>65.289000000000001</v>
      </c>
      <c r="O502" s="6">
        <v>65.289000000000001</v>
      </c>
      <c r="P502" s="6">
        <v>61</v>
      </c>
      <c r="Q502" s="4" t="s">
        <v>26</v>
      </c>
      <c r="R502" s="4">
        <v>0</v>
      </c>
      <c r="S502" s="6">
        <v>0</v>
      </c>
      <c r="T502" s="6">
        <v>36</v>
      </c>
      <c r="U502" s="6">
        <v>81</v>
      </c>
      <c r="V502" s="6">
        <f>IF(ISERROR(VLOOKUP($S$502,'TAR FIN'!$A$1:$O$85,15,0)),0,VLOOKUP($S$502,'TAR FIN'!$A$1:$O$85,15,0))</f>
        <v>0</v>
      </c>
      <c r="W502" s="6">
        <f>IF(ISERROR(VLOOKUP($T$502,'TAR FIN'!$A$1:$O$85,15,0)),0,VLOOKUP($T$502,'TAR FIN'!$A$1:$O$85,15,0))</f>
        <v>482.65</v>
      </c>
      <c r="X502" s="6">
        <f>IF(ISERROR(VLOOKUP($U$502,'TAR FIN'!$A$1:$O$85,15,0)),0,VLOOKUP($U$502,'TAR FIN'!$A$1:$O$85,15,0))</f>
        <v>223.07</v>
      </c>
      <c r="Y502" s="6"/>
      <c r="Z502" s="6">
        <f ca="1">('TUSD BE'!$AM$48+'TUSD BF'!$AM$48+'TUSD CVA'!$AM$48)*1</f>
        <v>679.24595390998343</v>
      </c>
      <c r="AA502" s="6">
        <f>('TE BE'!$AB$38+'TE BF'!$AB$38+'TE CVA'!$AB$38)*1</f>
        <v>77.958364182443049</v>
      </c>
      <c r="AB502" s="6">
        <f>$K$502*$V$502</f>
        <v>0</v>
      </c>
      <c r="AC502" s="6">
        <f>$M$502*$W$502</f>
        <v>31511.735850000001</v>
      </c>
      <c r="AD502" s="6">
        <f>$O$502*$X$502</f>
        <v>14564.017229999999</v>
      </c>
      <c r="AE502" s="6">
        <f>$K$502*$Y$502</f>
        <v>0</v>
      </c>
      <c r="AF502" s="6">
        <f ca="1">$M$502*$Z$502</f>
        <v>44347.28908482891</v>
      </c>
      <c r="AG502" s="6">
        <f>$O$502*$AA$502</f>
        <v>5089.8236391075243</v>
      </c>
    </row>
    <row r="503" spans="1:33" ht="11.25" customHeight="1" x14ac:dyDescent="0.3">
      <c r="A503" s="4" t="s">
        <v>21</v>
      </c>
      <c r="B503" s="4" t="s">
        <v>37</v>
      </c>
      <c r="C503" s="4" t="s">
        <v>23</v>
      </c>
      <c r="D503" s="4" t="s">
        <v>41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44593</v>
      </c>
      <c r="J503" s="6">
        <v>0</v>
      </c>
      <c r="K503" s="6">
        <v>0</v>
      </c>
      <c r="L503" s="6">
        <v>1345.3910000000001</v>
      </c>
      <c r="M503" s="6">
        <v>1345.3910000000001</v>
      </c>
      <c r="N503" s="6">
        <v>1345.3910000000001</v>
      </c>
      <c r="O503" s="6">
        <v>1345.3910000000001</v>
      </c>
      <c r="P503" s="6">
        <v>1141</v>
      </c>
      <c r="Q503" s="4" t="s">
        <v>26</v>
      </c>
      <c r="R503" s="4">
        <v>0</v>
      </c>
      <c r="S503" s="6">
        <v>0</v>
      </c>
      <c r="T503" s="6">
        <v>36</v>
      </c>
      <c r="U503" s="6">
        <v>81</v>
      </c>
      <c r="V503" s="6">
        <f>IF(ISERROR(VLOOKUP($S$503,'TAR FIN'!$A$1:$O$85,15,0)),0,VLOOKUP($S$503,'TAR FIN'!$A$1:$O$85,15,0))</f>
        <v>0</v>
      </c>
      <c r="W503" s="6">
        <f>IF(ISERROR(VLOOKUP($T$503,'TAR FIN'!$A$1:$O$85,15,0)),0,VLOOKUP($T$503,'TAR FIN'!$A$1:$O$85,15,0))</f>
        <v>482.65</v>
      </c>
      <c r="X503" s="6">
        <f>IF(ISERROR(VLOOKUP($U$503,'TAR FIN'!$A$1:$O$85,15,0)),0,VLOOKUP($U$503,'TAR FIN'!$A$1:$O$85,15,0))</f>
        <v>223.07</v>
      </c>
      <c r="Y503" s="6"/>
      <c r="Z503" s="6">
        <f ca="1">('TUSD BE'!$AM$48+'TUSD BF'!$AM$48+'TUSD CVA'!$AM$48)*1</f>
        <v>679.24595390998343</v>
      </c>
      <c r="AA503" s="6">
        <f>('TE BE'!$AB$38+'TE BF'!$AB$38+'TE CVA'!$AB$38)*1</f>
        <v>77.958364182443049</v>
      </c>
      <c r="AB503" s="6">
        <f>$K$503*$V$503</f>
        <v>0</v>
      </c>
      <c r="AC503" s="6">
        <f>$M$503*$W$503</f>
        <v>649352.96614999999</v>
      </c>
      <c r="AD503" s="6">
        <f>$O$503*$X$503</f>
        <v>300116.37037000002</v>
      </c>
      <c r="AE503" s="6">
        <f>$K$503*$Y$503</f>
        <v>0</v>
      </c>
      <c r="AF503" s="6">
        <f ca="1">$M$503*$Z$503</f>
        <v>913851.39317690651</v>
      </c>
      <c r="AG503" s="6">
        <f>$O$503*$AA$503</f>
        <v>104884.48154578124</v>
      </c>
    </row>
    <row r="504" spans="1:33" ht="11.25" customHeight="1" x14ac:dyDescent="0.3">
      <c r="A504" s="4" t="s">
        <v>27</v>
      </c>
      <c r="B504" s="4" t="s">
        <v>37</v>
      </c>
      <c r="C504" s="4" t="s">
        <v>23</v>
      </c>
      <c r="D504" s="4" t="s">
        <v>41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44593</v>
      </c>
      <c r="J504" s="6">
        <v>0</v>
      </c>
      <c r="K504" s="6">
        <v>0</v>
      </c>
      <c r="L504" s="6">
        <v>-2.3180000000000001</v>
      </c>
      <c r="M504" s="6">
        <v>-2.3180000000000001</v>
      </c>
      <c r="N504" s="6">
        <v>-2.3180000000000001</v>
      </c>
      <c r="O504" s="6">
        <v>-2.3180000000000001</v>
      </c>
      <c r="P504" s="6">
        <v>0</v>
      </c>
      <c r="Q504" s="4" t="s">
        <v>26</v>
      </c>
      <c r="R504" s="4">
        <v>0</v>
      </c>
      <c r="S504" s="6">
        <v>0</v>
      </c>
      <c r="T504" s="6">
        <v>36</v>
      </c>
      <c r="U504" s="6">
        <v>81</v>
      </c>
      <c r="V504" s="6">
        <f>IF(ISERROR(VLOOKUP($S$504,'TAR FIN'!$A$1:$O$85,15,0)),0,VLOOKUP($S$504,'TAR FIN'!$A$1:$O$85,15,0))</f>
        <v>0</v>
      </c>
      <c r="W504" s="6">
        <f>IF(ISERROR(VLOOKUP($T$504,'TAR FIN'!$A$1:$O$85,15,0)),0,VLOOKUP($T$504,'TAR FIN'!$A$1:$O$85,15,0))</f>
        <v>482.65</v>
      </c>
      <c r="X504" s="6">
        <f>IF(ISERROR(VLOOKUP($U$504,'TAR FIN'!$A$1:$O$85,15,0)),0,VLOOKUP($U$504,'TAR FIN'!$A$1:$O$85,15,0))</f>
        <v>223.07</v>
      </c>
      <c r="Y504" s="6"/>
      <c r="Z504" s="6">
        <f ca="1">('TUSD BE'!$AM$48+'TUSD BF'!$AM$48+'TUSD CVA'!$AM$48)*1</f>
        <v>679.24595390998343</v>
      </c>
      <c r="AA504" s="6">
        <f>('TE BE'!$AB$38+'TE BF'!$AB$38+'TE CVA'!$AB$38)*1</f>
        <v>77.958364182443049</v>
      </c>
      <c r="AB504" s="6">
        <f>$K$504*$V$504</f>
        <v>0</v>
      </c>
      <c r="AC504" s="6">
        <f>$M$504*$W$504</f>
        <v>-1118.7827</v>
      </c>
      <c r="AD504" s="6">
        <f>$O$504*$X$504</f>
        <v>-517.07626000000005</v>
      </c>
      <c r="AE504" s="6">
        <f>$K$504*$Y$504</f>
        <v>0</v>
      </c>
      <c r="AF504" s="6">
        <f ca="1">$M$504*$Z$504</f>
        <v>-1574.4921211633416</v>
      </c>
      <c r="AG504" s="6">
        <f>$O$504*$AA$504</f>
        <v>-180.70748817490301</v>
      </c>
    </row>
    <row r="505" spans="1:33" ht="11.25" customHeight="1" x14ac:dyDescent="0.3">
      <c r="A505" s="4" t="s">
        <v>21</v>
      </c>
      <c r="B505" s="4" t="s">
        <v>37</v>
      </c>
      <c r="C505" s="4" t="s">
        <v>23</v>
      </c>
      <c r="D505" s="4" t="s">
        <v>41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44621</v>
      </c>
      <c r="J505" s="6">
        <v>0</v>
      </c>
      <c r="K505" s="6">
        <v>0</v>
      </c>
      <c r="L505" s="6">
        <v>1332.6220000000001</v>
      </c>
      <c r="M505" s="6">
        <v>1332.6220000000001</v>
      </c>
      <c r="N505" s="6">
        <v>1332.6220000000001</v>
      </c>
      <c r="O505" s="6">
        <v>1332.6220000000001</v>
      </c>
      <c r="P505" s="6">
        <v>1142</v>
      </c>
      <c r="Q505" s="4" t="s">
        <v>26</v>
      </c>
      <c r="R505" s="4">
        <v>0</v>
      </c>
      <c r="S505" s="6">
        <v>0</v>
      </c>
      <c r="T505" s="6">
        <v>36</v>
      </c>
      <c r="U505" s="6">
        <v>81</v>
      </c>
      <c r="V505" s="6">
        <f>IF(ISERROR(VLOOKUP($S$505,'TAR FIN'!$A$1:$O$85,15,0)),0,VLOOKUP($S$505,'TAR FIN'!$A$1:$O$85,15,0))</f>
        <v>0</v>
      </c>
      <c r="W505" s="6">
        <f>IF(ISERROR(VLOOKUP($T$505,'TAR FIN'!$A$1:$O$85,15,0)),0,VLOOKUP($T$505,'TAR FIN'!$A$1:$O$85,15,0))</f>
        <v>482.65</v>
      </c>
      <c r="X505" s="6">
        <f>IF(ISERROR(VLOOKUP($U$505,'TAR FIN'!$A$1:$O$85,15,0)),0,VLOOKUP($U$505,'TAR FIN'!$A$1:$O$85,15,0))</f>
        <v>223.07</v>
      </c>
      <c r="Y505" s="6"/>
      <c r="Z505" s="6">
        <f ca="1">('TUSD BE'!$AM$48+'TUSD BF'!$AM$48+'TUSD CVA'!$AM$48)*1</f>
        <v>679.24595390998343</v>
      </c>
      <c r="AA505" s="6">
        <f>('TE BE'!$AB$38+'TE BF'!$AB$38+'TE CVA'!$AB$38)*1</f>
        <v>77.958364182443049</v>
      </c>
      <c r="AB505" s="6">
        <f>$K$505*$V$505</f>
        <v>0</v>
      </c>
      <c r="AC505" s="6">
        <f>$M$505*$W$505</f>
        <v>643190.00829999999</v>
      </c>
      <c r="AD505" s="6">
        <f>$O$505*$X$505</f>
        <v>297267.98953999998</v>
      </c>
      <c r="AE505" s="6">
        <f>$K$505*$Y$505</f>
        <v>0</v>
      </c>
      <c r="AF505" s="6">
        <f ca="1">$M$505*$Z$505</f>
        <v>905178.10159143002</v>
      </c>
      <c r="AG505" s="6">
        <f>$O$505*$AA$505</f>
        <v>103889.03119353563</v>
      </c>
    </row>
    <row r="506" spans="1:33" ht="11.25" customHeight="1" x14ac:dyDescent="0.3">
      <c r="A506" s="4" t="s">
        <v>28</v>
      </c>
      <c r="B506" s="4" t="s">
        <v>37</v>
      </c>
      <c r="C506" s="4" t="s">
        <v>23</v>
      </c>
      <c r="D506" s="4" t="s">
        <v>41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44621</v>
      </c>
      <c r="J506" s="6">
        <v>0</v>
      </c>
      <c r="K506" s="6">
        <v>0</v>
      </c>
      <c r="L506" s="6">
        <v>104.91</v>
      </c>
      <c r="M506" s="6">
        <v>104.91</v>
      </c>
      <c r="N506" s="6">
        <v>104.91</v>
      </c>
      <c r="O506" s="6">
        <v>104.91</v>
      </c>
      <c r="P506" s="6">
        <v>71</v>
      </c>
      <c r="Q506" s="4" t="s">
        <v>26</v>
      </c>
      <c r="R506" s="4">
        <v>0</v>
      </c>
      <c r="S506" s="6">
        <v>0</v>
      </c>
      <c r="T506" s="6">
        <v>36</v>
      </c>
      <c r="U506" s="6">
        <v>81</v>
      </c>
      <c r="V506" s="6">
        <f>IF(ISERROR(VLOOKUP($S$506,'TAR FIN'!$A$1:$O$85,15,0)),0,VLOOKUP($S$506,'TAR FIN'!$A$1:$O$85,15,0))</f>
        <v>0</v>
      </c>
      <c r="W506" s="6">
        <f>IF(ISERROR(VLOOKUP($T$506,'TAR FIN'!$A$1:$O$85,15,0)),0,VLOOKUP($T$506,'TAR FIN'!$A$1:$O$85,15,0))</f>
        <v>482.65</v>
      </c>
      <c r="X506" s="6">
        <f>IF(ISERROR(VLOOKUP($U$506,'TAR FIN'!$A$1:$O$85,15,0)),0,VLOOKUP($U$506,'TAR FIN'!$A$1:$O$85,15,0))</f>
        <v>223.07</v>
      </c>
      <c r="Y506" s="6"/>
      <c r="Z506" s="6">
        <f ca="1">('TUSD BE'!$AM$48+'TUSD BF'!$AM$48+'TUSD CVA'!$AM$48)*1</f>
        <v>679.24595390998343</v>
      </c>
      <c r="AA506" s="6">
        <f>('TE BE'!$AB$38+'TE BF'!$AB$38+'TE CVA'!$AB$38)*1</f>
        <v>77.958364182443049</v>
      </c>
      <c r="AB506" s="6">
        <f>$K$506*$V$506</f>
        <v>0</v>
      </c>
      <c r="AC506" s="6">
        <f>$M$506*$W$506</f>
        <v>50634.811499999996</v>
      </c>
      <c r="AD506" s="6">
        <f>$O$506*$X$506</f>
        <v>23402.273699999998</v>
      </c>
      <c r="AE506" s="6">
        <f>$K$506*$Y$506</f>
        <v>0</v>
      </c>
      <c r="AF506" s="6">
        <f ca="1">$M$506*$Z$506</f>
        <v>71259.69302469636</v>
      </c>
      <c r="AG506" s="6">
        <f>$O$506*$AA$506</f>
        <v>8178.6119863800996</v>
      </c>
    </row>
    <row r="507" spans="1:33" ht="11.25" customHeight="1" x14ac:dyDescent="0.3">
      <c r="A507" s="4" t="s">
        <v>21</v>
      </c>
      <c r="B507" s="4" t="s">
        <v>37</v>
      </c>
      <c r="C507" s="4" t="s">
        <v>23</v>
      </c>
      <c r="D507" s="4" t="s">
        <v>41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44652</v>
      </c>
      <c r="J507" s="6">
        <v>0</v>
      </c>
      <c r="K507" s="6">
        <v>0</v>
      </c>
      <c r="L507" s="6">
        <v>1018.1559999999999</v>
      </c>
      <c r="M507" s="6">
        <v>1018.1559999999999</v>
      </c>
      <c r="N507" s="6">
        <v>1018.1559999999999</v>
      </c>
      <c r="O507" s="6">
        <v>1018.1559999999999</v>
      </c>
      <c r="P507" s="6">
        <v>1144</v>
      </c>
      <c r="Q507" s="4" t="s">
        <v>26</v>
      </c>
      <c r="R507" s="4">
        <v>0</v>
      </c>
      <c r="S507" s="6">
        <v>0</v>
      </c>
      <c r="T507" s="6">
        <v>36</v>
      </c>
      <c r="U507" s="6">
        <v>81</v>
      </c>
      <c r="V507" s="6">
        <f>IF(ISERROR(VLOOKUP($S$507,'TAR FIN'!$A$1:$O$85,15,0)),0,VLOOKUP($S$507,'TAR FIN'!$A$1:$O$85,15,0))</f>
        <v>0</v>
      </c>
      <c r="W507" s="6">
        <f>IF(ISERROR(VLOOKUP($T$507,'TAR FIN'!$A$1:$O$85,15,0)),0,VLOOKUP($T$507,'TAR FIN'!$A$1:$O$85,15,0))</f>
        <v>482.65</v>
      </c>
      <c r="X507" s="6">
        <f>IF(ISERROR(VLOOKUP($U$507,'TAR FIN'!$A$1:$O$85,15,0)),0,VLOOKUP($U$507,'TAR FIN'!$A$1:$O$85,15,0))</f>
        <v>223.07</v>
      </c>
      <c r="Y507" s="6"/>
      <c r="Z507" s="6">
        <f ca="1">('TUSD BE'!$AM$48+'TUSD BF'!$AM$48+'TUSD CVA'!$AM$48)*1</f>
        <v>679.24595390998343</v>
      </c>
      <c r="AA507" s="6">
        <f>('TE BE'!$AB$38+'TE BF'!$AB$38+'TE CVA'!$AB$38)*1</f>
        <v>77.958364182443049</v>
      </c>
      <c r="AB507" s="6">
        <f>$K$507*$V$507</f>
        <v>0</v>
      </c>
      <c r="AC507" s="6">
        <f>$M$507*$W$507</f>
        <v>491412.99339999998</v>
      </c>
      <c r="AD507" s="6">
        <f>$O$507*$X$507</f>
        <v>227120.05891999998</v>
      </c>
      <c r="AE507" s="6">
        <f>$K$507*$Y$507</f>
        <v>0</v>
      </c>
      <c r="AF507" s="6">
        <f ca="1">$M$507*$Z$507</f>
        <v>691578.34344917303</v>
      </c>
      <c r="AG507" s="6">
        <f>$O$507*$AA$507</f>
        <v>79373.776242539476</v>
      </c>
    </row>
    <row r="508" spans="1:33" ht="11.25" customHeight="1" x14ac:dyDescent="0.3">
      <c r="A508" s="4" t="s">
        <v>28</v>
      </c>
      <c r="B508" s="4" t="s">
        <v>37</v>
      </c>
      <c r="C508" s="4" t="s">
        <v>23</v>
      </c>
      <c r="D508" s="4" t="s">
        <v>41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44652</v>
      </c>
      <c r="J508" s="6">
        <v>0</v>
      </c>
      <c r="K508" s="6">
        <v>0</v>
      </c>
      <c r="L508" s="6">
        <v>65.734999999999999</v>
      </c>
      <c r="M508" s="6">
        <v>65.734999999999999</v>
      </c>
      <c r="N508" s="6">
        <v>65.734999999999999</v>
      </c>
      <c r="O508" s="6">
        <v>65.734999999999999</v>
      </c>
      <c r="P508" s="6">
        <v>71</v>
      </c>
      <c r="Q508" s="4" t="s">
        <v>26</v>
      </c>
      <c r="R508" s="4">
        <v>0</v>
      </c>
      <c r="S508" s="6">
        <v>0</v>
      </c>
      <c r="T508" s="6">
        <v>36</v>
      </c>
      <c r="U508" s="6">
        <v>81</v>
      </c>
      <c r="V508" s="6">
        <f>IF(ISERROR(VLOOKUP($S$508,'TAR FIN'!$A$1:$O$85,15,0)),0,VLOOKUP($S$508,'TAR FIN'!$A$1:$O$85,15,0))</f>
        <v>0</v>
      </c>
      <c r="W508" s="6">
        <f>IF(ISERROR(VLOOKUP($T$508,'TAR FIN'!$A$1:$O$85,15,0)),0,VLOOKUP($T$508,'TAR FIN'!$A$1:$O$85,15,0))</f>
        <v>482.65</v>
      </c>
      <c r="X508" s="6">
        <f>IF(ISERROR(VLOOKUP($U$508,'TAR FIN'!$A$1:$O$85,15,0)),0,VLOOKUP($U$508,'TAR FIN'!$A$1:$O$85,15,0))</f>
        <v>223.07</v>
      </c>
      <c r="Y508" s="6"/>
      <c r="Z508" s="6">
        <f ca="1">('TUSD BE'!$AM$48+'TUSD BF'!$AM$48+'TUSD CVA'!$AM$48)*1</f>
        <v>679.24595390998343</v>
      </c>
      <c r="AA508" s="6">
        <f>('TE BE'!$AB$38+'TE BF'!$AB$38+'TE CVA'!$AB$38)*1</f>
        <v>77.958364182443049</v>
      </c>
      <c r="AB508" s="6">
        <f>$K$508*$V$508</f>
        <v>0</v>
      </c>
      <c r="AC508" s="6">
        <f>$M$508*$W$508</f>
        <v>31726.997749999999</v>
      </c>
      <c r="AD508" s="6">
        <f>$O$508*$X$508</f>
        <v>14663.506449999999</v>
      </c>
      <c r="AE508" s="6">
        <f>$K$508*$Y$508</f>
        <v>0</v>
      </c>
      <c r="AF508" s="6">
        <f ca="1">$M$508*$Z$508</f>
        <v>44650.23278027276</v>
      </c>
      <c r="AG508" s="6">
        <f>$O$508*$AA$508</f>
        <v>5124.5930695328934</v>
      </c>
    </row>
    <row r="509" spans="1:33" ht="11.25" customHeight="1" x14ac:dyDescent="0.3">
      <c r="A509" s="4" t="s">
        <v>21</v>
      </c>
      <c r="B509" s="4" t="s">
        <v>37</v>
      </c>
      <c r="C509" s="4" t="s">
        <v>23</v>
      </c>
      <c r="D509" s="4" t="s">
        <v>41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44682</v>
      </c>
      <c r="J509" s="6">
        <v>0</v>
      </c>
      <c r="K509" s="6">
        <v>0</v>
      </c>
      <c r="L509" s="6">
        <v>842.15899999999999</v>
      </c>
      <c r="M509" s="6">
        <v>842.15899999999999</v>
      </c>
      <c r="N509" s="6">
        <v>842.15899999999999</v>
      </c>
      <c r="O509" s="6">
        <v>842.15899999999999</v>
      </c>
      <c r="P509" s="6">
        <v>1132</v>
      </c>
      <c r="Q509" s="4" t="s">
        <v>26</v>
      </c>
      <c r="R509" s="4">
        <v>0</v>
      </c>
      <c r="S509" s="6">
        <v>0</v>
      </c>
      <c r="T509" s="6">
        <v>36</v>
      </c>
      <c r="U509" s="6">
        <v>81</v>
      </c>
      <c r="V509" s="6">
        <f>IF(ISERROR(VLOOKUP($S$509,'TAR FIN'!$A$1:$O$85,15,0)),0,VLOOKUP($S$509,'TAR FIN'!$A$1:$O$85,15,0))</f>
        <v>0</v>
      </c>
      <c r="W509" s="6">
        <f>IF(ISERROR(VLOOKUP($T$509,'TAR FIN'!$A$1:$O$85,15,0)),0,VLOOKUP($T$509,'TAR FIN'!$A$1:$O$85,15,0))</f>
        <v>482.65</v>
      </c>
      <c r="X509" s="6">
        <f>IF(ISERROR(VLOOKUP($U$509,'TAR FIN'!$A$1:$O$85,15,0)),0,VLOOKUP($U$509,'TAR FIN'!$A$1:$O$85,15,0))</f>
        <v>223.07</v>
      </c>
      <c r="Y509" s="6"/>
      <c r="Z509" s="6">
        <f ca="1">('TUSD BE'!$AM$48+'TUSD BF'!$AM$48+'TUSD CVA'!$AM$48)*1</f>
        <v>679.24595390998343</v>
      </c>
      <c r="AA509" s="6">
        <f>('TE BE'!$AB$38+'TE BF'!$AB$38+'TE CVA'!$AB$38)*1</f>
        <v>77.958364182443049</v>
      </c>
      <c r="AB509" s="6">
        <f>$K$509*$V$509</f>
        <v>0</v>
      </c>
      <c r="AC509" s="6">
        <f>$M$509*$W$509</f>
        <v>406468.04134999996</v>
      </c>
      <c r="AD509" s="6">
        <f>$O$509*$X$509</f>
        <v>187860.40813</v>
      </c>
      <c r="AE509" s="6">
        <f>$K$509*$Y$509</f>
        <v>0</v>
      </c>
      <c r="AF509" s="6">
        <f ca="1">$M$509*$Z$509</f>
        <v>572033.09329887771</v>
      </c>
      <c r="AG509" s="6">
        <f>$O$509*$AA$509</f>
        <v>65653.338021522053</v>
      </c>
    </row>
    <row r="510" spans="1:33" ht="11.25" customHeight="1" x14ac:dyDescent="0.3">
      <c r="A510" s="4" t="s">
        <v>28</v>
      </c>
      <c r="B510" s="4" t="s">
        <v>37</v>
      </c>
      <c r="C510" s="4" t="s">
        <v>23</v>
      </c>
      <c r="D510" s="4" t="s">
        <v>41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44682</v>
      </c>
      <c r="J510" s="6">
        <v>0</v>
      </c>
      <c r="K510" s="6">
        <v>0</v>
      </c>
      <c r="L510" s="6">
        <v>70.533000000000001</v>
      </c>
      <c r="M510" s="6">
        <v>70.533000000000001</v>
      </c>
      <c r="N510" s="6">
        <v>70.533000000000001</v>
      </c>
      <c r="O510" s="6">
        <v>70.533000000000001</v>
      </c>
      <c r="P510" s="6">
        <v>74</v>
      </c>
      <c r="Q510" s="4" t="s">
        <v>26</v>
      </c>
      <c r="R510" s="4">
        <v>0</v>
      </c>
      <c r="S510" s="6">
        <v>0</v>
      </c>
      <c r="T510" s="6">
        <v>36</v>
      </c>
      <c r="U510" s="6">
        <v>81</v>
      </c>
      <c r="V510" s="6">
        <f>IF(ISERROR(VLOOKUP($S$510,'TAR FIN'!$A$1:$O$85,15,0)),0,VLOOKUP($S$510,'TAR FIN'!$A$1:$O$85,15,0))</f>
        <v>0</v>
      </c>
      <c r="W510" s="6">
        <f>IF(ISERROR(VLOOKUP($T$510,'TAR FIN'!$A$1:$O$85,15,0)),0,VLOOKUP($T$510,'TAR FIN'!$A$1:$O$85,15,0))</f>
        <v>482.65</v>
      </c>
      <c r="X510" s="6">
        <f>IF(ISERROR(VLOOKUP($U$510,'TAR FIN'!$A$1:$O$85,15,0)),0,VLOOKUP($U$510,'TAR FIN'!$A$1:$O$85,15,0))</f>
        <v>223.07</v>
      </c>
      <c r="Y510" s="6"/>
      <c r="Z510" s="6">
        <f ca="1">('TUSD BE'!$AM$48+'TUSD BF'!$AM$48+'TUSD CVA'!$AM$48)*1</f>
        <v>679.24595390998343</v>
      </c>
      <c r="AA510" s="6">
        <f>('TE BE'!$AB$38+'TE BF'!$AB$38+'TE CVA'!$AB$38)*1</f>
        <v>77.958364182443049</v>
      </c>
      <c r="AB510" s="6">
        <f>$K$510*$V$510</f>
        <v>0</v>
      </c>
      <c r="AC510" s="6">
        <f>$M$510*$W$510</f>
        <v>34042.75245</v>
      </c>
      <c r="AD510" s="6">
        <f>$O$510*$X$510</f>
        <v>15733.79631</v>
      </c>
      <c r="AE510" s="6">
        <f>$K$510*$Y$510</f>
        <v>0</v>
      </c>
      <c r="AF510" s="6">
        <f ca="1">$M$510*$Z$510</f>
        <v>47909.254867132862</v>
      </c>
      <c r="AG510" s="6">
        <f>$O$510*$AA$510</f>
        <v>5498.6373008802557</v>
      </c>
    </row>
    <row r="511" spans="1:33" ht="11.25" customHeight="1" x14ac:dyDescent="0.3">
      <c r="A511" s="4" t="s">
        <v>21</v>
      </c>
      <c r="B511" s="4" t="s">
        <v>37</v>
      </c>
      <c r="C511" s="4" t="s">
        <v>23</v>
      </c>
      <c r="D511" s="4" t="s">
        <v>41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44713</v>
      </c>
      <c r="J511" s="6">
        <v>0</v>
      </c>
      <c r="K511" s="6">
        <v>0</v>
      </c>
      <c r="L511" s="6">
        <v>812.50300000000004</v>
      </c>
      <c r="M511" s="6">
        <v>812.50300000000004</v>
      </c>
      <c r="N511" s="6">
        <v>812.50300000000004</v>
      </c>
      <c r="O511" s="6">
        <v>812.50300000000004</v>
      </c>
      <c r="P511" s="6">
        <v>1123</v>
      </c>
      <c r="Q511" s="4" t="s">
        <v>26</v>
      </c>
      <c r="R511" s="4">
        <v>0</v>
      </c>
      <c r="S511" s="6">
        <v>0</v>
      </c>
      <c r="T511" s="6">
        <v>36</v>
      </c>
      <c r="U511" s="6">
        <v>81</v>
      </c>
      <c r="V511" s="6">
        <f>IF(ISERROR(VLOOKUP($S$511,'TAR FIN'!$A$1:$O$85,15,0)),0,VLOOKUP($S$511,'TAR FIN'!$A$1:$O$85,15,0))</f>
        <v>0</v>
      </c>
      <c r="W511" s="6">
        <f>IF(ISERROR(VLOOKUP($T$511,'TAR FIN'!$A$1:$O$85,15,0)),0,VLOOKUP($T$511,'TAR FIN'!$A$1:$O$85,15,0))</f>
        <v>482.65</v>
      </c>
      <c r="X511" s="6">
        <f>IF(ISERROR(VLOOKUP($U$511,'TAR FIN'!$A$1:$O$85,15,0)),0,VLOOKUP($U$511,'TAR FIN'!$A$1:$O$85,15,0))</f>
        <v>223.07</v>
      </c>
      <c r="Y511" s="6"/>
      <c r="Z511" s="6">
        <f ca="1">('TUSD BE'!$AM$48+'TUSD BF'!$AM$48+'TUSD CVA'!$AM$48)*1</f>
        <v>679.24595390998343</v>
      </c>
      <c r="AA511" s="6">
        <f>('TE BE'!$AB$38+'TE BF'!$AB$38+'TE CVA'!$AB$38)*1</f>
        <v>77.958364182443049</v>
      </c>
      <c r="AB511" s="6">
        <f>$K$511*$V$511</f>
        <v>0</v>
      </c>
      <c r="AC511" s="6">
        <f>$M$511*$W$511</f>
        <v>392154.57295</v>
      </c>
      <c r="AD511" s="6">
        <f>$O$511*$X$511</f>
        <v>181245.04420999999</v>
      </c>
      <c r="AE511" s="6">
        <f>$K$511*$Y$511</f>
        <v>0</v>
      </c>
      <c r="AF511" s="6">
        <f ca="1">$M$511*$Z$511</f>
        <v>551889.37528972328</v>
      </c>
      <c r="AG511" s="6">
        <f>$O$511*$AA$511</f>
        <v>63341.404773327529</v>
      </c>
    </row>
    <row r="512" spans="1:33" ht="11.25" customHeight="1" x14ac:dyDescent="0.3">
      <c r="A512" s="4" t="s">
        <v>28</v>
      </c>
      <c r="B512" s="4" t="s">
        <v>37</v>
      </c>
      <c r="C512" s="4" t="s">
        <v>23</v>
      </c>
      <c r="D512" s="4" t="s">
        <v>41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44713</v>
      </c>
      <c r="J512" s="6">
        <v>0</v>
      </c>
      <c r="K512" s="6">
        <v>0</v>
      </c>
      <c r="L512" s="6">
        <v>77.802000000000007</v>
      </c>
      <c r="M512" s="6">
        <v>77.802000000000007</v>
      </c>
      <c r="N512" s="6">
        <v>77.802000000000007</v>
      </c>
      <c r="O512" s="6">
        <v>77.802000000000007</v>
      </c>
      <c r="P512" s="6">
        <v>73</v>
      </c>
      <c r="Q512" s="4" t="s">
        <v>26</v>
      </c>
      <c r="R512" s="4">
        <v>0</v>
      </c>
      <c r="S512" s="6">
        <v>0</v>
      </c>
      <c r="T512" s="6">
        <v>36</v>
      </c>
      <c r="U512" s="6">
        <v>81</v>
      </c>
      <c r="V512" s="6">
        <f>IF(ISERROR(VLOOKUP($S$512,'TAR FIN'!$A$1:$O$85,15,0)),0,VLOOKUP($S$512,'TAR FIN'!$A$1:$O$85,15,0))</f>
        <v>0</v>
      </c>
      <c r="W512" s="6">
        <f>IF(ISERROR(VLOOKUP($T$512,'TAR FIN'!$A$1:$O$85,15,0)),0,VLOOKUP($T$512,'TAR FIN'!$A$1:$O$85,15,0))</f>
        <v>482.65</v>
      </c>
      <c r="X512" s="6">
        <f>IF(ISERROR(VLOOKUP($U$512,'TAR FIN'!$A$1:$O$85,15,0)),0,VLOOKUP($U$512,'TAR FIN'!$A$1:$O$85,15,0))</f>
        <v>223.07</v>
      </c>
      <c r="Y512" s="6"/>
      <c r="Z512" s="6">
        <f ca="1">('TUSD BE'!$AM$48+'TUSD BF'!$AM$48+'TUSD CVA'!$AM$48)*1</f>
        <v>679.24595390998343</v>
      </c>
      <c r="AA512" s="6">
        <f>('TE BE'!$AB$38+'TE BF'!$AB$38+'TE CVA'!$AB$38)*1</f>
        <v>77.958364182443049</v>
      </c>
      <c r="AB512" s="6">
        <f>$K$512*$V$512</f>
        <v>0</v>
      </c>
      <c r="AC512" s="6">
        <f>$M$512*$W$512</f>
        <v>37551.135300000002</v>
      </c>
      <c r="AD512" s="6">
        <f>$O$512*$X$512</f>
        <v>17355.292140000001</v>
      </c>
      <c r="AE512" s="6">
        <f>$K$512*$Y$512</f>
        <v>0</v>
      </c>
      <c r="AF512" s="6">
        <f ca="1">$M$512*$Z$512</f>
        <v>52846.693706104532</v>
      </c>
      <c r="AG512" s="6">
        <f>$O$512*$AA$512</f>
        <v>6065.316650122435</v>
      </c>
    </row>
    <row r="513" spans="1:33" ht="11.25" customHeight="1" x14ac:dyDescent="0.3">
      <c r="A513" s="4" t="s">
        <v>21</v>
      </c>
      <c r="B513" s="4" t="s">
        <v>37</v>
      </c>
      <c r="C513" s="4" t="s">
        <v>23</v>
      </c>
      <c r="D513" s="4" t="s">
        <v>41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44743</v>
      </c>
      <c r="J513" s="6">
        <v>0</v>
      </c>
      <c r="K513" s="6">
        <v>0</v>
      </c>
      <c r="L513" s="6">
        <v>721.87</v>
      </c>
      <c r="M513" s="6">
        <v>721.87</v>
      </c>
      <c r="N513" s="6">
        <v>721.87</v>
      </c>
      <c r="O513" s="6">
        <v>721.87</v>
      </c>
      <c r="P513" s="6">
        <v>1120</v>
      </c>
      <c r="Q513" s="4" t="s">
        <v>26</v>
      </c>
      <c r="R513" s="4">
        <v>0</v>
      </c>
      <c r="S513" s="6">
        <v>0</v>
      </c>
      <c r="T513" s="6">
        <v>36</v>
      </c>
      <c r="U513" s="6">
        <v>81</v>
      </c>
      <c r="V513" s="6">
        <f>IF(ISERROR(VLOOKUP($S$513,'TAR FIN'!$A$1:$O$85,15,0)),0,VLOOKUP($S$513,'TAR FIN'!$A$1:$O$85,15,0))</f>
        <v>0</v>
      </c>
      <c r="W513" s="6">
        <f>IF(ISERROR(VLOOKUP($T$513,'TAR FIN'!$A$1:$O$85,15,0)),0,VLOOKUP($T$513,'TAR FIN'!$A$1:$O$85,15,0))</f>
        <v>482.65</v>
      </c>
      <c r="X513" s="6">
        <f>IF(ISERROR(VLOOKUP($U$513,'TAR FIN'!$A$1:$O$85,15,0)),0,VLOOKUP($U$513,'TAR FIN'!$A$1:$O$85,15,0))</f>
        <v>223.07</v>
      </c>
      <c r="Y513" s="6"/>
      <c r="Z513" s="6">
        <f ca="1">('TUSD BE'!$AM$48+'TUSD BF'!$AM$48+'TUSD CVA'!$AM$48)*1</f>
        <v>679.24595390998343</v>
      </c>
      <c r="AA513" s="6">
        <f>('TE BE'!$AB$38+'TE BF'!$AB$38+'TE CVA'!$AB$38)*1</f>
        <v>77.958364182443049</v>
      </c>
      <c r="AB513" s="6">
        <f>$K$513*$V$513</f>
        <v>0</v>
      </c>
      <c r="AC513" s="6">
        <f>$M$513*$W$513</f>
        <v>348410.55549999996</v>
      </c>
      <c r="AD513" s="6">
        <f>$O$513*$X$513</f>
        <v>161027.54089999999</v>
      </c>
      <c r="AE513" s="6">
        <f>$K$513*$Y$513</f>
        <v>0</v>
      </c>
      <c r="AF513" s="6">
        <f ca="1">$M$513*$Z$513</f>
        <v>490327.27674899972</v>
      </c>
      <c r="AG513" s="6">
        <f>$O$513*$AA$513</f>
        <v>56275.804352380161</v>
      </c>
    </row>
    <row r="514" spans="1:33" ht="11.25" customHeight="1" x14ac:dyDescent="0.3">
      <c r="A514" s="4" t="s">
        <v>28</v>
      </c>
      <c r="B514" s="4" t="s">
        <v>37</v>
      </c>
      <c r="C514" s="4" t="s">
        <v>23</v>
      </c>
      <c r="D514" s="4" t="s">
        <v>41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44743</v>
      </c>
      <c r="J514" s="6">
        <v>0</v>
      </c>
      <c r="K514" s="6">
        <v>0</v>
      </c>
      <c r="L514" s="6">
        <v>83.543000000000006</v>
      </c>
      <c r="M514" s="6">
        <v>83.543000000000006</v>
      </c>
      <c r="N514" s="6">
        <v>83.543000000000006</v>
      </c>
      <c r="O514" s="6">
        <v>83.543000000000006</v>
      </c>
      <c r="P514" s="6">
        <v>79</v>
      </c>
      <c r="Q514" s="4" t="s">
        <v>26</v>
      </c>
      <c r="R514" s="4">
        <v>0</v>
      </c>
      <c r="S514" s="6">
        <v>0</v>
      </c>
      <c r="T514" s="6">
        <v>36</v>
      </c>
      <c r="U514" s="6">
        <v>81</v>
      </c>
      <c r="V514" s="6">
        <f>IF(ISERROR(VLOOKUP($S$514,'TAR FIN'!$A$1:$O$85,15,0)),0,VLOOKUP($S$514,'TAR FIN'!$A$1:$O$85,15,0))</f>
        <v>0</v>
      </c>
      <c r="W514" s="6">
        <f>IF(ISERROR(VLOOKUP($T$514,'TAR FIN'!$A$1:$O$85,15,0)),0,VLOOKUP($T$514,'TAR FIN'!$A$1:$O$85,15,0))</f>
        <v>482.65</v>
      </c>
      <c r="X514" s="6">
        <f>IF(ISERROR(VLOOKUP($U$514,'TAR FIN'!$A$1:$O$85,15,0)),0,VLOOKUP($U$514,'TAR FIN'!$A$1:$O$85,15,0))</f>
        <v>223.07</v>
      </c>
      <c r="Y514" s="6"/>
      <c r="Z514" s="6">
        <f ca="1">('TUSD BE'!$AM$48+'TUSD BF'!$AM$48+'TUSD CVA'!$AM$48)*1</f>
        <v>679.24595390998343</v>
      </c>
      <c r="AA514" s="6">
        <f>('TE BE'!$AB$38+'TE BF'!$AB$38+'TE CVA'!$AB$38)*1</f>
        <v>77.958364182443049</v>
      </c>
      <c r="AB514" s="6">
        <f>$K$514*$V$514</f>
        <v>0</v>
      </c>
      <c r="AC514" s="6">
        <f>$M$514*$W$514</f>
        <v>40322.02895</v>
      </c>
      <c r="AD514" s="6">
        <f>$O$514*$X$514</f>
        <v>18635.937010000001</v>
      </c>
      <c r="AE514" s="6">
        <f>$K$514*$Y$514</f>
        <v>0</v>
      </c>
      <c r="AF514" s="6">
        <f ca="1">$M$514*$Z$514</f>
        <v>56746.244727501748</v>
      </c>
      <c r="AG514" s="6">
        <f>$O$514*$AA$514</f>
        <v>6512.8756188938405</v>
      </c>
    </row>
    <row r="515" spans="1:33" ht="11.25" customHeight="1" x14ac:dyDescent="0.3">
      <c r="A515" s="4" t="s">
        <v>21</v>
      </c>
      <c r="B515" s="4" t="s">
        <v>37</v>
      </c>
      <c r="C515" s="4" t="s">
        <v>23</v>
      </c>
      <c r="D515" s="4" t="s">
        <v>41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44774</v>
      </c>
      <c r="J515" s="6">
        <v>0</v>
      </c>
      <c r="K515" s="6">
        <v>0</v>
      </c>
      <c r="L515" s="6">
        <v>818.005</v>
      </c>
      <c r="M515" s="6">
        <v>818.005</v>
      </c>
      <c r="N515" s="6">
        <v>818.005</v>
      </c>
      <c r="O515" s="6">
        <v>818.005</v>
      </c>
      <c r="P515" s="6">
        <v>1115</v>
      </c>
      <c r="Q515" s="4" t="s">
        <v>26</v>
      </c>
      <c r="R515" s="4">
        <v>0</v>
      </c>
      <c r="S515" s="6">
        <v>0</v>
      </c>
      <c r="T515" s="6">
        <v>36</v>
      </c>
      <c r="U515" s="6">
        <v>81</v>
      </c>
      <c r="V515" s="6">
        <f>IF(ISERROR(VLOOKUP($S$515,'TAR FIN'!$A$1:$O$85,15,0)),0,VLOOKUP($S$515,'TAR FIN'!$A$1:$O$85,15,0))</f>
        <v>0</v>
      </c>
      <c r="W515" s="6">
        <f>IF(ISERROR(VLOOKUP($T$515,'TAR FIN'!$A$1:$O$85,15,0)),0,VLOOKUP($T$515,'TAR FIN'!$A$1:$O$85,15,0))</f>
        <v>482.65</v>
      </c>
      <c r="X515" s="6">
        <f>IF(ISERROR(VLOOKUP($U$515,'TAR FIN'!$A$1:$O$85,15,0)),0,VLOOKUP($U$515,'TAR FIN'!$A$1:$O$85,15,0))</f>
        <v>223.07</v>
      </c>
      <c r="Y515" s="6"/>
      <c r="Z515" s="6">
        <f ca="1">('TUSD BE'!$AM$48+'TUSD BF'!$AM$48+'TUSD CVA'!$AM$48)*1</f>
        <v>679.24595390998343</v>
      </c>
      <c r="AA515" s="6">
        <f>('TE BE'!$AB$38+'TE BF'!$AB$38+'TE CVA'!$AB$38)*1</f>
        <v>77.958364182443049</v>
      </c>
      <c r="AB515" s="6">
        <f>$K$515*$V$515</f>
        <v>0</v>
      </c>
      <c r="AC515" s="6">
        <f>$M$515*$W$515</f>
        <v>394810.11324999999</v>
      </c>
      <c r="AD515" s="6">
        <f>$O$515*$X$515</f>
        <v>182472.37534999999</v>
      </c>
      <c r="AE515" s="6">
        <f>$K$515*$Y$515</f>
        <v>0</v>
      </c>
      <c r="AF515" s="6">
        <f ca="1">$M$515*$Z$515</f>
        <v>555626.58652813605</v>
      </c>
      <c r="AG515" s="6">
        <f>$O$515*$AA$515</f>
        <v>63770.331693059328</v>
      </c>
    </row>
    <row r="516" spans="1:33" ht="11.25" customHeight="1" x14ac:dyDescent="0.3">
      <c r="A516" s="4" t="s">
        <v>28</v>
      </c>
      <c r="B516" s="4" t="s">
        <v>37</v>
      </c>
      <c r="C516" s="4" t="s">
        <v>23</v>
      </c>
      <c r="D516" s="4" t="s">
        <v>41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44774</v>
      </c>
      <c r="J516" s="6">
        <v>0</v>
      </c>
      <c r="K516" s="6">
        <v>0</v>
      </c>
      <c r="L516" s="6">
        <v>75.135000000000005</v>
      </c>
      <c r="M516" s="6">
        <v>75.135000000000005</v>
      </c>
      <c r="N516" s="6">
        <v>75.135000000000005</v>
      </c>
      <c r="O516" s="6">
        <v>75.135000000000005</v>
      </c>
      <c r="P516" s="6">
        <v>92</v>
      </c>
      <c r="Q516" s="4" t="s">
        <v>26</v>
      </c>
      <c r="R516" s="4">
        <v>0</v>
      </c>
      <c r="S516" s="6">
        <v>0</v>
      </c>
      <c r="T516" s="6">
        <v>36</v>
      </c>
      <c r="U516" s="6">
        <v>81</v>
      </c>
      <c r="V516" s="6">
        <f>IF(ISERROR(VLOOKUP($S$516,'TAR FIN'!$A$1:$O$85,15,0)),0,VLOOKUP($S$516,'TAR FIN'!$A$1:$O$85,15,0))</f>
        <v>0</v>
      </c>
      <c r="W516" s="6">
        <f>IF(ISERROR(VLOOKUP($T$516,'TAR FIN'!$A$1:$O$85,15,0)),0,VLOOKUP($T$516,'TAR FIN'!$A$1:$O$85,15,0))</f>
        <v>482.65</v>
      </c>
      <c r="X516" s="6">
        <f>IF(ISERROR(VLOOKUP($U$516,'TAR FIN'!$A$1:$O$85,15,0)),0,VLOOKUP($U$516,'TAR FIN'!$A$1:$O$85,15,0))</f>
        <v>223.07</v>
      </c>
      <c r="Y516" s="6"/>
      <c r="Z516" s="6">
        <f ca="1">('TUSD BE'!$AM$48+'TUSD BF'!$AM$48+'TUSD CVA'!$AM$48)*1</f>
        <v>679.24595390998343</v>
      </c>
      <c r="AA516" s="6">
        <f>('TE BE'!$AB$38+'TE BF'!$AB$38+'TE CVA'!$AB$38)*1</f>
        <v>77.958364182443049</v>
      </c>
      <c r="AB516" s="6">
        <f>$K$516*$V$516</f>
        <v>0</v>
      </c>
      <c r="AC516" s="6">
        <f>$M$516*$W$516</f>
        <v>36263.907749999998</v>
      </c>
      <c r="AD516" s="6">
        <f>$O$516*$X$516</f>
        <v>16760.364450000001</v>
      </c>
      <c r="AE516" s="6">
        <f>$K$516*$Y$516</f>
        <v>0</v>
      </c>
      <c r="AF516" s="6">
        <f ca="1">$M$516*$Z$516</f>
        <v>51035.144747026607</v>
      </c>
      <c r="AG516" s="6">
        <f>$O$516*$AA$516</f>
        <v>5857.4016928478586</v>
      </c>
    </row>
    <row r="517" spans="1:33" ht="11.25" customHeight="1" x14ac:dyDescent="0.3">
      <c r="A517" s="4" t="s">
        <v>21</v>
      </c>
      <c r="B517" s="4" t="s">
        <v>37</v>
      </c>
      <c r="C517" s="4" t="s">
        <v>23</v>
      </c>
      <c r="D517" s="4" t="s">
        <v>50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44440</v>
      </c>
      <c r="J517" s="6">
        <v>0</v>
      </c>
      <c r="K517" s="6">
        <v>0</v>
      </c>
      <c r="L517" s="6">
        <v>3.9039999999999999</v>
      </c>
      <c r="M517" s="6">
        <v>3.9039999999999999</v>
      </c>
      <c r="N517" s="6">
        <v>3.9039999999999999</v>
      </c>
      <c r="O517" s="6">
        <v>3.9039999999999999</v>
      </c>
      <c r="P517" s="6">
        <v>2</v>
      </c>
      <c r="Q517" s="4" t="s">
        <v>26</v>
      </c>
      <c r="R517" s="4">
        <v>0</v>
      </c>
      <c r="S517" s="6">
        <v>0</v>
      </c>
      <c r="T517" s="6">
        <v>36</v>
      </c>
      <c r="U517" s="6">
        <v>81</v>
      </c>
      <c r="V517" s="6">
        <f>IF(ISERROR(VLOOKUP($S$517,'TAR FIN'!$A$1:$O$85,15,0)),0,VLOOKUP($S$517,'TAR FIN'!$A$1:$O$85,15,0))</f>
        <v>0</v>
      </c>
      <c r="W517" s="6">
        <f>IF(ISERROR(VLOOKUP($T$517,'TAR FIN'!$A$1:$O$85,15,0)),0,VLOOKUP($T$517,'TAR FIN'!$A$1:$O$85,15,0))</f>
        <v>482.65</v>
      </c>
      <c r="X517" s="6">
        <f>IF(ISERROR(VLOOKUP($U$517,'TAR FIN'!$A$1:$O$85,15,0)),0,VLOOKUP($U$517,'TAR FIN'!$A$1:$O$85,15,0))</f>
        <v>223.07</v>
      </c>
      <c r="Y517" s="6"/>
      <c r="Z517" s="6">
        <f ca="1">('TUSD BE'!$AM$48+'TUSD BF'!$AM$48+'TUSD CVA'!$AM$48)*1</f>
        <v>679.24595390998343</v>
      </c>
      <c r="AA517" s="6">
        <f>('TE BE'!$AB$38+'TE BF'!$AB$38+'TE CVA'!$AB$38)*1</f>
        <v>77.958364182443049</v>
      </c>
      <c r="AB517" s="6">
        <f>$K$517*$V$517</f>
        <v>0</v>
      </c>
      <c r="AC517" s="6">
        <f>$M$517*$W$517</f>
        <v>1884.2655999999999</v>
      </c>
      <c r="AD517" s="6">
        <f>$O$517*$X$517</f>
        <v>870.86527999999998</v>
      </c>
      <c r="AE517" s="6">
        <f>$K$517*$Y$517</f>
        <v>0</v>
      </c>
      <c r="AF517" s="6">
        <f ca="1">$M$517*$Z$517</f>
        <v>2651.7762040645753</v>
      </c>
      <c r="AG517" s="6">
        <f>$O$517*$AA$517</f>
        <v>304.34945376825766</v>
      </c>
    </row>
    <row r="518" spans="1:33" ht="11.25" customHeight="1" x14ac:dyDescent="0.3">
      <c r="A518" s="4" t="s">
        <v>21</v>
      </c>
      <c r="B518" s="4" t="s">
        <v>37</v>
      </c>
      <c r="C518" s="4" t="s">
        <v>23</v>
      </c>
      <c r="D518" s="4" t="s">
        <v>50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44470</v>
      </c>
      <c r="J518" s="6">
        <v>0</v>
      </c>
      <c r="K518" s="6">
        <v>0</v>
      </c>
      <c r="L518" s="6">
        <v>4.218</v>
      </c>
      <c r="M518" s="6">
        <v>4.218</v>
      </c>
      <c r="N518" s="6">
        <v>4.218</v>
      </c>
      <c r="O518" s="6">
        <v>4.218</v>
      </c>
      <c r="P518" s="6">
        <v>2</v>
      </c>
      <c r="Q518" s="4" t="s">
        <v>26</v>
      </c>
      <c r="R518" s="4">
        <v>0</v>
      </c>
      <c r="S518" s="6">
        <v>0</v>
      </c>
      <c r="T518" s="6">
        <v>36</v>
      </c>
      <c r="U518" s="6">
        <v>81</v>
      </c>
      <c r="V518" s="6">
        <f>IF(ISERROR(VLOOKUP($S$518,'TAR FIN'!$A$1:$O$85,15,0)),0,VLOOKUP($S$518,'TAR FIN'!$A$1:$O$85,15,0))</f>
        <v>0</v>
      </c>
      <c r="W518" s="6">
        <f>IF(ISERROR(VLOOKUP($T$518,'TAR FIN'!$A$1:$O$85,15,0)),0,VLOOKUP($T$518,'TAR FIN'!$A$1:$O$85,15,0))</f>
        <v>482.65</v>
      </c>
      <c r="X518" s="6">
        <f>IF(ISERROR(VLOOKUP($U$518,'TAR FIN'!$A$1:$O$85,15,0)),0,VLOOKUP($U$518,'TAR FIN'!$A$1:$O$85,15,0))</f>
        <v>223.07</v>
      </c>
      <c r="Y518" s="6"/>
      <c r="Z518" s="6">
        <f ca="1">('TUSD BE'!$AM$48+'TUSD BF'!$AM$48+'TUSD CVA'!$AM$48)*1</f>
        <v>679.24595390998343</v>
      </c>
      <c r="AA518" s="6">
        <f>('TE BE'!$AB$38+'TE BF'!$AB$38+'TE CVA'!$AB$38)*1</f>
        <v>77.958364182443049</v>
      </c>
      <c r="AB518" s="6">
        <f>$K$518*$V$518</f>
        <v>0</v>
      </c>
      <c r="AC518" s="6">
        <f>$M$518*$W$518</f>
        <v>2035.8176999999998</v>
      </c>
      <c r="AD518" s="6">
        <f>$O$518*$X$518</f>
        <v>940.90926000000002</v>
      </c>
      <c r="AE518" s="6">
        <f>$K$518*$Y$518</f>
        <v>0</v>
      </c>
      <c r="AF518" s="6">
        <f ca="1">$M$518*$Z$518</f>
        <v>2865.0594335923101</v>
      </c>
      <c r="AG518" s="6">
        <f>$O$518*$AA$518</f>
        <v>328.8283801215448</v>
      </c>
    </row>
    <row r="519" spans="1:33" ht="11.25" customHeight="1" x14ac:dyDescent="0.3">
      <c r="A519" s="4" t="s">
        <v>21</v>
      </c>
      <c r="B519" s="4" t="s">
        <v>37</v>
      </c>
      <c r="C519" s="4" t="s">
        <v>23</v>
      </c>
      <c r="D519" s="4" t="s">
        <v>50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44501</v>
      </c>
      <c r="J519" s="6">
        <v>0</v>
      </c>
      <c r="K519" s="6">
        <v>0</v>
      </c>
      <c r="L519" s="6">
        <v>4.1429999999999998</v>
      </c>
      <c r="M519" s="6">
        <v>4.1429999999999998</v>
      </c>
      <c r="N519" s="6">
        <v>4.1429999999999998</v>
      </c>
      <c r="O519" s="6">
        <v>4.1429999999999998</v>
      </c>
      <c r="P519" s="6">
        <v>3</v>
      </c>
      <c r="Q519" s="4" t="s">
        <v>26</v>
      </c>
      <c r="R519" s="4">
        <v>0</v>
      </c>
      <c r="S519" s="6">
        <v>0</v>
      </c>
      <c r="T519" s="6">
        <v>36</v>
      </c>
      <c r="U519" s="6">
        <v>81</v>
      </c>
      <c r="V519" s="6">
        <f>IF(ISERROR(VLOOKUP($S$519,'TAR FIN'!$A$1:$O$85,15,0)),0,VLOOKUP($S$519,'TAR FIN'!$A$1:$O$85,15,0))</f>
        <v>0</v>
      </c>
      <c r="W519" s="6">
        <f>IF(ISERROR(VLOOKUP($T$519,'TAR FIN'!$A$1:$O$85,15,0)),0,VLOOKUP($T$519,'TAR FIN'!$A$1:$O$85,15,0))</f>
        <v>482.65</v>
      </c>
      <c r="X519" s="6">
        <f>IF(ISERROR(VLOOKUP($U$519,'TAR FIN'!$A$1:$O$85,15,0)),0,VLOOKUP($U$519,'TAR FIN'!$A$1:$O$85,15,0))</f>
        <v>223.07</v>
      </c>
      <c r="Y519" s="6"/>
      <c r="Z519" s="6">
        <f ca="1">('TUSD BE'!$AM$48+'TUSD BF'!$AM$48+'TUSD CVA'!$AM$48)*1</f>
        <v>679.24595390998343</v>
      </c>
      <c r="AA519" s="6">
        <f>('TE BE'!$AB$38+'TE BF'!$AB$38+'TE CVA'!$AB$38)*1</f>
        <v>77.958364182443049</v>
      </c>
      <c r="AB519" s="6">
        <f>$K$519*$V$519</f>
        <v>0</v>
      </c>
      <c r="AC519" s="6">
        <f>$M$519*$W$519</f>
        <v>1999.6189499999998</v>
      </c>
      <c r="AD519" s="6">
        <f>$O$519*$X$519</f>
        <v>924.17900999999995</v>
      </c>
      <c r="AE519" s="6">
        <f>$K$519*$Y$519</f>
        <v>0</v>
      </c>
      <c r="AF519" s="6">
        <f ca="1">$M$519*$Z$519</f>
        <v>2814.115987049061</v>
      </c>
      <c r="AG519" s="6">
        <f>$O$519*$AA$519</f>
        <v>322.98150280786155</v>
      </c>
    </row>
    <row r="520" spans="1:33" ht="11.25" customHeight="1" x14ac:dyDescent="0.3">
      <c r="A520" s="4" t="s">
        <v>21</v>
      </c>
      <c r="B520" s="4" t="s">
        <v>37</v>
      </c>
      <c r="C520" s="4" t="s">
        <v>23</v>
      </c>
      <c r="D520" s="4" t="s">
        <v>50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44531</v>
      </c>
      <c r="J520" s="6">
        <v>0</v>
      </c>
      <c r="K520" s="6">
        <v>0</v>
      </c>
      <c r="L520" s="6">
        <v>5.45</v>
      </c>
      <c r="M520" s="6">
        <v>5.45</v>
      </c>
      <c r="N520" s="6">
        <v>5.45</v>
      </c>
      <c r="O520" s="6">
        <v>5.45</v>
      </c>
      <c r="P520" s="6">
        <v>3</v>
      </c>
      <c r="Q520" s="4" t="s">
        <v>26</v>
      </c>
      <c r="R520" s="4">
        <v>0</v>
      </c>
      <c r="S520" s="6">
        <v>0</v>
      </c>
      <c r="T520" s="6">
        <v>36</v>
      </c>
      <c r="U520" s="6">
        <v>81</v>
      </c>
      <c r="V520" s="6">
        <f>IF(ISERROR(VLOOKUP($S$520,'TAR FIN'!$A$1:$O$85,15,0)),0,VLOOKUP($S$520,'TAR FIN'!$A$1:$O$85,15,0))</f>
        <v>0</v>
      </c>
      <c r="W520" s="6">
        <f>IF(ISERROR(VLOOKUP($T$520,'TAR FIN'!$A$1:$O$85,15,0)),0,VLOOKUP($T$520,'TAR FIN'!$A$1:$O$85,15,0))</f>
        <v>482.65</v>
      </c>
      <c r="X520" s="6">
        <f>IF(ISERROR(VLOOKUP($U$520,'TAR FIN'!$A$1:$O$85,15,0)),0,VLOOKUP($U$520,'TAR FIN'!$A$1:$O$85,15,0))</f>
        <v>223.07</v>
      </c>
      <c r="Y520" s="6"/>
      <c r="Z520" s="6">
        <f ca="1">('TUSD BE'!$AM$48+'TUSD BF'!$AM$48+'TUSD CVA'!$AM$48)*1</f>
        <v>679.24595390998343</v>
      </c>
      <c r="AA520" s="6">
        <f>('TE BE'!$AB$38+'TE BF'!$AB$38+'TE CVA'!$AB$38)*1</f>
        <v>77.958364182443049</v>
      </c>
      <c r="AB520" s="6">
        <f>$K$520*$V$520</f>
        <v>0</v>
      </c>
      <c r="AC520" s="6">
        <f>$M$520*$W$520</f>
        <v>2630.4425000000001</v>
      </c>
      <c r="AD520" s="6">
        <f>$O$520*$X$520</f>
        <v>1215.7315000000001</v>
      </c>
      <c r="AE520" s="6">
        <f>$K$520*$Y$520</f>
        <v>0</v>
      </c>
      <c r="AF520" s="6">
        <f ca="1">$M$520*$Z$520</f>
        <v>3701.8904488094099</v>
      </c>
      <c r="AG520" s="6">
        <f>$O$520*$AA$520</f>
        <v>424.87308479431465</v>
      </c>
    </row>
    <row r="521" spans="1:33" ht="11.25" customHeight="1" x14ac:dyDescent="0.3">
      <c r="A521" s="4" t="s">
        <v>21</v>
      </c>
      <c r="B521" s="4" t="s">
        <v>37</v>
      </c>
      <c r="C521" s="4" t="s">
        <v>23</v>
      </c>
      <c r="D521" s="4" t="s">
        <v>50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44562</v>
      </c>
      <c r="J521" s="6">
        <v>0</v>
      </c>
      <c r="K521" s="6">
        <v>0</v>
      </c>
      <c r="L521" s="6">
        <v>5.9109999999999996</v>
      </c>
      <c r="M521" s="6">
        <v>5.9109999999999996</v>
      </c>
      <c r="N521" s="6">
        <v>5.9109999999999996</v>
      </c>
      <c r="O521" s="6">
        <v>5.9109999999999996</v>
      </c>
      <c r="P521" s="6">
        <v>3</v>
      </c>
      <c r="Q521" s="4" t="s">
        <v>26</v>
      </c>
      <c r="R521" s="4">
        <v>0</v>
      </c>
      <c r="S521" s="6">
        <v>0</v>
      </c>
      <c r="T521" s="6">
        <v>36</v>
      </c>
      <c r="U521" s="6">
        <v>81</v>
      </c>
      <c r="V521" s="6">
        <f>IF(ISERROR(VLOOKUP($S$521,'TAR FIN'!$A$1:$O$85,15,0)),0,VLOOKUP($S$521,'TAR FIN'!$A$1:$O$85,15,0))</f>
        <v>0</v>
      </c>
      <c r="W521" s="6">
        <f>IF(ISERROR(VLOOKUP($T$521,'TAR FIN'!$A$1:$O$85,15,0)),0,VLOOKUP($T$521,'TAR FIN'!$A$1:$O$85,15,0))</f>
        <v>482.65</v>
      </c>
      <c r="X521" s="6">
        <f>IF(ISERROR(VLOOKUP($U$521,'TAR FIN'!$A$1:$O$85,15,0)),0,VLOOKUP($U$521,'TAR FIN'!$A$1:$O$85,15,0))</f>
        <v>223.07</v>
      </c>
      <c r="Y521" s="6"/>
      <c r="Z521" s="6">
        <f ca="1">('TUSD BE'!$AM$48+'TUSD BF'!$AM$48+'TUSD CVA'!$AM$48)*1</f>
        <v>679.24595390998343</v>
      </c>
      <c r="AA521" s="6">
        <f>('TE BE'!$AB$38+'TE BF'!$AB$38+'TE CVA'!$AB$38)*1</f>
        <v>77.958364182443049</v>
      </c>
      <c r="AB521" s="6">
        <f>$K$521*$V$521</f>
        <v>0</v>
      </c>
      <c r="AC521" s="6">
        <f>$M$521*$W$521</f>
        <v>2852.9441499999998</v>
      </c>
      <c r="AD521" s="6">
        <f>$O$521*$X$521</f>
        <v>1318.5667699999999</v>
      </c>
      <c r="AE521" s="6">
        <f>$K$521*$Y$521</f>
        <v>0</v>
      </c>
      <c r="AF521" s="6">
        <f ca="1">$M$521*$Z$521</f>
        <v>4015.0228335619117</v>
      </c>
      <c r="AG521" s="6">
        <f>$O$521*$AA$521</f>
        <v>460.81189068242082</v>
      </c>
    </row>
    <row r="522" spans="1:33" ht="11.25" customHeight="1" x14ac:dyDescent="0.3">
      <c r="A522" s="4" t="s">
        <v>21</v>
      </c>
      <c r="B522" s="4" t="s">
        <v>37</v>
      </c>
      <c r="C522" s="4" t="s">
        <v>23</v>
      </c>
      <c r="D522" s="4" t="s">
        <v>50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44593</v>
      </c>
      <c r="J522" s="6">
        <v>0</v>
      </c>
      <c r="K522" s="6">
        <v>0</v>
      </c>
      <c r="L522" s="6">
        <v>8.8409999999999993</v>
      </c>
      <c r="M522" s="6">
        <v>8.8409999999999993</v>
      </c>
      <c r="N522" s="6">
        <v>8.8409999999999993</v>
      </c>
      <c r="O522" s="6">
        <v>8.8409999999999993</v>
      </c>
      <c r="P522" s="6">
        <v>3</v>
      </c>
      <c r="Q522" s="4" t="s">
        <v>26</v>
      </c>
      <c r="R522" s="4">
        <v>0</v>
      </c>
      <c r="S522" s="6">
        <v>0</v>
      </c>
      <c r="T522" s="6">
        <v>36</v>
      </c>
      <c r="U522" s="6">
        <v>81</v>
      </c>
      <c r="V522" s="6">
        <f>IF(ISERROR(VLOOKUP($S$522,'TAR FIN'!$A$1:$O$85,15,0)),0,VLOOKUP($S$522,'TAR FIN'!$A$1:$O$85,15,0))</f>
        <v>0</v>
      </c>
      <c r="W522" s="6">
        <f>IF(ISERROR(VLOOKUP($T$522,'TAR FIN'!$A$1:$O$85,15,0)),0,VLOOKUP($T$522,'TAR FIN'!$A$1:$O$85,15,0))</f>
        <v>482.65</v>
      </c>
      <c r="X522" s="6">
        <f>IF(ISERROR(VLOOKUP($U$522,'TAR FIN'!$A$1:$O$85,15,0)),0,VLOOKUP($U$522,'TAR FIN'!$A$1:$O$85,15,0))</f>
        <v>223.07</v>
      </c>
      <c r="Y522" s="6"/>
      <c r="Z522" s="6">
        <f ca="1">('TUSD BE'!$AM$48+'TUSD BF'!$AM$48+'TUSD CVA'!$AM$48)*1</f>
        <v>679.24595390998343</v>
      </c>
      <c r="AA522" s="6">
        <f>('TE BE'!$AB$38+'TE BF'!$AB$38+'TE CVA'!$AB$38)*1</f>
        <v>77.958364182443049</v>
      </c>
      <c r="AB522" s="6">
        <f>$K$522*$V$522</f>
        <v>0</v>
      </c>
      <c r="AC522" s="6">
        <f>$M$522*$W$522</f>
        <v>4267.1086499999992</v>
      </c>
      <c r="AD522" s="6">
        <f>$O$522*$X$522</f>
        <v>1972.1618699999997</v>
      </c>
      <c r="AE522" s="6">
        <f>$K$522*$Y$522</f>
        <v>0</v>
      </c>
      <c r="AF522" s="6">
        <f ca="1">$M$522*$Z$522</f>
        <v>6005.2134785181634</v>
      </c>
      <c r="AG522" s="6">
        <f>$O$522*$AA$522</f>
        <v>689.22989773697896</v>
      </c>
    </row>
    <row r="523" spans="1:33" ht="11.25" customHeight="1" x14ac:dyDescent="0.3">
      <c r="A523" s="4" t="s">
        <v>21</v>
      </c>
      <c r="B523" s="4" t="s">
        <v>37</v>
      </c>
      <c r="C523" s="4" t="s">
        <v>23</v>
      </c>
      <c r="D523" s="4" t="s">
        <v>50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44621</v>
      </c>
      <c r="J523" s="6">
        <v>0</v>
      </c>
      <c r="K523" s="6">
        <v>0</v>
      </c>
      <c r="L523" s="6">
        <v>7.1980000000000004</v>
      </c>
      <c r="M523" s="6">
        <v>7.1980000000000004</v>
      </c>
      <c r="N523" s="6">
        <v>7.1980000000000004</v>
      </c>
      <c r="O523" s="6">
        <v>7.1980000000000004</v>
      </c>
      <c r="P523" s="6">
        <v>3</v>
      </c>
      <c r="Q523" s="4" t="s">
        <v>26</v>
      </c>
      <c r="R523" s="4">
        <v>0</v>
      </c>
      <c r="S523" s="6">
        <v>0</v>
      </c>
      <c r="T523" s="6">
        <v>36</v>
      </c>
      <c r="U523" s="6">
        <v>81</v>
      </c>
      <c r="V523" s="6">
        <f>IF(ISERROR(VLOOKUP($S$523,'TAR FIN'!$A$1:$O$85,15,0)),0,VLOOKUP($S$523,'TAR FIN'!$A$1:$O$85,15,0))</f>
        <v>0</v>
      </c>
      <c r="W523" s="6">
        <f>IF(ISERROR(VLOOKUP($T$523,'TAR FIN'!$A$1:$O$85,15,0)),0,VLOOKUP($T$523,'TAR FIN'!$A$1:$O$85,15,0))</f>
        <v>482.65</v>
      </c>
      <c r="X523" s="6">
        <f>IF(ISERROR(VLOOKUP($U$523,'TAR FIN'!$A$1:$O$85,15,0)),0,VLOOKUP($U$523,'TAR FIN'!$A$1:$O$85,15,0))</f>
        <v>223.07</v>
      </c>
      <c r="Y523" s="6"/>
      <c r="Z523" s="6">
        <f ca="1">('TUSD BE'!$AM$48+'TUSD BF'!$AM$48+'TUSD CVA'!$AM$48)*1</f>
        <v>679.24595390998343</v>
      </c>
      <c r="AA523" s="6">
        <f>('TE BE'!$AB$38+'TE BF'!$AB$38+'TE CVA'!$AB$38)*1</f>
        <v>77.958364182443049</v>
      </c>
      <c r="AB523" s="6">
        <f>$K$523*$V$523</f>
        <v>0</v>
      </c>
      <c r="AC523" s="6">
        <f>$M$523*$W$523</f>
        <v>3474.1147000000001</v>
      </c>
      <c r="AD523" s="6">
        <f>$O$523*$X$523</f>
        <v>1605.65786</v>
      </c>
      <c r="AE523" s="6">
        <f>$K$523*$Y$523</f>
        <v>0</v>
      </c>
      <c r="AF523" s="6">
        <f ca="1">$M$523*$Z$523</f>
        <v>4889.2123762440606</v>
      </c>
      <c r="AG523" s="6">
        <f>$O$523*$AA$523</f>
        <v>561.14430538522504</v>
      </c>
    </row>
    <row r="524" spans="1:33" ht="11.25" customHeight="1" x14ac:dyDescent="0.3">
      <c r="A524" s="4" t="s">
        <v>21</v>
      </c>
      <c r="B524" s="4" t="s">
        <v>37</v>
      </c>
      <c r="C524" s="4" t="s">
        <v>23</v>
      </c>
      <c r="D524" s="4" t="s">
        <v>50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44652</v>
      </c>
      <c r="J524" s="6">
        <v>0</v>
      </c>
      <c r="K524" s="6">
        <v>0</v>
      </c>
      <c r="L524" s="6">
        <v>6.2789999999999999</v>
      </c>
      <c r="M524" s="6">
        <v>6.2789999999999999</v>
      </c>
      <c r="N524" s="6">
        <v>6.2789999999999999</v>
      </c>
      <c r="O524" s="6">
        <v>6.2789999999999999</v>
      </c>
      <c r="P524" s="6">
        <v>3</v>
      </c>
      <c r="Q524" s="4" t="s">
        <v>26</v>
      </c>
      <c r="R524" s="4">
        <v>0</v>
      </c>
      <c r="S524" s="6">
        <v>0</v>
      </c>
      <c r="T524" s="6">
        <v>36</v>
      </c>
      <c r="U524" s="6">
        <v>81</v>
      </c>
      <c r="V524" s="6">
        <f>IF(ISERROR(VLOOKUP($S$524,'TAR FIN'!$A$1:$O$85,15,0)),0,VLOOKUP($S$524,'TAR FIN'!$A$1:$O$85,15,0))</f>
        <v>0</v>
      </c>
      <c r="W524" s="6">
        <f>IF(ISERROR(VLOOKUP($T$524,'TAR FIN'!$A$1:$O$85,15,0)),0,VLOOKUP($T$524,'TAR FIN'!$A$1:$O$85,15,0))</f>
        <v>482.65</v>
      </c>
      <c r="X524" s="6">
        <f>IF(ISERROR(VLOOKUP($U$524,'TAR FIN'!$A$1:$O$85,15,0)),0,VLOOKUP($U$524,'TAR FIN'!$A$1:$O$85,15,0))</f>
        <v>223.07</v>
      </c>
      <c r="Y524" s="6"/>
      <c r="Z524" s="6">
        <f ca="1">('TUSD BE'!$AM$48+'TUSD BF'!$AM$48+'TUSD CVA'!$AM$48)*1</f>
        <v>679.24595390998343</v>
      </c>
      <c r="AA524" s="6">
        <f>('TE BE'!$AB$38+'TE BF'!$AB$38+'TE CVA'!$AB$38)*1</f>
        <v>77.958364182443049</v>
      </c>
      <c r="AB524" s="6">
        <f>$K$524*$V$524</f>
        <v>0</v>
      </c>
      <c r="AC524" s="6">
        <f>$M$524*$W$524</f>
        <v>3030.55935</v>
      </c>
      <c r="AD524" s="6">
        <f>$O$524*$X$524</f>
        <v>1400.65653</v>
      </c>
      <c r="AE524" s="6">
        <f>$K$524*$Y$524</f>
        <v>0</v>
      </c>
      <c r="AF524" s="6">
        <f ca="1">$M$524*$Z$524</f>
        <v>4264.9853446007855</v>
      </c>
      <c r="AG524" s="6">
        <f>$O$524*$AA$524</f>
        <v>489.50056870155987</v>
      </c>
    </row>
    <row r="525" spans="1:33" ht="11.25" customHeight="1" x14ac:dyDescent="0.3">
      <c r="A525" s="4" t="s">
        <v>21</v>
      </c>
      <c r="B525" s="4" t="s">
        <v>37</v>
      </c>
      <c r="C525" s="4" t="s">
        <v>23</v>
      </c>
      <c r="D525" s="4" t="s">
        <v>50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44682</v>
      </c>
      <c r="J525" s="6">
        <v>0</v>
      </c>
      <c r="K525" s="6">
        <v>0</v>
      </c>
      <c r="L525" s="6">
        <v>4.51</v>
      </c>
      <c r="M525" s="6">
        <v>4.51</v>
      </c>
      <c r="N525" s="6">
        <v>4.51</v>
      </c>
      <c r="O525" s="6">
        <v>4.51</v>
      </c>
      <c r="P525" s="6">
        <v>3</v>
      </c>
      <c r="Q525" s="4" t="s">
        <v>26</v>
      </c>
      <c r="R525" s="4">
        <v>0</v>
      </c>
      <c r="S525" s="6">
        <v>0</v>
      </c>
      <c r="T525" s="6">
        <v>36</v>
      </c>
      <c r="U525" s="6">
        <v>81</v>
      </c>
      <c r="V525" s="6">
        <f>IF(ISERROR(VLOOKUP($S$525,'TAR FIN'!$A$1:$O$85,15,0)),0,VLOOKUP($S$525,'TAR FIN'!$A$1:$O$85,15,0))</f>
        <v>0</v>
      </c>
      <c r="W525" s="6">
        <f>IF(ISERROR(VLOOKUP($T$525,'TAR FIN'!$A$1:$O$85,15,0)),0,VLOOKUP($T$525,'TAR FIN'!$A$1:$O$85,15,0))</f>
        <v>482.65</v>
      </c>
      <c r="X525" s="6">
        <f>IF(ISERROR(VLOOKUP($U$525,'TAR FIN'!$A$1:$O$85,15,0)),0,VLOOKUP($U$525,'TAR FIN'!$A$1:$O$85,15,0))</f>
        <v>223.07</v>
      </c>
      <c r="Y525" s="6"/>
      <c r="Z525" s="6">
        <f ca="1">('TUSD BE'!$AM$48+'TUSD BF'!$AM$48+'TUSD CVA'!$AM$48)*1</f>
        <v>679.24595390998343</v>
      </c>
      <c r="AA525" s="6">
        <f>('TE BE'!$AB$38+'TE BF'!$AB$38+'TE CVA'!$AB$38)*1</f>
        <v>77.958364182443049</v>
      </c>
      <c r="AB525" s="6">
        <f>$K$525*$V$525</f>
        <v>0</v>
      </c>
      <c r="AC525" s="6">
        <f>$M$525*$W$525</f>
        <v>2176.7514999999999</v>
      </c>
      <c r="AD525" s="6">
        <f>$O$525*$X$525</f>
        <v>1006.0456999999999</v>
      </c>
      <c r="AE525" s="6">
        <f>$K$525*$Y$525</f>
        <v>0</v>
      </c>
      <c r="AF525" s="6">
        <f ca="1">$M$525*$Z$525</f>
        <v>3063.3992521340251</v>
      </c>
      <c r="AG525" s="6">
        <f>$O$525*$AA$525</f>
        <v>351.59222246281814</v>
      </c>
    </row>
    <row r="526" spans="1:33" ht="11.25" customHeight="1" x14ac:dyDescent="0.3">
      <c r="A526" s="4" t="s">
        <v>21</v>
      </c>
      <c r="B526" s="4" t="s">
        <v>37</v>
      </c>
      <c r="C526" s="4" t="s">
        <v>23</v>
      </c>
      <c r="D526" s="4" t="s">
        <v>50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44713</v>
      </c>
      <c r="J526" s="6">
        <v>0</v>
      </c>
      <c r="K526" s="6">
        <v>0</v>
      </c>
      <c r="L526" s="6">
        <v>4.1470000000000002</v>
      </c>
      <c r="M526" s="6">
        <v>4.1470000000000002</v>
      </c>
      <c r="N526" s="6">
        <v>4.1470000000000002</v>
      </c>
      <c r="O526" s="6">
        <v>4.1470000000000002</v>
      </c>
      <c r="P526" s="6">
        <v>3</v>
      </c>
      <c r="Q526" s="4" t="s">
        <v>26</v>
      </c>
      <c r="R526" s="4">
        <v>0</v>
      </c>
      <c r="S526" s="6">
        <v>0</v>
      </c>
      <c r="T526" s="6">
        <v>36</v>
      </c>
      <c r="U526" s="6">
        <v>81</v>
      </c>
      <c r="V526" s="6">
        <f>IF(ISERROR(VLOOKUP($S$526,'TAR FIN'!$A$1:$O$85,15,0)),0,VLOOKUP($S$526,'TAR FIN'!$A$1:$O$85,15,0))</f>
        <v>0</v>
      </c>
      <c r="W526" s="6">
        <f>IF(ISERROR(VLOOKUP($T$526,'TAR FIN'!$A$1:$O$85,15,0)),0,VLOOKUP($T$526,'TAR FIN'!$A$1:$O$85,15,0))</f>
        <v>482.65</v>
      </c>
      <c r="X526" s="6">
        <f>IF(ISERROR(VLOOKUP($U$526,'TAR FIN'!$A$1:$O$85,15,0)),0,VLOOKUP($U$526,'TAR FIN'!$A$1:$O$85,15,0))</f>
        <v>223.07</v>
      </c>
      <c r="Y526" s="6"/>
      <c r="Z526" s="6">
        <f ca="1">('TUSD BE'!$AM$48+'TUSD BF'!$AM$48+'TUSD CVA'!$AM$48)*1</f>
        <v>679.24595390998343</v>
      </c>
      <c r="AA526" s="6">
        <f>('TE BE'!$AB$38+'TE BF'!$AB$38+'TE CVA'!$AB$38)*1</f>
        <v>77.958364182443049</v>
      </c>
      <c r="AB526" s="6">
        <f>$K$526*$V$526</f>
        <v>0</v>
      </c>
      <c r="AC526" s="6">
        <f>$M$526*$W$526</f>
        <v>2001.54955</v>
      </c>
      <c r="AD526" s="6">
        <f>$O$526*$X$526</f>
        <v>925.07128999999998</v>
      </c>
      <c r="AE526" s="6">
        <f>$K$526*$Y$526</f>
        <v>0</v>
      </c>
      <c r="AF526" s="6">
        <f ca="1">$M$526*$Z$526</f>
        <v>2816.8329708647016</v>
      </c>
      <c r="AG526" s="6">
        <f>$O$526*$AA$526</f>
        <v>323.29333626459135</v>
      </c>
    </row>
    <row r="527" spans="1:33" ht="11.25" customHeight="1" x14ac:dyDescent="0.3">
      <c r="A527" s="4" t="s">
        <v>21</v>
      </c>
      <c r="B527" s="4" t="s">
        <v>37</v>
      </c>
      <c r="C527" s="4" t="s">
        <v>23</v>
      </c>
      <c r="D527" s="4" t="s">
        <v>50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44743</v>
      </c>
      <c r="J527" s="6">
        <v>0</v>
      </c>
      <c r="K527" s="6">
        <v>0</v>
      </c>
      <c r="L527" s="6">
        <v>3.5859999999999999</v>
      </c>
      <c r="M527" s="6">
        <v>3.5859999999999999</v>
      </c>
      <c r="N527" s="6">
        <v>3.5859999999999999</v>
      </c>
      <c r="O527" s="6">
        <v>3.5859999999999999</v>
      </c>
      <c r="P527" s="6">
        <v>3</v>
      </c>
      <c r="Q527" s="4" t="s">
        <v>26</v>
      </c>
      <c r="R527" s="4">
        <v>0</v>
      </c>
      <c r="S527" s="6">
        <v>0</v>
      </c>
      <c r="T527" s="6">
        <v>36</v>
      </c>
      <c r="U527" s="6">
        <v>81</v>
      </c>
      <c r="V527" s="6">
        <f>IF(ISERROR(VLOOKUP($S$527,'TAR FIN'!$A$1:$O$85,15,0)),0,VLOOKUP($S$527,'TAR FIN'!$A$1:$O$85,15,0))</f>
        <v>0</v>
      </c>
      <c r="W527" s="6">
        <f>IF(ISERROR(VLOOKUP($T$527,'TAR FIN'!$A$1:$O$85,15,0)),0,VLOOKUP($T$527,'TAR FIN'!$A$1:$O$85,15,0))</f>
        <v>482.65</v>
      </c>
      <c r="X527" s="6">
        <f>IF(ISERROR(VLOOKUP($U$527,'TAR FIN'!$A$1:$O$85,15,0)),0,VLOOKUP($U$527,'TAR FIN'!$A$1:$O$85,15,0))</f>
        <v>223.07</v>
      </c>
      <c r="Y527" s="6"/>
      <c r="Z527" s="6">
        <f ca="1">('TUSD BE'!$AM$48+'TUSD BF'!$AM$48+'TUSD CVA'!$AM$48)*1</f>
        <v>679.24595390998343</v>
      </c>
      <c r="AA527" s="6">
        <f>('TE BE'!$AB$38+'TE BF'!$AB$38+'TE CVA'!$AB$38)*1</f>
        <v>77.958364182443049</v>
      </c>
      <c r="AB527" s="6">
        <f>$K$527*$V$527</f>
        <v>0</v>
      </c>
      <c r="AC527" s="6">
        <f>$M$527*$W$527</f>
        <v>1730.7828999999999</v>
      </c>
      <c r="AD527" s="6">
        <f>$O$527*$X$527</f>
        <v>799.92901999999992</v>
      </c>
      <c r="AE527" s="6">
        <f>$K$527*$Y$527</f>
        <v>0</v>
      </c>
      <c r="AF527" s="6">
        <f ca="1">$M$527*$Z$527</f>
        <v>2435.7759907212003</v>
      </c>
      <c r="AG527" s="6">
        <f>$O$527*$AA$527</f>
        <v>279.55869395824078</v>
      </c>
    </row>
    <row r="528" spans="1:33" ht="11.25" customHeight="1" x14ac:dyDescent="0.3">
      <c r="A528" s="4" t="s">
        <v>21</v>
      </c>
      <c r="B528" s="4" t="s">
        <v>37</v>
      </c>
      <c r="C528" s="4" t="s">
        <v>23</v>
      </c>
      <c r="D528" s="4" t="s">
        <v>50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44774</v>
      </c>
      <c r="J528" s="6">
        <v>0</v>
      </c>
      <c r="K528" s="6">
        <v>0</v>
      </c>
      <c r="L528" s="6">
        <v>4.1639999999999997</v>
      </c>
      <c r="M528" s="6">
        <v>4.1639999999999997</v>
      </c>
      <c r="N528" s="6">
        <v>4.1639999999999997</v>
      </c>
      <c r="O528" s="6">
        <v>4.1639999999999997</v>
      </c>
      <c r="P528" s="6">
        <v>3</v>
      </c>
      <c r="Q528" s="4" t="s">
        <v>26</v>
      </c>
      <c r="R528" s="4">
        <v>0</v>
      </c>
      <c r="S528" s="6">
        <v>0</v>
      </c>
      <c r="T528" s="6">
        <v>36</v>
      </c>
      <c r="U528" s="6">
        <v>81</v>
      </c>
      <c r="V528" s="6">
        <f>IF(ISERROR(VLOOKUP($S$528,'TAR FIN'!$A$1:$O$85,15,0)),0,VLOOKUP($S$528,'TAR FIN'!$A$1:$O$85,15,0))</f>
        <v>0</v>
      </c>
      <c r="W528" s="6">
        <f>IF(ISERROR(VLOOKUP($T$528,'TAR FIN'!$A$1:$O$85,15,0)),0,VLOOKUP($T$528,'TAR FIN'!$A$1:$O$85,15,0))</f>
        <v>482.65</v>
      </c>
      <c r="X528" s="6">
        <f>IF(ISERROR(VLOOKUP($U$528,'TAR FIN'!$A$1:$O$85,15,0)),0,VLOOKUP($U$528,'TAR FIN'!$A$1:$O$85,15,0))</f>
        <v>223.07</v>
      </c>
      <c r="Y528" s="6"/>
      <c r="Z528" s="6">
        <f ca="1">('TUSD BE'!$AM$48+'TUSD BF'!$AM$48+'TUSD CVA'!$AM$48)*1</f>
        <v>679.24595390998343</v>
      </c>
      <c r="AA528" s="6">
        <f>('TE BE'!$AB$38+'TE BF'!$AB$38+'TE CVA'!$AB$38)*1</f>
        <v>77.958364182443049</v>
      </c>
      <c r="AB528" s="6">
        <f>$K$528*$V$528</f>
        <v>0</v>
      </c>
      <c r="AC528" s="6">
        <f>$M$528*$W$528</f>
        <v>2009.7545999999998</v>
      </c>
      <c r="AD528" s="6">
        <f>$O$528*$X$528</f>
        <v>928.86347999999987</v>
      </c>
      <c r="AE528" s="6">
        <f>$K$528*$Y$528</f>
        <v>0</v>
      </c>
      <c r="AF528" s="6">
        <f ca="1">$M$528*$Z$528</f>
        <v>2828.3801520811708</v>
      </c>
      <c r="AG528" s="6">
        <f>$O$528*$AA$528</f>
        <v>324.61862845569283</v>
      </c>
    </row>
    <row r="529" spans="1:33" ht="11.25" customHeight="1" x14ac:dyDescent="0.3">
      <c r="A529" s="4" t="s">
        <v>21</v>
      </c>
      <c r="B529" s="4" t="s">
        <v>37</v>
      </c>
      <c r="C529" s="4" t="s">
        <v>23</v>
      </c>
      <c r="D529" s="4" t="s">
        <v>38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44440</v>
      </c>
      <c r="J529" s="6">
        <v>0</v>
      </c>
      <c r="K529" s="6">
        <v>0</v>
      </c>
      <c r="L529" s="6">
        <v>56.256</v>
      </c>
      <c r="M529" s="6">
        <v>56.256</v>
      </c>
      <c r="N529" s="6">
        <v>56.256</v>
      </c>
      <c r="O529" s="6">
        <v>56.256</v>
      </c>
      <c r="P529" s="6">
        <v>58</v>
      </c>
      <c r="Q529" s="4" t="s">
        <v>26</v>
      </c>
      <c r="R529" s="4">
        <v>0</v>
      </c>
      <c r="S529" s="6">
        <v>0</v>
      </c>
      <c r="T529" s="6">
        <v>36</v>
      </c>
      <c r="U529" s="6">
        <v>81</v>
      </c>
      <c r="V529" s="6">
        <f>IF(ISERROR(VLOOKUP($S$529,'TAR FIN'!$A$1:$O$85,15,0)),0,VLOOKUP($S$529,'TAR FIN'!$A$1:$O$85,15,0))</f>
        <v>0</v>
      </c>
      <c r="W529" s="6">
        <f>IF(ISERROR(VLOOKUP($T$529,'TAR FIN'!$A$1:$O$85,15,0)),0,VLOOKUP($T$529,'TAR FIN'!$A$1:$O$85,15,0))</f>
        <v>482.65</v>
      </c>
      <c r="X529" s="6">
        <f>IF(ISERROR(VLOOKUP($U$529,'TAR FIN'!$A$1:$O$85,15,0)),0,VLOOKUP($U$529,'TAR FIN'!$A$1:$O$85,15,0))</f>
        <v>223.07</v>
      </c>
      <c r="Y529" s="6"/>
      <c r="Z529" s="6">
        <f ca="1">('TUSD BE'!$AM$48+'TUSD BF'!$AM$48+'TUSD CVA'!$AM$48)*1</f>
        <v>679.24595390998343</v>
      </c>
      <c r="AA529" s="6">
        <f>('TE BE'!$AB$38+'TE BF'!$AB$38+'TE CVA'!$AB$38)*1</f>
        <v>77.958364182443049</v>
      </c>
      <c r="AB529" s="6">
        <f>$K$529*$V$529</f>
        <v>0</v>
      </c>
      <c r="AC529" s="6">
        <f>$M$529*$W$529</f>
        <v>27151.9584</v>
      </c>
      <c r="AD529" s="6">
        <f>$O$529*$X$529</f>
        <v>12549.02592</v>
      </c>
      <c r="AE529" s="6">
        <f>$K$529*$Y$529</f>
        <v>0</v>
      </c>
      <c r="AF529" s="6">
        <f ca="1">$M$529*$Z$529</f>
        <v>38211.66038316003</v>
      </c>
      <c r="AG529" s="6">
        <f>$O$529*$AA$529</f>
        <v>4385.6257354475165</v>
      </c>
    </row>
    <row r="530" spans="1:33" ht="11.25" customHeight="1" x14ac:dyDescent="0.3">
      <c r="A530" s="4" t="s">
        <v>28</v>
      </c>
      <c r="B530" s="4" t="s">
        <v>37</v>
      </c>
      <c r="C530" s="4" t="s">
        <v>23</v>
      </c>
      <c r="D530" s="4" t="s">
        <v>38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6">
        <v>0</v>
      </c>
      <c r="L530" s="6">
        <v>6.7409999999999997</v>
      </c>
      <c r="M530" s="6">
        <v>6.7409999999999997</v>
      </c>
      <c r="N530" s="6">
        <v>6.7409999999999997</v>
      </c>
      <c r="O530" s="6">
        <v>6.7409999999999997</v>
      </c>
      <c r="P530" s="6">
        <v>6</v>
      </c>
      <c r="Q530" s="4" t="s">
        <v>26</v>
      </c>
      <c r="R530" s="4">
        <v>0</v>
      </c>
      <c r="S530" s="6">
        <v>0</v>
      </c>
      <c r="T530" s="6">
        <v>36</v>
      </c>
      <c r="U530" s="6">
        <v>81</v>
      </c>
      <c r="V530" s="6">
        <f>IF(ISERROR(VLOOKUP($S$530,'TAR FIN'!$A$1:$O$85,15,0)),0,VLOOKUP($S$530,'TAR FIN'!$A$1:$O$85,15,0))</f>
        <v>0</v>
      </c>
      <c r="W530" s="6">
        <f>IF(ISERROR(VLOOKUP($T$530,'TAR FIN'!$A$1:$O$85,15,0)),0,VLOOKUP($T$530,'TAR FIN'!$A$1:$O$85,15,0))</f>
        <v>482.65</v>
      </c>
      <c r="X530" s="6">
        <f>IF(ISERROR(VLOOKUP($U$530,'TAR FIN'!$A$1:$O$85,15,0)),0,VLOOKUP($U$530,'TAR FIN'!$A$1:$O$85,15,0))</f>
        <v>223.07</v>
      </c>
      <c r="Y530" s="6"/>
      <c r="Z530" s="6">
        <f ca="1">('TUSD BE'!$AM$48+'TUSD BF'!$AM$48+'TUSD CVA'!$AM$48)*1</f>
        <v>679.24595390998343</v>
      </c>
      <c r="AA530" s="6">
        <f>('TE BE'!$AB$38+'TE BF'!$AB$38+'TE CVA'!$AB$38)*1</f>
        <v>77.958364182443049</v>
      </c>
      <c r="AB530" s="6">
        <f>$K$530*$V$530</f>
        <v>0</v>
      </c>
      <c r="AC530" s="6">
        <f>$M$530*$W$530</f>
        <v>3253.5436499999996</v>
      </c>
      <c r="AD530" s="6">
        <f>$O$530*$X$530</f>
        <v>1503.7148699999998</v>
      </c>
      <c r="AE530" s="6">
        <f>$K$530*$Y$530</f>
        <v>0</v>
      </c>
      <c r="AF530" s="6">
        <f ca="1">$M$530*$Z$530</f>
        <v>4578.7969753071984</v>
      </c>
      <c r="AG530" s="6">
        <f>$O$530*$AA$530</f>
        <v>525.51733295384861</v>
      </c>
    </row>
    <row r="531" spans="1:33" ht="11.25" customHeight="1" x14ac:dyDescent="0.3">
      <c r="A531" s="4" t="s">
        <v>21</v>
      </c>
      <c r="B531" s="4" t="s">
        <v>37</v>
      </c>
      <c r="C531" s="4" t="s">
        <v>23</v>
      </c>
      <c r="D531" s="4" t="s">
        <v>38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44470</v>
      </c>
      <c r="J531" s="6">
        <v>0</v>
      </c>
      <c r="K531" s="6">
        <v>0</v>
      </c>
      <c r="L531" s="6">
        <v>53.192</v>
      </c>
      <c r="M531" s="6">
        <v>53.192</v>
      </c>
      <c r="N531" s="6">
        <v>53.192</v>
      </c>
      <c r="O531" s="6">
        <v>53.192</v>
      </c>
      <c r="P531" s="6">
        <v>58</v>
      </c>
      <c r="Q531" s="4" t="s">
        <v>26</v>
      </c>
      <c r="R531" s="4">
        <v>0</v>
      </c>
      <c r="S531" s="6">
        <v>0</v>
      </c>
      <c r="T531" s="6">
        <v>36</v>
      </c>
      <c r="U531" s="6">
        <v>81</v>
      </c>
      <c r="V531" s="6">
        <f>IF(ISERROR(VLOOKUP($S$531,'TAR FIN'!$A$1:$O$85,15,0)),0,VLOOKUP($S$531,'TAR FIN'!$A$1:$O$85,15,0))</f>
        <v>0</v>
      </c>
      <c r="W531" s="6">
        <f>IF(ISERROR(VLOOKUP($T$531,'TAR FIN'!$A$1:$O$85,15,0)),0,VLOOKUP($T$531,'TAR FIN'!$A$1:$O$85,15,0))</f>
        <v>482.65</v>
      </c>
      <c r="X531" s="6">
        <f>IF(ISERROR(VLOOKUP($U$531,'TAR FIN'!$A$1:$O$85,15,0)),0,VLOOKUP($U$531,'TAR FIN'!$A$1:$O$85,15,0))</f>
        <v>223.07</v>
      </c>
      <c r="Y531" s="6"/>
      <c r="Z531" s="6">
        <f ca="1">('TUSD BE'!$AM$48+'TUSD BF'!$AM$48+'TUSD CVA'!$AM$48)*1</f>
        <v>679.24595390998343</v>
      </c>
      <c r="AA531" s="6">
        <f>('TE BE'!$AB$38+'TE BF'!$AB$38+'TE CVA'!$AB$38)*1</f>
        <v>77.958364182443049</v>
      </c>
      <c r="AB531" s="6">
        <f>$K$531*$V$531</f>
        <v>0</v>
      </c>
      <c r="AC531" s="6">
        <f>$M$531*$W$531</f>
        <v>25673.1188</v>
      </c>
      <c r="AD531" s="6">
        <f>$O$531*$X$531</f>
        <v>11865.53944</v>
      </c>
      <c r="AE531" s="6">
        <f>$K$531*$Y$531</f>
        <v>0</v>
      </c>
      <c r="AF531" s="6">
        <f ca="1">$M$531*$Z$531</f>
        <v>36130.450780379841</v>
      </c>
      <c r="AG531" s="6">
        <f>$O$531*$AA$531</f>
        <v>4146.761307592511</v>
      </c>
    </row>
    <row r="532" spans="1:33" ht="11.25" customHeight="1" x14ac:dyDescent="0.3">
      <c r="A532" s="4" t="s">
        <v>28</v>
      </c>
      <c r="B532" s="4" t="s">
        <v>37</v>
      </c>
      <c r="C532" s="4" t="s">
        <v>23</v>
      </c>
      <c r="D532" s="4" t="s">
        <v>38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44470</v>
      </c>
      <c r="J532" s="6">
        <v>0</v>
      </c>
      <c r="K532" s="6">
        <v>0</v>
      </c>
      <c r="L532" s="6">
        <v>13.53</v>
      </c>
      <c r="M532" s="6">
        <v>13.53</v>
      </c>
      <c r="N532" s="6">
        <v>13.53</v>
      </c>
      <c r="O532" s="6">
        <v>13.53</v>
      </c>
      <c r="P532" s="6">
        <v>8</v>
      </c>
      <c r="Q532" s="4" t="s">
        <v>26</v>
      </c>
      <c r="R532" s="4">
        <v>0</v>
      </c>
      <c r="S532" s="6">
        <v>0</v>
      </c>
      <c r="T532" s="6">
        <v>36</v>
      </c>
      <c r="U532" s="6">
        <v>81</v>
      </c>
      <c r="V532" s="6">
        <f>IF(ISERROR(VLOOKUP($S$532,'TAR FIN'!$A$1:$O$85,15,0)),0,VLOOKUP($S$532,'TAR FIN'!$A$1:$O$85,15,0))</f>
        <v>0</v>
      </c>
      <c r="W532" s="6">
        <f>IF(ISERROR(VLOOKUP($T$532,'TAR FIN'!$A$1:$O$85,15,0)),0,VLOOKUP($T$532,'TAR FIN'!$A$1:$O$85,15,0))</f>
        <v>482.65</v>
      </c>
      <c r="X532" s="6">
        <f>IF(ISERROR(VLOOKUP($U$532,'TAR FIN'!$A$1:$O$85,15,0)),0,VLOOKUP($U$532,'TAR FIN'!$A$1:$O$85,15,0))</f>
        <v>223.07</v>
      </c>
      <c r="Y532" s="6"/>
      <c r="Z532" s="6">
        <f ca="1">('TUSD BE'!$AM$48+'TUSD BF'!$AM$48+'TUSD CVA'!$AM$48)*1</f>
        <v>679.24595390998343</v>
      </c>
      <c r="AA532" s="6">
        <f>('TE BE'!$AB$38+'TE BF'!$AB$38+'TE CVA'!$AB$38)*1</f>
        <v>77.958364182443049</v>
      </c>
      <c r="AB532" s="6">
        <f>$K$532*$V$532</f>
        <v>0</v>
      </c>
      <c r="AC532" s="6">
        <f>$M$532*$W$532</f>
        <v>6530.2544999999991</v>
      </c>
      <c r="AD532" s="6">
        <f>$O$532*$X$532</f>
        <v>3018.1370999999999</v>
      </c>
      <c r="AE532" s="6">
        <f>$K$532*$Y$532</f>
        <v>0</v>
      </c>
      <c r="AF532" s="6">
        <f ca="1">$M$532*$Z$532</f>
        <v>9190.1977564020744</v>
      </c>
      <c r="AG532" s="6">
        <f>$O$532*$AA$532</f>
        <v>1054.7766673884544</v>
      </c>
    </row>
    <row r="533" spans="1:33" ht="11.25" customHeight="1" x14ac:dyDescent="0.3">
      <c r="A533" s="4" t="s">
        <v>21</v>
      </c>
      <c r="B533" s="4" t="s">
        <v>37</v>
      </c>
      <c r="C533" s="4" t="s">
        <v>23</v>
      </c>
      <c r="D533" s="4" t="s">
        <v>38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44501</v>
      </c>
      <c r="J533" s="6">
        <v>0</v>
      </c>
      <c r="K533" s="6">
        <v>0</v>
      </c>
      <c r="L533" s="6">
        <v>56.776000000000003</v>
      </c>
      <c r="M533" s="6">
        <v>56.776000000000003</v>
      </c>
      <c r="N533" s="6">
        <v>56.776000000000003</v>
      </c>
      <c r="O533" s="6">
        <v>56.776000000000003</v>
      </c>
      <c r="P533" s="6">
        <v>59</v>
      </c>
      <c r="Q533" s="4" t="s">
        <v>26</v>
      </c>
      <c r="R533" s="4">
        <v>0</v>
      </c>
      <c r="S533" s="6">
        <v>0</v>
      </c>
      <c r="T533" s="6">
        <v>36</v>
      </c>
      <c r="U533" s="6">
        <v>81</v>
      </c>
      <c r="V533" s="6">
        <f>IF(ISERROR(VLOOKUP($S$533,'TAR FIN'!$A$1:$O$85,15,0)),0,VLOOKUP($S$533,'TAR FIN'!$A$1:$O$85,15,0))</f>
        <v>0</v>
      </c>
      <c r="W533" s="6">
        <f>IF(ISERROR(VLOOKUP($T$533,'TAR FIN'!$A$1:$O$85,15,0)),0,VLOOKUP($T$533,'TAR FIN'!$A$1:$O$85,15,0))</f>
        <v>482.65</v>
      </c>
      <c r="X533" s="6">
        <f>IF(ISERROR(VLOOKUP($U$533,'TAR FIN'!$A$1:$O$85,15,0)),0,VLOOKUP($U$533,'TAR FIN'!$A$1:$O$85,15,0))</f>
        <v>223.07</v>
      </c>
      <c r="Y533" s="6"/>
      <c r="Z533" s="6">
        <f ca="1">('TUSD BE'!$AM$48+'TUSD BF'!$AM$48+'TUSD CVA'!$AM$48)*1</f>
        <v>679.24595390998343</v>
      </c>
      <c r="AA533" s="6">
        <f>('TE BE'!$AB$38+'TE BF'!$AB$38+'TE CVA'!$AB$38)*1</f>
        <v>77.958364182443049</v>
      </c>
      <c r="AB533" s="6">
        <f>$K$533*$V$533</f>
        <v>0</v>
      </c>
      <c r="AC533" s="6">
        <f>$M$533*$W$533</f>
        <v>27402.936399999999</v>
      </c>
      <c r="AD533" s="6">
        <f>$O$533*$X$533</f>
        <v>12665.02232</v>
      </c>
      <c r="AE533" s="6">
        <f>$K$533*$Y$533</f>
        <v>0</v>
      </c>
      <c r="AF533" s="6">
        <f ca="1">$M$533*$Z$533</f>
        <v>38564.868279193222</v>
      </c>
      <c r="AG533" s="6">
        <f>$O$533*$AA$533</f>
        <v>4426.1640848223869</v>
      </c>
    </row>
    <row r="534" spans="1:33" ht="11.25" customHeight="1" x14ac:dyDescent="0.3">
      <c r="A534" s="4" t="s">
        <v>28</v>
      </c>
      <c r="B534" s="4" t="s">
        <v>37</v>
      </c>
      <c r="C534" s="4" t="s">
        <v>23</v>
      </c>
      <c r="D534" s="4" t="s">
        <v>38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44501</v>
      </c>
      <c r="J534" s="6">
        <v>0</v>
      </c>
      <c r="K534" s="6">
        <v>0</v>
      </c>
      <c r="L534" s="6">
        <v>7.0469999999999997</v>
      </c>
      <c r="M534" s="6">
        <v>7.0469999999999997</v>
      </c>
      <c r="N534" s="6">
        <v>7.0469999999999997</v>
      </c>
      <c r="O534" s="6">
        <v>7.0469999999999997</v>
      </c>
      <c r="P534" s="6">
        <v>6</v>
      </c>
      <c r="Q534" s="4" t="s">
        <v>26</v>
      </c>
      <c r="R534" s="4">
        <v>0</v>
      </c>
      <c r="S534" s="6">
        <v>0</v>
      </c>
      <c r="T534" s="6">
        <v>36</v>
      </c>
      <c r="U534" s="6">
        <v>81</v>
      </c>
      <c r="V534" s="6">
        <f>IF(ISERROR(VLOOKUP($S$534,'TAR FIN'!$A$1:$O$85,15,0)),0,VLOOKUP($S$534,'TAR FIN'!$A$1:$O$85,15,0))</f>
        <v>0</v>
      </c>
      <c r="W534" s="6">
        <f>IF(ISERROR(VLOOKUP($T$534,'TAR FIN'!$A$1:$O$85,15,0)),0,VLOOKUP($T$534,'TAR FIN'!$A$1:$O$85,15,0))</f>
        <v>482.65</v>
      </c>
      <c r="X534" s="6">
        <f>IF(ISERROR(VLOOKUP($U$534,'TAR FIN'!$A$1:$O$85,15,0)),0,VLOOKUP($U$534,'TAR FIN'!$A$1:$O$85,15,0))</f>
        <v>223.07</v>
      </c>
      <c r="Y534" s="6"/>
      <c r="Z534" s="6">
        <f ca="1">('TUSD BE'!$AM$48+'TUSD BF'!$AM$48+'TUSD CVA'!$AM$48)*1</f>
        <v>679.24595390998343</v>
      </c>
      <c r="AA534" s="6">
        <f>('TE BE'!$AB$38+'TE BF'!$AB$38+'TE CVA'!$AB$38)*1</f>
        <v>77.958364182443049</v>
      </c>
      <c r="AB534" s="6">
        <f>$K$534*$V$534</f>
        <v>0</v>
      </c>
      <c r="AC534" s="6">
        <f>$M$534*$W$534</f>
        <v>3401.2345499999997</v>
      </c>
      <c r="AD534" s="6">
        <f>$O$534*$X$534</f>
        <v>1571.9742899999999</v>
      </c>
      <c r="AE534" s="6">
        <f>$K$534*$Y$534</f>
        <v>0</v>
      </c>
      <c r="AF534" s="6">
        <f ca="1">$M$534*$Z$534</f>
        <v>4786.6462372036531</v>
      </c>
      <c r="AG534" s="6">
        <f>$O$534*$AA$534</f>
        <v>549.37259239367609</v>
      </c>
    </row>
    <row r="535" spans="1:33" ht="11.25" customHeight="1" x14ac:dyDescent="0.3">
      <c r="A535" s="4" t="s">
        <v>21</v>
      </c>
      <c r="B535" s="4" t="s">
        <v>37</v>
      </c>
      <c r="C535" s="4" t="s">
        <v>23</v>
      </c>
      <c r="D535" s="4" t="s">
        <v>38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44531</v>
      </c>
      <c r="J535" s="6">
        <v>0</v>
      </c>
      <c r="K535" s="6">
        <v>0</v>
      </c>
      <c r="L535" s="6">
        <v>54.853999999999999</v>
      </c>
      <c r="M535" s="6">
        <v>54.853999999999999</v>
      </c>
      <c r="N535" s="6">
        <v>54.853999999999999</v>
      </c>
      <c r="O535" s="6">
        <v>54.853999999999999</v>
      </c>
      <c r="P535" s="6">
        <v>59</v>
      </c>
      <c r="Q535" s="4" t="s">
        <v>26</v>
      </c>
      <c r="R535" s="4">
        <v>0</v>
      </c>
      <c r="S535" s="6">
        <v>0</v>
      </c>
      <c r="T535" s="6">
        <v>36</v>
      </c>
      <c r="U535" s="6">
        <v>81</v>
      </c>
      <c r="V535" s="6">
        <f>IF(ISERROR(VLOOKUP($S$535,'TAR FIN'!$A$1:$O$85,15,0)),0,VLOOKUP($S$535,'TAR FIN'!$A$1:$O$85,15,0))</f>
        <v>0</v>
      </c>
      <c r="W535" s="6">
        <f>IF(ISERROR(VLOOKUP($T$535,'TAR FIN'!$A$1:$O$85,15,0)),0,VLOOKUP($T$535,'TAR FIN'!$A$1:$O$85,15,0))</f>
        <v>482.65</v>
      </c>
      <c r="X535" s="6">
        <f>IF(ISERROR(VLOOKUP($U$535,'TAR FIN'!$A$1:$O$85,15,0)),0,VLOOKUP($U$535,'TAR FIN'!$A$1:$O$85,15,0))</f>
        <v>223.07</v>
      </c>
      <c r="Y535" s="6"/>
      <c r="Z535" s="6">
        <f ca="1">('TUSD BE'!$AM$48+'TUSD BF'!$AM$48+'TUSD CVA'!$AM$48)*1</f>
        <v>679.24595390998343</v>
      </c>
      <c r="AA535" s="6">
        <f>('TE BE'!$AB$38+'TE BF'!$AB$38+'TE CVA'!$AB$38)*1</f>
        <v>77.958364182443049</v>
      </c>
      <c r="AB535" s="6">
        <f>$K$535*$V$535</f>
        <v>0</v>
      </c>
      <c r="AC535" s="6">
        <f>$M$535*$W$535</f>
        <v>26475.283099999997</v>
      </c>
      <c r="AD535" s="6">
        <f>$O$535*$X$535</f>
        <v>12236.281779999999</v>
      </c>
      <c r="AE535" s="6">
        <f>$K$535*$Y$535</f>
        <v>0</v>
      </c>
      <c r="AF535" s="6">
        <f ca="1">$M$535*$Z$535</f>
        <v>37259.357555778231</v>
      </c>
      <c r="AG535" s="6">
        <f>$O$535*$AA$535</f>
        <v>4276.3281088637314</v>
      </c>
    </row>
    <row r="536" spans="1:33" ht="11.25" customHeight="1" x14ac:dyDescent="0.3">
      <c r="A536" s="4" t="s">
        <v>28</v>
      </c>
      <c r="B536" s="4" t="s">
        <v>37</v>
      </c>
      <c r="C536" s="4" t="s">
        <v>23</v>
      </c>
      <c r="D536" s="4" t="s">
        <v>38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44531</v>
      </c>
      <c r="J536" s="6">
        <v>0</v>
      </c>
      <c r="K536" s="6">
        <v>0</v>
      </c>
      <c r="L536" s="6">
        <v>8.75</v>
      </c>
      <c r="M536" s="6">
        <v>8.75</v>
      </c>
      <c r="N536" s="6">
        <v>8.75</v>
      </c>
      <c r="O536" s="6">
        <v>8.75</v>
      </c>
      <c r="P536" s="6">
        <v>6</v>
      </c>
      <c r="Q536" s="4" t="s">
        <v>26</v>
      </c>
      <c r="R536" s="4">
        <v>0</v>
      </c>
      <c r="S536" s="6">
        <v>0</v>
      </c>
      <c r="T536" s="6">
        <v>36</v>
      </c>
      <c r="U536" s="6">
        <v>81</v>
      </c>
      <c r="V536" s="6">
        <f>IF(ISERROR(VLOOKUP($S$536,'TAR FIN'!$A$1:$O$85,15,0)),0,VLOOKUP($S$536,'TAR FIN'!$A$1:$O$85,15,0))</f>
        <v>0</v>
      </c>
      <c r="W536" s="6">
        <f>IF(ISERROR(VLOOKUP($T$536,'TAR FIN'!$A$1:$O$85,15,0)),0,VLOOKUP($T$536,'TAR FIN'!$A$1:$O$85,15,0))</f>
        <v>482.65</v>
      </c>
      <c r="X536" s="6">
        <f>IF(ISERROR(VLOOKUP($U$536,'TAR FIN'!$A$1:$O$85,15,0)),0,VLOOKUP($U$536,'TAR FIN'!$A$1:$O$85,15,0))</f>
        <v>223.07</v>
      </c>
      <c r="Y536" s="6"/>
      <c r="Z536" s="6">
        <f ca="1">('TUSD BE'!$AM$48+'TUSD BF'!$AM$48+'TUSD CVA'!$AM$48)*1</f>
        <v>679.24595390998343</v>
      </c>
      <c r="AA536" s="6">
        <f>('TE BE'!$AB$38+'TE BF'!$AB$38+'TE CVA'!$AB$38)*1</f>
        <v>77.958364182443049</v>
      </c>
      <c r="AB536" s="6">
        <f>$K$536*$V$536</f>
        <v>0</v>
      </c>
      <c r="AC536" s="6">
        <f>$M$536*$W$536</f>
        <v>4223.1875</v>
      </c>
      <c r="AD536" s="6">
        <f>$O$536*$X$536</f>
        <v>1951.8625</v>
      </c>
      <c r="AE536" s="6">
        <f>$K$536*$Y$536</f>
        <v>0</v>
      </c>
      <c r="AF536" s="6">
        <f ca="1">$M$536*$Z$536</f>
        <v>5943.4020967123552</v>
      </c>
      <c r="AG536" s="6">
        <f>$O$536*$AA$536</f>
        <v>682.13568659637667</v>
      </c>
    </row>
    <row r="537" spans="1:33" ht="11.25" customHeight="1" x14ac:dyDescent="0.3">
      <c r="A537" s="4" t="s">
        <v>21</v>
      </c>
      <c r="B537" s="4" t="s">
        <v>37</v>
      </c>
      <c r="C537" s="4" t="s">
        <v>23</v>
      </c>
      <c r="D537" s="4" t="s">
        <v>38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44562</v>
      </c>
      <c r="J537" s="6">
        <v>0</v>
      </c>
      <c r="K537" s="6">
        <v>0</v>
      </c>
      <c r="L537" s="6">
        <v>48.258000000000003</v>
      </c>
      <c r="M537" s="6">
        <v>48.258000000000003</v>
      </c>
      <c r="N537" s="6">
        <v>48.258000000000003</v>
      </c>
      <c r="O537" s="6">
        <v>48.258000000000003</v>
      </c>
      <c r="P537" s="6">
        <v>59</v>
      </c>
      <c r="Q537" s="4" t="s">
        <v>26</v>
      </c>
      <c r="R537" s="4">
        <v>0</v>
      </c>
      <c r="S537" s="6">
        <v>0</v>
      </c>
      <c r="T537" s="6">
        <v>36</v>
      </c>
      <c r="U537" s="6">
        <v>81</v>
      </c>
      <c r="V537" s="6">
        <f>IF(ISERROR(VLOOKUP($S$537,'TAR FIN'!$A$1:$O$85,15,0)),0,VLOOKUP($S$537,'TAR FIN'!$A$1:$O$85,15,0))</f>
        <v>0</v>
      </c>
      <c r="W537" s="6">
        <f>IF(ISERROR(VLOOKUP($T$537,'TAR FIN'!$A$1:$O$85,15,0)),0,VLOOKUP($T$537,'TAR FIN'!$A$1:$O$85,15,0))</f>
        <v>482.65</v>
      </c>
      <c r="X537" s="6">
        <f>IF(ISERROR(VLOOKUP($U$537,'TAR FIN'!$A$1:$O$85,15,0)),0,VLOOKUP($U$537,'TAR FIN'!$A$1:$O$85,15,0))</f>
        <v>223.07</v>
      </c>
      <c r="Y537" s="6"/>
      <c r="Z537" s="6">
        <f ca="1">('TUSD BE'!$AM$48+'TUSD BF'!$AM$48+'TUSD CVA'!$AM$48)*1</f>
        <v>679.24595390998343</v>
      </c>
      <c r="AA537" s="6">
        <f>('TE BE'!$AB$38+'TE BF'!$AB$38+'TE CVA'!$AB$38)*1</f>
        <v>77.958364182443049</v>
      </c>
      <c r="AB537" s="6">
        <f>$K$537*$V$537</f>
        <v>0</v>
      </c>
      <c r="AC537" s="6">
        <f>$M$537*$W$537</f>
        <v>23291.723699999999</v>
      </c>
      <c r="AD537" s="6">
        <f>$O$537*$X$537</f>
        <v>10764.912060000001</v>
      </c>
      <c r="AE537" s="6">
        <f>$K$537*$Y$537</f>
        <v>0</v>
      </c>
      <c r="AF537" s="6">
        <f ca="1">$M$537*$Z$537</f>
        <v>32779.051243787981</v>
      </c>
      <c r="AG537" s="6">
        <f>$O$537*$AA$537</f>
        <v>3762.1147387163369</v>
      </c>
    </row>
    <row r="538" spans="1:33" ht="11.25" customHeight="1" x14ac:dyDescent="0.3">
      <c r="A538" s="4" t="s">
        <v>28</v>
      </c>
      <c r="B538" s="4" t="s">
        <v>37</v>
      </c>
      <c r="C538" s="4" t="s">
        <v>23</v>
      </c>
      <c r="D538" s="4" t="s">
        <v>38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44562</v>
      </c>
      <c r="J538" s="6">
        <v>0</v>
      </c>
      <c r="K538" s="6">
        <v>0</v>
      </c>
      <c r="L538" s="6">
        <v>14.702</v>
      </c>
      <c r="M538" s="6">
        <v>14.702</v>
      </c>
      <c r="N538" s="6">
        <v>14.702</v>
      </c>
      <c r="O538" s="6">
        <v>14.702</v>
      </c>
      <c r="P538" s="6">
        <v>6</v>
      </c>
      <c r="Q538" s="4" t="s">
        <v>26</v>
      </c>
      <c r="R538" s="4">
        <v>0</v>
      </c>
      <c r="S538" s="6">
        <v>0</v>
      </c>
      <c r="T538" s="6">
        <v>36</v>
      </c>
      <c r="U538" s="6">
        <v>81</v>
      </c>
      <c r="V538" s="6">
        <f>IF(ISERROR(VLOOKUP($S$538,'TAR FIN'!$A$1:$O$85,15,0)),0,VLOOKUP($S$538,'TAR FIN'!$A$1:$O$85,15,0))</f>
        <v>0</v>
      </c>
      <c r="W538" s="6">
        <f>IF(ISERROR(VLOOKUP($T$538,'TAR FIN'!$A$1:$O$85,15,0)),0,VLOOKUP($T$538,'TAR FIN'!$A$1:$O$85,15,0))</f>
        <v>482.65</v>
      </c>
      <c r="X538" s="6">
        <f>IF(ISERROR(VLOOKUP($U$538,'TAR FIN'!$A$1:$O$85,15,0)),0,VLOOKUP($U$538,'TAR FIN'!$A$1:$O$85,15,0))</f>
        <v>223.07</v>
      </c>
      <c r="Y538" s="6"/>
      <c r="Z538" s="6">
        <f ca="1">('TUSD BE'!$AM$48+'TUSD BF'!$AM$48+'TUSD CVA'!$AM$48)*1</f>
        <v>679.24595390998343</v>
      </c>
      <c r="AA538" s="6">
        <f>('TE BE'!$AB$38+'TE BF'!$AB$38+'TE CVA'!$AB$38)*1</f>
        <v>77.958364182443049</v>
      </c>
      <c r="AB538" s="6">
        <f>$K$538*$V$538</f>
        <v>0</v>
      </c>
      <c r="AC538" s="6">
        <f>$M$538*$W$538</f>
        <v>7095.9202999999998</v>
      </c>
      <c r="AD538" s="6">
        <f>$O$538*$X$538</f>
        <v>3279.5751399999999</v>
      </c>
      <c r="AE538" s="6">
        <f>$K$538*$Y$538</f>
        <v>0</v>
      </c>
      <c r="AF538" s="6">
        <f ca="1">$M$538*$Z$538</f>
        <v>9986.2740143845767</v>
      </c>
      <c r="AG538" s="6">
        <f>$O$538*$AA$538</f>
        <v>1146.1438702102778</v>
      </c>
    </row>
    <row r="539" spans="1:33" ht="11.25" customHeight="1" x14ac:dyDescent="0.3">
      <c r="A539" s="4" t="s">
        <v>21</v>
      </c>
      <c r="B539" s="4" t="s">
        <v>37</v>
      </c>
      <c r="C539" s="4" t="s">
        <v>23</v>
      </c>
      <c r="D539" s="4" t="s">
        <v>38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44593</v>
      </c>
      <c r="J539" s="6">
        <v>0</v>
      </c>
      <c r="K539" s="6">
        <v>0</v>
      </c>
      <c r="L539" s="6">
        <v>59.816000000000003</v>
      </c>
      <c r="M539" s="6">
        <v>59.816000000000003</v>
      </c>
      <c r="N539" s="6">
        <v>59.816000000000003</v>
      </c>
      <c r="O539" s="6">
        <v>59.816000000000003</v>
      </c>
      <c r="P539" s="6">
        <v>60</v>
      </c>
      <c r="Q539" s="4" t="s">
        <v>26</v>
      </c>
      <c r="R539" s="4">
        <v>0</v>
      </c>
      <c r="S539" s="6">
        <v>0</v>
      </c>
      <c r="T539" s="6">
        <v>36</v>
      </c>
      <c r="U539" s="6">
        <v>81</v>
      </c>
      <c r="V539" s="6">
        <f>IF(ISERROR(VLOOKUP($S$539,'TAR FIN'!$A$1:$O$85,15,0)),0,VLOOKUP($S$539,'TAR FIN'!$A$1:$O$85,15,0))</f>
        <v>0</v>
      </c>
      <c r="W539" s="6">
        <f>IF(ISERROR(VLOOKUP($T$539,'TAR FIN'!$A$1:$O$85,15,0)),0,VLOOKUP($T$539,'TAR FIN'!$A$1:$O$85,15,0))</f>
        <v>482.65</v>
      </c>
      <c r="X539" s="6">
        <f>IF(ISERROR(VLOOKUP($U$539,'TAR FIN'!$A$1:$O$85,15,0)),0,VLOOKUP($U$539,'TAR FIN'!$A$1:$O$85,15,0))</f>
        <v>223.07</v>
      </c>
      <c r="Y539" s="6"/>
      <c r="Z539" s="6">
        <f ca="1">('TUSD BE'!$AM$48+'TUSD BF'!$AM$48+'TUSD CVA'!$AM$48)*1</f>
        <v>679.24595390998343</v>
      </c>
      <c r="AA539" s="6">
        <f>('TE BE'!$AB$38+'TE BF'!$AB$38+'TE CVA'!$AB$38)*1</f>
        <v>77.958364182443049</v>
      </c>
      <c r="AB539" s="6">
        <f>$K$539*$V$539</f>
        <v>0</v>
      </c>
      <c r="AC539" s="6">
        <f>$M$539*$W$539</f>
        <v>28870.1924</v>
      </c>
      <c r="AD539" s="6">
        <f>$O$539*$X$539</f>
        <v>13343.155119999999</v>
      </c>
      <c r="AE539" s="6">
        <f>$K$539*$Y$539</f>
        <v>0</v>
      </c>
      <c r="AF539" s="6">
        <f ca="1">$M$539*$Z$539</f>
        <v>40629.775979079568</v>
      </c>
      <c r="AG539" s="6">
        <f>$O$539*$AA$539</f>
        <v>4663.1575119370136</v>
      </c>
    </row>
    <row r="540" spans="1:33" ht="11.25" customHeight="1" x14ac:dyDescent="0.3">
      <c r="A540" s="4" t="s">
        <v>21</v>
      </c>
      <c r="B540" s="4" t="s">
        <v>37</v>
      </c>
      <c r="C540" s="4" t="s">
        <v>23</v>
      </c>
      <c r="D540" s="4" t="s">
        <v>38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44621</v>
      </c>
      <c r="J540" s="6">
        <v>0</v>
      </c>
      <c r="K540" s="6">
        <v>0</v>
      </c>
      <c r="L540" s="6">
        <v>64.680000000000007</v>
      </c>
      <c r="M540" s="6">
        <v>64.680000000000007</v>
      </c>
      <c r="N540" s="6">
        <v>64.680000000000007</v>
      </c>
      <c r="O540" s="6">
        <v>64.680000000000007</v>
      </c>
      <c r="P540" s="6">
        <v>59</v>
      </c>
      <c r="Q540" s="4" t="s">
        <v>26</v>
      </c>
      <c r="R540" s="4">
        <v>0</v>
      </c>
      <c r="S540" s="6">
        <v>0</v>
      </c>
      <c r="T540" s="6">
        <v>36</v>
      </c>
      <c r="U540" s="6">
        <v>81</v>
      </c>
      <c r="V540" s="6">
        <f>IF(ISERROR(VLOOKUP($S$540,'TAR FIN'!$A$1:$O$85,15,0)),0,VLOOKUP($S$540,'TAR FIN'!$A$1:$O$85,15,0))</f>
        <v>0</v>
      </c>
      <c r="W540" s="6">
        <f>IF(ISERROR(VLOOKUP($T$540,'TAR FIN'!$A$1:$O$85,15,0)),0,VLOOKUP($T$540,'TAR FIN'!$A$1:$O$85,15,0))</f>
        <v>482.65</v>
      </c>
      <c r="X540" s="6">
        <f>IF(ISERROR(VLOOKUP($U$540,'TAR FIN'!$A$1:$O$85,15,0)),0,VLOOKUP($U$540,'TAR FIN'!$A$1:$O$85,15,0))</f>
        <v>223.07</v>
      </c>
      <c r="Y540" s="6"/>
      <c r="Z540" s="6">
        <f ca="1">('TUSD BE'!$AM$48+'TUSD BF'!$AM$48+'TUSD CVA'!$AM$48)*1</f>
        <v>679.24595390998343</v>
      </c>
      <c r="AA540" s="6">
        <f>('TE BE'!$AB$38+'TE BF'!$AB$38+'TE CVA'!$AB$38)*1</f>
        <v>77.958364182443049</v>
      </c>
      <c r="AB540" s="6">
        <f>$K$540*$V$540</f>
        <v>0</v>
      </c>
      <c r="AC540" s="6">
        <f>$M$540*$W$540</f>
        <v>31217.802000000003</v>
      </c>
      <c r="AD540" s="6">
        <f>$O$540*$X$540</f>
        <v>14428.167600000001</v>
      </c>
      <c r="AE540" s="6">
        <f>$K$540*$Y$540</f>
        <v>0</v>
      </c>
      <c r="AF540" s="6">
        <f ca="1">$M$540*$Z$540</f>
        <v>43933.628298897733</v>
      </c>
      <c r="AG540" s="6">
        <f>$O$540*$AA$540</f>
        <v>5042.3469953204167</v>
      </c>
    </row>
    <row r="541" spans="1:33" ht="11.25" customHeight="1" x14ac:dyDescent="0.3">
      <c r="A541" s="4" t="s">
        <v>28</v>
      </c>
      <c r="B541" s="4" t="s">
        <v>37</v>
      </c>
      <c r="C541" s="4" t="s">
        <v>23</v>
      </c>
      <c r="D541" s="4" t="s">
        <v>38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44621</v>
      </c>
      <c r="J541" s="6">
        <v>0</v>
      </c>
      <c r="K541" s="6">
        <v>0</v>
      </c>
      <c r="L541" s="6">
        <v>9.8840000000000003</v>
      </c>
      <c r="M541" s="6">
        <v>9.8840000000000003</v>
      </c>
      <c r="N541" s="6">
        <v>9.8840000000000003</v>
      </c>
      <c r="O541" s="6">
        <v>9.8840000000000003</v>
      </c>
      <c r="P541" s="6">
        <v>7</v>
      </c>
      <c r="Q541" s="4" t="s">
        <v>26</v>
      </c>
      <c r="R541" s="4">
        <v>0</v>
      </c>
      <c r="S541" s="6">
        <v>0</v>
      </c>
      <c r="T541" s="6">
        <v>36</v>
      </c>
      <c r="U541" s="6">
        <v>81</v>
      </c>
      <c r="V541" s="6">
        <f>IF(ISERROR(VLOOKUP($S$541,'TAR FIN'!$A$1:$O$85,15,0)),0,VLOOKUP($S$541,'TAR FIN'!$A$1:$O$85,15,0))</f>
        <v>0</v>
      </c>
      <c r="W541" s="6">
        <f>IF(ISERROR(VLOOKUP($T$541,'TAR FIN'!$A$1:$O$85,15,0)),0,VLOOKUP($T$541,'TAR FIN'!$A$1:$O$85,15,0))</f>
        <v>482.65</v>
      </c>
      <c r="X541" s="6">
        <f>IF(ISERROR(VLOOKUP($U$541,'TAR FIN'!$A$1:$O$85,15,0)),0,VLOOKUP($U$541,'TAR FIN'!$A$1:$O$85,15,0))</f>
        <v>223.07</v>
      </c>
      <c r="Y541" s="6"/>
      <c r="Z541" s="6">
        <f ca="1">('TUSD BE'!$AM$48+'TUSD BF'!$AM$48+'TUSD CVA'!$AM$48)*1</f>
        <v>679.24595390998343</v>
      </c>
      <c r="AA541" s="6">
        <f>('TE BE'!$AB$38+'TE BF'!$AB$38+'TE CVA'!$AB$38)*1</f>
        <v>77.958364182443049</v>
      </c>
      <c r="AB541" s="6">
        <f>$K$541*$V$541</f>
        <v>0</v>
      </c>
      <c r="AC541" s="6">
        <f>$M$541*$W$541</f>
        <v>4770.5126</v>
      </c>
      <c r="AD541" s="6">
        <f>$O$541*$X$541</f>
        <v>2204.8238799999999</v>
      </c>
      <c r="AE541" s="6">
        <f>$K$541*$Y$541</f>
        <v>0</v>
      </c>
      <c r="AF541" s="6">
        <f ca="1">$M$541*$Z$541</f>
        <v>6713.6670084462767</v>
      </c>
      <c r="AG541" s="6">
        <f>$O$541*$AA$541</f>
        <v>770.54047157926709</v>
      </c>
    </row>
    <row r="542" spans="1:33" ht="11.25" customHeight="1" x14ac:dyDescent="0.3">
      <c r="A542" s="4" t="s">
        <v>21</v>
      </c>
      <c r="B542" s="4" t="s">
        <v>37</v>
      </c>
      <c r="C542" s="4" t="s">
        <v>23</v>
      </c>
      <c r="D542" s="4" t="s">
        <v>38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44652</v>
      </c>
      <c r="J542" s="6">
        <v>0</v>
      </c>
      <c r="K542" s="6">
        <v>0</v>
      </c>
      <c r="L542" s="6">
        <v>52.581000000000003</v>
      </c>
      <c r="M542" s="6">
        <v>52.581000000000003</v>
      </c>
      <c r="N542" s="6">
        <v>52.581000000000003</v>
      </c>
      <c r="O542" s="6">
        <v>52.581000000000003</v>
      </c>
      <c r="P542" s="6">
        <v>60</v>
      </c>
      <c r="Q542" s="4" t="s">
        <v>26</v>
      </c>
      <c r="R542" s="4">
        <v>0</v>
      </c>
      <c r="S542" s="6">
        <v>0</v>
      </c>
      <c r="T542" s="6">
        <v>36</v>
      </c>
      <c r="U542" s="6">
        <v>81</v>
      </c>
      <c r="V542" s="6">
        <f>IF(ISERROR(VLOOKUP($S$542,'TAR FIN'!$A$1:$O$85,15,0)),0,VLOOKUP($S$542,'TAR FIN'!$A$1:$O$85,15,0))</f>
        <v>0</v>
      </c>
      <c r="W542" s="6">
        <f>IF(ISERROR(VLOOKUP($T$542,'TAR FIN'!$A$1:$O$85,15,0)),0,VLOOKUP($T$542,'TAR FIN'!$A$1:$O$85,15,0))</f>
        <v>482.65</v>
      </c>
      <c r="X542" s="6">
        <f>IF(ISERROR(VLOOKUP($U$542,'TAR FIN'!$A$1:$O$85,15,0)),0,VLOOKUP($U$542,'TAR FIN'!$A$1:$O$85,15,0))</f>
        <v>223.07</v>
      </c>
      <c r="Y542" s="6"/>
      <c r="Z542" s="6">
        <f ca="1">('TUSD BE'!$AM$48+'TUSD BF'!$AM$48+'TUSD CVA'!$AM$48)*1</f>
        <v>679.24595390998343</v>
      </c>
      <c r="AA542" s="6">
        <f>('TE BE'!$AB$38+'TE BF'!$AB$38+'TE CVA'!$AB$38)*1</f>
        <v>77.958364182443049</v>
      </c>
      <c r="AB542" s="6">
        <f>$K$542*$V$542</f>
        <v>0</v>
      </c>
      <c r="AC542" s="6">
        <f>$M$542*$W$542</f>
        <v>25378.219649999999</v>
      </c>
      <c r="AD542" s="6">
        <f>$O$542*$X$542</f>
        <v>11729.24367</v>
      </c>
      <c r="AE542" s="6">
        <f>$K$542*$Y$542</f>
        <v>0</v>
      </c>
      <c r="AF542" s="6">
        <f ca="1">$M$542*$Z$542</f>
        <v>35715.431502540843</v>
      </c>
      <c r="AG542" s="6">
        <f>$O$542*$AA$542</f>
        <v>4099.1287470770385</v>
      </c>
    </row>
    <row r="543" spans="1:33" ht="11.25" customHeight="1" x14ac:dyDescent="0.3">
      <c r="A543" s="4" t="s">
        <v>28</v>
      </c>
      <c r="B543" s="4" t="s">
        <v>37</v>
      </c>
      <c r="C543" s="4" t="s">
        <v>23</v>
      </c>
      <c r="D543" s="4" t="s">
        <v>38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44652</v>
      </c>
      <c r="J543" s="6">
        <v>0</v>
      </c>
      <c r="K543" s="6">
        <v>0</v>
      </c>
      <c r="L543" s="6">
        <v>6.0510000000000002</v>
      </c>
      <c r="M543" s="6">
        <v>6.0510000000000002</v>
      </c>
      <c r="N543" s="6">
        <v>6.0510000000000002</v>
      </c>
      <c r="O543" s="6">
        <v>6.0510000000000002</v>
      </c>
      <c r="P543" s="6">
        <v>7</v>
      </c>
      <c r="Q543" s="4" t="s">
        <v>26</v>
      </c>
      <c r="R543" s="4">
        <v>0</v>
      </c>
      <c r="S543" s="6">
        <v>0</v>
      </c>
      <c r="T543" s="6">
        <v>36</v>
      </c>
      <c r="U543" s="6">
        <v>81</v>
      </c>
      <c r="V543" s="6">
        <f>IF(ISERROR(VLOOKUP($S$543,'TAR FIN'!$A$1:$O$85,15,0)),0,VLOOKUP($S$543,'TAR FIN'!$A$1:$O$85,15,0))</f>
        <v>0</v>
      </c>
      <c r="W543" s="6">
        <f>IF(ISERROR(VLOOKUP($T$543,'TAR FIN'!$A$1:$O$85,15,0)),0,VLOOKUP($T$543,'TAR FIN'!$A$1:$O$85,15,0))</f>
        <v>482.65</v>
      </c>
      <c r="X543" s="6">
        <f>IF(ISERROR(VLOOKUP($U$543,'TAR FIN'!$A$1:$O$85,15,0)),0,VLOOKUP($U$543,'TAR FIN'!$A$1:$O$85,15,0))</f>
        <v>223.07</v>
      </c>
      <c r="Y543" s="6"/>
      <c r="Z543" s="6">
        <f ca="1">('TUSD BE'!$AM$48+'TUSD BF'!$AM$48+'TUSD CVA'!$AM$48)*1</f>
        <v>679.24595390998343</v>
      </c>
      <c r="AA543" s="6">
        <f>('TE BE'!$AB$38+'TE BF'!$AB$38+'TE CVA'!$AB$38)*1</f>
        <v>77.958364182443049</v>
      </c>
      <c r="AB543" s="6">
        <f>$K$543*$V$543</f>
        <v>0</v>
      </c>
      <c r="AC543" s="6">
        <f>$M$543*$W$543</f>
        <v>2920.5151499999997</v>
      </c>
      <c r="AD543" s="6">
        <f>$O$543*$X$543</f>
        <v>1349.79657</v>
      </c>
      <c r="AE543" s="6">
        <f>$K$543*$Y$543</f>
        <v>0</v>
      </c>
      <c r="AF543" s="6">
        <f ca="1">$M$543*$Z$543</f>
        <v>4110.11726710931</v>
      </c>
      <c r="AG543" s="6">
        <f>$O$543*$AA$543</f>
        <v>471.72606166796288</v>
      </c>
    </row>
    <row r="544" spans="1:33" ht="11.25" customHeight="1" x14ac:dyDescent="0.3">
      <c r="A544" s="4" t="s">
        <v>21</v>
      </c>
      <c r="B544" s="4" t="s">
        <v>37</v>
      </c>
      <c r="C544" s="4" t="s">
        <v>23</v>
      </c>
      <c r="D544" s="4" t="s">
        <v>38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44682</v>
      </c>
      <c r="J544" s="6">
        <v>0</v>
      </c>
      <c r="K544" s="6">
        <v>0</v>
      </c>
      <c r="L544" s="6">
        <v>50.198999999999998</v>
      </c>
      <c r="M544" s="6">
        <v>50.198999999999998</v>
      </c>
      <c r="N544" s="6">
        <v>50.198999999999998</v>
      </c>
      <c r="O544" s="6">
        <v>50.198999999999998</v>
      </c>
      <c r="P544" s="6">
        <v>60</v>
      </c>
      <c r="Q544" s="4" t="s">
        <v>26</v>
      </c>
      <c r="R544" s="4">
        <v>0</v>
      </c>
      <c r="S544" s="6">
        <v>0</v>
      </c>
      <c r="T544" s="6">
        <v>36</v>
      </c>
      <c r="U544" s="6">
        <v>81</v>
      </c>
      <c r="V544" s="6">
        <f>IF(ISERROR(VLOOKUP($S$544,'TAR FIN'!$A$1:$O$85,15,0)),0,VLOOKUP($S$544,'TAR FIN'!$A$1:$O$85,15,0))</f>
        <v>0</v>
      </c>
      <c r="W544" s="6">
        <f>IF(ISERROR(VLOOKUP($T$544,'TAR FIN'!$A$1:$O$85,15,0)),0,VLOOKUP($T$544,'TAR FIN'!$A$1:$O$85,15,0))</f>
        <v>482.65</v>
      </c>
      <c r="X544" s="6">
        <f>IF(ISERROR(VLOOKUP($U$544,'TAR FIN'!$A$1:$O$85,15,0)),0,VLOOKUP($U$544,'TAR FIN'!$A$1:$O$85,15,0))</f>
        <v>223.07</v>
      </c>
      <c r="Y544" s="6"/>
      <c r="Z544" s="6">
        <f ca="1">('TUSD BE'!$AM$48+'TUSD BF'!$AM$48+'TUSD CVA'!$AM$48)*1</f>
        <v>679.24595390998343</v>
      </c>
      <c r="AA544" s="6">
        <f>('TE BE'!$AB$38+'TE BF'!$AB$38+'TE CVA'!$AB$38)*1</f>
        <v>77.958364182443049</v>
      </c>
      <c r="AB544" s="6">
        <f>$K$544*$V$544</f>
        <v>0</v>
      </c>
      <c r="AC544" s="6">
        <f>$M$544*$W$544</f>
        <v>24228.547349999997</v>
      </c>
      <c r="AD544" s="6">
        <f>$O$544*$X$544</f>
        <v>11197.89093</v>
      </c>
      <c r="AE544" s="6">
        <f>$K$544*$Y$544</f>
        <v>0</v>
      </c>
      <c r="AF544" s="6">
        <f ca="1">$M$544*$Z$544</f>
        <v>34097.467640327253</v>
      </c>
      <c r="AG544" s="6">
        <f>$O$544*$AA$544</f>
        <v>3913.4319235944586</v>
      </c>
    </row>
    <row r="545" spans="1:33" ht="11.25" customHeight="1" x14ac:dyDescent="0.3">
      <c r="A545" s="4" t="s">
        <v>28</v>
      </c>
      <c r="B545" s="4" t="s">
        <v>37</v>
      </c>
      <c r="C545" s="4" t="s">
        <v>23</v>
      </c>
      <c r="D545" s="4" t="s">
        <v>38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44682</v>
      </c>
      <c r="J545" s="6">
        <v>0</v>
      </c>
      <c r="K545" s="6">
        <v>0</v>
      </c>
      <c r="L545" s="6">
        <v>2.77</v>
      </c>
      <c r="M545" s="6">
        <v>2.77</v>
      </c>
      <c r="N545" s="6">
        <v>2.77</v>
      </c>
      <c r="O545" s="6">
        <v>2.77</v>
      </c>
      <c r="P545" s="6">
        <v>7</v>
      </c>
      <c r="Q545" s="4" t="s">
        <v>26</v>
      </c>
      <c r="R545" s="4">
        <v>0</v>
      </c>
      <c r="S545" s="6">
        <v>0</v>
      </c>
      <c r="T545" s="6">
        <v>36</v>
      </c>
      <c r="U545" s="6">
        <v>81</v>
      </c>
      <c r="V545" s="6">
        <f>IF(ISERROR(VLOOKUP($S$545,'TAR FIN'!$A$1:$O$85,15,0)),0,VLOOKUP($S$545,'TAR FIN'!$A$1:$O$85,15,0))</f>
        <v>0</v>
      </c>
      <c r="W545" s="6">
        <f>IF(ISERROR(VLOOKUP($T$545,'TAR FIN'!$A$1:$O$85,15,0)),0,VLOOKUP($T$545,'TAR FIN'!$A$1:$O$85,15,0))</f>
        <v>482.65</v>
      </c>
      <c r="X545" s="6">
        <f>IF(ISERROR(VLOOKUP($U$545,'TAR FIN'!$A$1:$O$85,15,0)),0,VLOOKUP($U$545,'TAR FIN'!$A$1:$O$85,15,0))</f>
        <v>223.07</v>
      </c>
      <c r="Y545" s="6"/>
      <c r="Z545" s="6">
        <f ca="1">('TUSD BE'!$AM$48+'TUSD BF'!$AM$48+'TUSD CVA'!$AM$48)*1</f>
        <v>679.24595390998343</v>
      </c>
      <c r="AA545" s="6">
        <f>('TE BE'!$AB$38+'TE BF'!$AB$38+'TE CVA'!$AB$38)*1</f>
        <v>77.958364182443049</v>
      </c>
      <c r="AB545" s="6">
        <f>$K$545*$V$545</f>
        <v>0</v>
      </c>
      <c r="AC545" s="6">
        <f>$M$545*$W$545</f>
        <v>1336.9404999999999</v>
      </c>
      <c r="AD545" s="6">
        <f>$O$545*$X$545</f>
        <v>617.90390000000002</v>
      </c>
      <c r="AE545" s="6">
        <f>$K$545*$Y$545</f>
        <v>0</v>
      </c>
      <c r="AF545" s="6">
        <f ca="1">$M$545*$Z$545</f>
        <v>1881.5112923306542</v>
      </c>
      <c r="AG545" s="6">
        <f>$O$545*$AA$545</f>
        <v>215.94466878536724</v>
      </c>
    </row>
    <row r="546" spans="1:33" ht="11.25" customHeight="1" x14ac:dyDescent="0.3">
      <c r="A546" s="4" t="s">
        <v>21</v>
      </c>
      <c r="B546" s="4" t="s">
        <v>37</v>
      </c>
      <c r="C546" s="4" t="s">
        <v>23</v>
      </c>
      <c r="D546" s="4" t="s">
        <v>38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44713</v>
      </c>
      <c r="J546" s="6">
        <v>0</v>
      </c>
      <c r="K546" s="6">
        <v>0</v>
      </c>
      <c r="L546" s="6">
        <v>49.137999999999998</v>
      </c>
      <c r="M546" s="6">
        <v>49.137999999999998</v>
      </c>
      <c r="N546" s="6">
        <v>49.137999999999998</v>
      </c>
      <c r="O546" s="6">
        <v>49.137999999999998</v>
      </c>
      <c r="P546" s="6">
        <v>60</v>
      </c>
      <c r="Q546" s="4" t="s">
        <v>26</v>
      </c>
      <c r="R546" s="4">
        <v>0</v>
      </c>
      <c r="S546" s="6">
        <v>0</v>
      </c>
      <c r="T546" s="6">
        <v>36</v>
      </c>
      <c r="U546" s="6">
        <v>81</v>
      </c>
      <c r="V546" s="6">
        <f>IF(ISERROR(VLOOKUP($S$546,'TAR FIN'!$A$1:$O$85,15,0)),0,VLOOKUP($S$546,'TAR FIN'!$A$1:$O$85,15,0))</f>
        <v>0</v>
      </c>
      <c r="W546" s="6">
        <f>IF(ISERROR(VLOOKUP($T$546,'TAR FIN'!$A$1:$O$85,15,0)),0,VLOOKUP($T$546,'TAR FIN'!$A$1:$O$85,15,0))</f>
        <v>482.65</v>
      </c>
      <c r="X546" s="6">
        <f>IF(ISERROR(VLOOKUP($U$546,'TAR FIN'!$A$1:$O$85,15,0)),0,VLOOKUP($U$546,'TAR FIN'!$A$1:$O$85,15,0))</f>
        <v>223.07</v>
      </c>
      <c r="Y546" s="6"/>
      <c r="Z546" s="6">
        <f ca="1">('TUSD BE'!$AM$48+'TUSD BF'!$AM$48+'TUSD CVA'!$AM$48)*1</f>
        <v>679.24595390998343</v>
      </c>
      <c r="AA546" s="6">
        <f>('TE BE'!$AB$38+'TE BF'!$AB$38+'TE CVA'!$AB$38)*1</f>
        <v>77.958364182443049</v>
      </c>
      <c r="AB546" s="6">
        <f>$K$546*$V$546</f>
        <v>0</v>
      </c>
      <c r="AC546" s="6">
        <f>$M$546*$W$546</f>
        <v>23716.455699999999</v>
      </c>
      <c r="AD546" s="6">
        <f>$O$546*$X$546</f>
        <v>10961.213659999999</v>
      </c>
      <c r="AE546" s="6">
        <f>$K$546*$Y$546</f>
        <v>0</v>
      </c>
      <c r="AF546" s="6">
        <f ca="1">$M$546*$Z$546</f>
        <v>33376.787683228766</v>
      </c>
      <c r="AG546" s="6">
        <f>$O$546*$AA$546</f>
        <v>3830.7180991968862</v>
      </c>
    </row>
    <row r="547" spans="1:33" ht="11.25" customHeight="1" x14ac:dyDescent="0.3">
      <c r="A547" s="4" t="s">
        <v>28</v>
      </c>
      <c r="B547" s="4" t="s">
        <v>37</v>
      </c>
      <c r="C547" s="4" t="s">
        <v>23</v>
      </c>
      <c r="D547" s="4" t="s">
        <v>38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44713</v>
      </c>
      <c r="J547" s="6">
        <v>0</v>
      </c>
      <c r="K547" s="6">
        <v>0</v>
      </c>
      <c r="L547" s="6">
        <v>5.484</v>
      </c>
      <c r="M547" s="6">
        <v>5.484</v>
      </c>
      <c r="N547" s="6">
        <v>5.484</v>
      </c>
      <c r="O547" s="6">
        <v>5.484</v>
      </c>
      <c r="P547" s="6">
        <v>7</v>
      </c>
      <c r="Q547" s="4" t="s">
        <v>26</v>
      </c>
      <c r="R547" s="4">
        <v>0</v>
      </c>
      <c r="S547" s="6">
        <v>0</v>
      </c>
      <c r="T547" s="6">
        <v>36</v>
      </c>
      <c r="U547" s="6">
        <v>81</v>
      </c>
      <c r="V547" s="6">
        <f>IF(ISERROR(VLOOKUP($S$547,'TAR FIN'!$A$1:$O$85,15,0)),0,VLOOKUP($S$547,'TAR FIN'!$A$1:$O$85,15,0))</f>
        <v>0</v>
      </c>
      <c r="W547" s="6">
        <f>IF(ISERROR(VLOOKUP($T$547,'TAR FIN'!$A$1:$O$85,15,0)),0,VLOOKUP($T$547,'TAR FIN'!$A$1:$O$85,15,0))</f>
        <v>482.65</v>
      </c>
      <c r="X547" s="6">
        <f>IF(ISERROR(VLOOKUP($U$547,'TAR FIN'!$A$1:$O$85,15,0)),0,VLOOKUP($U$547,'TAR FIN'!$A$1:$O$85,15,0))</f>
        <v>223.07</v>
      </c>
      <c r="Y547" s="6"/>
      <c r="Z547" s="6">
        <f ca="1">('TUSD BE'!$AM$48+'TUSD BF'!$AM$48+'TUSD CVA'!$AM$48)*1</f>
        <v>679.24595390998343</v>
      </c>
      <c r="AA547" s="6">
        <f>('TE BE'!$AB$38+'TE BF'!$AB$38+'TE CVA'!$AB$38)*1</f>
        <v>77.958364182443049</v>
      </c>
      <c r="AB547" s="6">
        <f>$K$547*$V$547</f>
        <v>0</v>
      </c>
      <c r="AC547" s="6">
        <f>$M$547*$W$547</f>
        <v>2646.8525999999997</v>
      </c>
      <c r="AD547" s="6">
        <f>$O$547*$X$547</f>
        <v>1223.3158799999999</v>
      </c>
      <c r="AE547" s="6">
        <f>$K$547*$Y$547</f>
        <v>0</v>
      </c>
      <c r="AF547" s="6">
        <f ca="1">$M$547*$Z$547</f>
        <v>3724.9848112423492</v>
      </c>
      <c r="AG547" s="6">
        <f>$O$547*$AA$547</f>
        <v>427.52366917651767</v>
      </c>
    </row>
    <row r="548" spans="1:33" ht="11.25" customHeight="1" x14ac:dyDescent="0.3">
      <c r="A548" s="4" t="s">
        <v>21</v>
      </c>
      <c r="B548" s="4" t="s">
        <v>37</v>
      </c>
      <c r="C548" s="4" t="s">
        <v>23</v>
      </c>
      <c r="D548" s="4" t="s">
        <v>38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44743</v>
      </c>
      <c r="J548" s="6">
        <v>0</v>
      </c>
      <c r="K548" s="6">
        <v>0</v>
      </c>
      <c r="L548" s="6">
        <v>41.969000000000001</v>
      </c>
      <c r="M548" s="6">
        <v>41.969000000000001</v>
      </c>
      <c r="N548" s="6">
        <v>41.969000000000001</v>
      </c>
      <c r="O548" s="6">
        <v>41.969000000000001</v>
      </c>
      <c r="P548" s="6">
        <v>59</v>
      </c>
      <c r="Q548" s="4" t="s">
        <v>26</v>
      </c>
      <c r="R548" s="4">
        <v>0</v>
      </c>
      <c r="S548" s="6">
        <v>0</v>
      </c>
      <c r="T548" s="6">
        <v>36</v>
      </c>
      <c r="U548" s="6">
        <v>81</v>
      </c>
      <c r="V548" s="6">
        <f>IF(ISERROR(VLOOKUP($S$548,'TAR FIN'!$A$1:$O$85,15,0)),0,VLOOKUP($S$548,'TAR FIN'!$A$1:$O$85,15,0))</f>
        <v>0</v>
      </c>
      <c r="W548" s="6">
        <f>IF(ISERROR(VLOOKUP($T$548,'TAR FIN'!$A$1:$O$85,15,0)),0,VLOOKUP($T$548,'TAR FIN'!$A$1:$O$85,15,0))</f>
        <v>482.65</v>
      </c>
      <c r="X548" s="6">
        <f>IF(ISERROR(VLOOKUP($U$548,'TAR FIN'!$A$1:$O$85,15,0)),0,VLOOKUP($U$548,'TAR FIN'!$A$1:$O$85,15,0))</f>
        <v>223.07</v>
      </c>
      <c r="Y548" s="6"/>
      <c r="Z548" s="6">
        <f ca="1">('TUSD BE'!$AM$48+'TUSD BF'!$AM$48+'TUSD CVA'!$AM$48)*1</f>
        <v>679.24595390998343</v>
      </c>
      <c r="AA548" s="6">
        <f>('TE BE'!$AB$38+'TE BF'!$AB$38+'TE CVA'!$AB$38)*1</f>
        <v>77.958364182443049</v>
      </c>
      <c r="AB548" s="6">
        <f>$K$548*$V$548</f>
        <v>0</v>
      </c>
      <c r="AC548" s="6">
        <f>$M$548*$W$548</f>
        <v>20256.33785</v>
      </c>
      <c r="AD548" s="6">
        <f>$O$548*$X$548</f>
        <v>9362.0248300000003</v>
      </c>
      <c r="AE548" s="6">
        <f>$K$548*$Y$548</f>
        <v>0</v>
      </c>
      <c r="AF548" s="6">
        <f ca="1">$M$548*$Z$548</f>
        <v>28507.273439648096</v>
      </c>
      <c r="AG548" s="6">
        <f>$O$548*$AA$548</f>
        <v>3271.8345863729523</v>
      </c>
    </row>
    <row r="549" spans="1:33" ht="11.25" customHeight="1" x14ac:dyDescent="0.3">
      <c r="A549" s="4" t="s">
        <v>28</v>
      </c>
      <c r="B549" s="4" t="s">
        <v>37</v>
      </c>
      <c r="C549" s="4" t="s">
        <v>23</v>
      </c>
      <c r="D549" s="4" t="s">
        <v>38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44743</v>
      </c>
      <c r="J549" s="6">
        <v>0</v>
      </c>
      <c r="K549" s="6">
        <v>0</v>
      </c>
      <c r="L549" s="6">
        <v>4.6500000000000004</v>
      </c>
      <c r="M549" s="6">
        <v>4.6500000000000004</v>
      </c>
      <c r="N549" s="6">
        <v>4.6500000000000004</v>
      </c>
      <c r="O549" s="6">
        <v>4.6500000000000004</v>
      </c>
      <c r="P549" s="6">
        <v>7</v>
      </c>
      <c r="Q549" s="4" t="s">
        <v>26</v>
      </c>
      <c r="R549" s="4">
        <v>0</v>
      </c>
      <c r="S549" s="6">
        <v>0</v>
      </c>
      <c r="T549" s="6">
        <v>36</v>
      </c>
      <c r="U549" s="6">
        <v>81</v>
      </c>
      <c r="V549" s="6">
        <f>IF(ISERROR(VLOOKUP($S$549,'TAR FIN'!$A$1:$O$85,15,0)),0,VLOOKUP($S$549,'TAR FIN'!$A$1:$O$85,15,0))</f>
        <v>0</v>
      </c>
      <c r="W549" s="6">
        <f>IF(ISERROR(VLOOKUP($T$549,'TAR FIN'!$A$1:$O$85,15,0)),0,VLOOKUP($T$549,'TAR FIN'!$A$1:$O$85,15,0))</f>
        <v>482.65</v>
      </c>
      <c r="X549" s="6">
        <f>IF(ISERROR(VLOOKUP($U$549,'TAR FIN'!$A$1:$O$85,15,0)),0,VLOOKUP($U$549,'TAR FIN'!$A$1:$O$85,15,0))</f>
        <v>223.07</v>
      </c>
      <c r="Y549" s="6"/>
      <c r="Z549" s="6">
        <f ca="1">('TUSD BE'!$AM$48+'TUSD BF'!$AM$48+'TUSD CVA'!$AM$48)*1</f>
        <v>679.24595390998343</v>
      </c>
      <c r="AA549" s="6">
        <f>('TE BE'!$AB$38+'TE BF'!$AB$38+'TE CVA'!$AB$38)*1</f>
        <v>77.958364182443049</v>
      </c>
      <c r="AB549" s="6">
        <f>$K$549*$V$549</f>
        <v>0</v>
      </c>
      <c r="AC549" s="6">
        <f>$M$549*$W$549</f>
        <v>2244.3225000000002</v>
      </c>
      <c r="AD549" s="6">
        <f>$O$549*$X$549</f>
        <v>1037.2755</v>
      </c>
      <c r="AE549" s="6">
        <f>$K$549*$Y$549</f>
        <v>0</v>
      </c>
      <c r="AF549" s="6">
        <f ca="1">$M$549*$Z$549</f>
        <v>3158.4936856814234</v>
      </c>
      <c r="AG549" s="6">
        <f>$O$549*$AA$549</f>
        <v>362.5063934483602</v>
      </c>
    </row>
    <row r="550" spans="1:33" ht="11.25" customHeight="1" x14ac:dyDescent="0.3">
      <c r="A550" s="4" t="s">
        <v>21</v>
      </c>
      <c r="B550" s="4" t="s">
        <v>37</v>
      </c>
      <c r="C550" s="4" t="s">
        <v>23</v>
      </c>
      <c r="D550" s="4" t="s">
        <v>38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44774</v>
      </c>
      <c r="J550" s="6">
        <v>0</v>
      </c>
      <c r="K550" s="6">
        <v>0</v>
      </c>
      <c r="L550" s="6">
        <v>42.45</v>
      </c>
      <c r="M550" s="6">
        <v>42.45</v>
      </c>
      <c r="N550" s="6">
        <v>42.45</v>
      </c>
      <c r="O550" s="6">
        <v>42.45</v>
      </c>
      <c r="P550" s="6">
        <v>59</v>
      </c>
      <c r="Q550" s="4" t="s">
        <v>26</v>
      </c>
      <c r="R550" s="4">
        <v>0</v>
      </c>
      <c r="S550" s="6">
        <v>0</v>
      </c>
      <c r="T550" s="6">
        <v>36</v>
      </c>
      <c r="U550" s="6">
        <v>81</v>
      </c>
      <c r="V550" s="6">
        <f>IF(ISERROR(VLOOKUP($S$550,'TAR FIN'!$A$1:$O$85,15,0)),0,VLOOKUP($S$550,'TAR FIN'!$A$1:$O$85,15,0))</f>
        <v>0</v>
      </c>
      <c r="W550" s="6">
        <f>IF(ISERROR(VLOOKUP($T$550,'TAR FIN'!$A$1:$O$85,15,0)),0,VLOOKUP($T$550,'TAR FIN'!$A$1:$O$85,15,0))</f>
        <v>482.65</v>
      </c>
      <c r="X550" s="6">
        <f>IF(ISERROR(VLOOKUP($U$550,'TAR FIN'!$A$1:$O$85,15,0)),0,VLOOKUP($U$550,'TAR FIN'!$A$1:$O$85,15,0))</f>
        <v>223.07</v>
      </c>
      <c r="Y550" s="6"/>
      <c r="Z550" s="6">
        <f ca="1">('TUSD BE'!$AM$48+'TUSD BF'!$AM$48+'TUSD CVA'!$AM$48)*1</f>
        <v>679.24595390998343</v>
      </c>
      <c r="AA550" s="6">
        <f>('TE BE'!$AB$38+'TE BF'!$AB$38+'TE CVA'!$AB$38)*1</f>
        <v>77.958364182443049</v>
      </c>
      <c r="AB550" s="6">
        <f>$K$550*$V$550</f>
        <v>0</v>
      </c>
      <c r="AC550" s="6">
        <f>$M$550*$W$550</f>
        <v>20488.4925</v>
      </c>
      <c r="AD550" s="6">
        <f>$O$550*$X$550</f>
        <v>9469.3215</v>
      </c>
      <c r="AE550" s="6">
        <f>$K$550*$Y$550</f>
        <v>0</v>
      </c>
      <c r="AF550" s="6">
        <f ca="1">$M$550*$Z$550</f>
        <v>28833.9907434788</v>
      </c>
      <c r="AG550" s="6">
        <f>$O$550*$AA$550</f>
        <v>3309.3325595447077</v>
      </c>
    </row>
    <row r="551" spans="1:33" ht="11.25" customHeight="1" x14ac:dyDescent="0.3">
      <c r="A551" s="4" t="s">
        <v>28</v>
      </c>
      <c r="B551" s="4" t="s">
        <v>37</v>
      </c>
      <c r="C551" s="4" t="s">
        <v>23</v>
      </c>
      <c r="D551" s="4" t="s">
        <v>38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44774</v>
      </c>
      <c r="J551" s="6">
        <v>0</v>
      </c>
      <c r="K551" s="6">
        <v>0</v>
      </c>
      <c r="L551" s="6">
        <v>4.4390000000000001</v>
      </c>
      <c r="M551" s="6">
        <v>4.4390000000000001</v>
      </c>
      <c r="N551" s="6">
        <v>4.4390000000000001</v>
      </c>
      <c r="O551" s="6">
        <v>4.4390000000000001</v>
      </c>
      <c r="P551" s="6">
        <v>8</v>
      </c>
      <c r="Q551" s="4" t="s">
        <v>26</v>
      </c>
      <c r="R551" s="4">
        <v>0</v>
      </c>
      <c r="S551" s="6">
        <v>0</v>
      </c>
      <c r="T551" s="6">
        <v>36</v>
      </c>
      <c r="U551" s="6">
        <v>81</v>
      </c>
      <c r="V551" s="6">
        <f>IF(ISERROR(VLOOKUP($S$551,'TAR FIN'!$A$1:$O$85,15,0)),0,VLOOKUP($S$551,'TAR FIN'!$A$1:$O$85,15,0))</f>
        <v>0</v>
      </c>
      <c r="W551" s="6">
        <f>IF(ISERROR(VLOOKUP($T$551,'TAR FIN'!$A$1:$O$85,15,0)),0,VLOOKUP($T$551,'TAR FIN'!$A$1:$O$85,15,0))</f>
        <v>482.65</v>
      </c>
      <c r="X551" s="6">
        <f>IF(ISERROR(VLOOKUP($U$551,'TAR FIN'!$A$1:$O$85,15,0)),0,VLOOKUP($U$551,'TAR FIN'!$A$1:$O$85,15,0))</f>
        <v>223.07</v>
      </c>
      <c r="Y551" s="6"/>
      <c r="Z551" s="6">
        <f ca="1">('TUSD BE'!$AM$48+'TUSD BF'!$AM$48+'TUSD CVA'!$AM$48)*1</f>
        <v>679.24595390998343</v>
      </c>
      <c r="AA551" s="6">
        <f>('TE BE'!$AB$38+'TE BF'!$AB$38+'TE CVA'!$AB$38)*1</f>
        <v>77.958364182443049</v>
      </c>
      <c r="AB551" s="6">
        <f>$K$551*$V$551</f>
        <v>0</v>
      </c>
      <c r="AC551" s="6">
        <f>$M$551*$W$551</f>
        <v>2142.48335</v>
      </c>
      <c r="AD551" s="6">
        <f>$O$551*$X$551</f>
        <v>990.20772999999997</v>
      </c>
      <c r="AE551" s="6">
        <f>$K$551*$Y$551</f>
        <v>0</v>
      </c>
      <c r="AF551" s="6">
        <f ca="1">$M$551*$Z$551</f>
        <v>3015.1727894064165</v>
      </c>
      <c r="AG551" s="6">
        <f>$O$551*$AA$551</f>
        <v>346.05717860586469</v>
      </c>
    </row>
    <row r="552" spans="1:33" ht="11.25" customHeight="1" x14ac:dyDescent="0.3">
      <c r="A552" s="4" t="s">
        <v>21</v>
      </c>
      <c r="B552" s="4" t="s">
        <v>37</v>
      </c>
      <c r="C552" s="4" t="s">
        <v>23</v>
      </c>
      <c r="D552" s="4" t="s">
        <v>44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44440</v>
      </c>
      <c r="J552" s="6">
        <v>0</v>
      </c>
      <c r="K552" s="6">
        <v>0</v>
      </c>
      <c r="L552" s="6">
        <v>30.277000000000001</v>
      </c>
      <c r="M552" s="6">
        <v>30.277000000000001</v>
      </c>
      <c r="N552" s="6">
        <v>30.277000000000001</v>
      </c>
      <c r="O552" s="6">
        <v>30.277000000000001</v>
      </c>
      <c r="P552" s="6">
        <v>67</v>
      </c>
      <c r="Q552" s="4" t="s">
        <v>26</v>
      </c>
      <c r="R552" s="4">
        <v>0</v>
      </c>
      <c r="S552" s="6">
        <v>0</v>
      </c>
      <c r="T552" s="6">
        <v>36</v>
      </c>
      <c r="U552" s="6">
        <v>81</v>
      </c>
      <c r="V552" s="6">
        <f>IF(ISERROR(VLOOKUP($S$552,'TAR FIN'!$A$1:$O$85,15,0)),0,VLOOKUP($S$552,'TAR FIN'!$A$1:$O$85,15,0))</f>
        <v>0</v>
      </c>
      <c r="W552" s="6">
        <f>IF(ISERROR(VLOOKUP($T$552,'TAR FIN'!$A$1:$O$85,15,0)),0,VLOOKUP($T$552,'TAR FIN'!$A$1:$O$85,15,0))</f>
        <v>482.65</v>
      </c>
      <c r="X552" s="6">
        <f>IF(ISERROR(VLOOKUP($U$552,'TAR FIN'!$A$1:$O$85,15,0)),0,VLOOKUP($U$552,'TAR FIN'!$A$1:$O$85,15,0))</f>
        <v>223.07</v>
      </c>
      <c r="Y552" s="6"/>
      <c r="Z552" s="6">
        <f ca="1">('TUSD BE'!$AM$48+'TUSD BF'!$AM$48+'TUSD CVA'!$AM$48)*1</f>
        <v>679.24595390998343</v>
      </c>
      <c r="AA552" s="6">
        <f>('TE BE'!$AB$38+'TE BF'!$AB$38+'TE CVA'!$AB$38)*1</f>
        <v>77.958364182443049</v>
      </c>
      <c r="AB552" s="6">
        <f>$K$552*$V$552</f>
        <v>0</v>
      </c>
      <c r="AC552" s="6">
        <f>$M$552*$W$552</f>
        <v>14613.19405</v>
      </c>
      <c r="AD552" s="6">
        <f>$O$552*$X$552</f>
        <v>6753.8903899999996</v>
      </c>
      <c r="AE552" s="6">
        <f>$K$552*$Y$552</f>
        <v>0</v>
      </c>
      <c r="AF552" s="6">
        <f ca="1">$M$552*$Z$552</f>
        <v>20565.529746532568</v>
      </c>
      <c r="AG552" s="6">
        <f>$O$552*$AA$552</f>
        <v>2360.3453923518282</v>
      </c>
    </row>
    <row r="553" spans="1:33" ht="11.25" customHeight="1" x14ac:dyDescent="0.3">
      <c r="A553" s="4" t="s">
        <v>21</v>
      </c>
      <c r="B553" s="4" t="s">
        <v>37</v>
      </c>
      <c r="C553" s="4" t="s">
        <v>23</v>
      </c>
      <c r="D553" s="4" t="s">
        <v>44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44470</v>
      </c>
      <c r="J553" s="6">
        <v>0</v>
      </c>
      <c r="K553" s="6">
        <v>0</v>
      </c>
      <c r="L553" s="6">
        <v>29.192</v>
      </c>
      <c r="M553" s="6">
        <v>29.192</v>
      </c>
      <c r="N553" s="6">
        <v>29.192</v>
      </c>
      <c r="O553" s="6">
        <v>29.192</v>
      </c>
      <c r="P553" s="6">
        <v>67</v>
      </c>
      <c r="Q553" s="4" t="s">
        <v>26</v>
      </c>
      <c r="R553" s="4">
        <v>0</v>
      </c>
      <c r="S553" s="6">
        <v>0</v>
      </c>
      <c r="T553" s="6">
        <v>36</v>
      </c>
      <c r="U553" s="6">
        <v>81</v>
      </c>
      <c r="V553" s="6">
        <f>IF(ISERROR(VLOOKUP($S$553,'TAR FIN'!$A$1:$O$85,15,0)),0,VLOOKUP($S$553,'TAR FIN'!$A$1:$O$85,15,0))</f>
        <v>0</v>
      </c>
      <c r="W553" s="6">
        <f>IF(ISERROR(VLOOKUP($T$553,'TAR FIN'!$A$1:$O$85,15,0)),0,VLOOKUP($T$553,'TAR FIN'!$A$1:$O$85,15,0))</f>
        <v>482.65</v>
      </c>
      <c r="X553" s="6">
        <f>IF(ISERROR(VLOOKUP($U$553,'TAR FIN'!$A$1:$O$85,15,0)),0,VLOOKUP($U$553,'TAR FIN'!$A$1:$O$85,15,0))</f>
        <v>223.07</v>
      </c>
      <c r="Y553" s="6"/>
      <c r="Z553" s="6">
        <f ca="1">('TUSD BE'!$AM$48+'TUSD BF'!$AM$48+'TUSD CVA'!$AM$48)*1</f>
        <v>679.24595390998343</v>
      </c>
      <c r="AA553" s="6">
        <f>('TE BE'!$AB$38+'TE BF'!$AB$38+'TE CVA'!$AB$38)*1</f>
        <v>77.958364182443049</v>
      </c>
      <c r="AB553" s="6">
        <f>$K$553*$V$553</f>
        <v>0</v>
      </c>
      <c r="AC553" s="6">
        <f>$M$553*$W$553</f>
        <v>14089.5188</v>
      </c>
      <c r="AD553" s="6">
        <f>$O$553*$X$553</f>
        <v>6511.8594400000002</v>
      </c>
      <c r="AE553" s="6">
        <f>$K$553*$Y$553</f>
        <v>0</v>
      </c>
      <c r="AF553" s="6">
        <f ca="1">$M$553*$Z$553</f>
        <v>19828.547886540237</v>
      </c>
      <c r="AG553" s="6">
        <f>$O$553*$AA$553</f>
        <v>2275.7605672138775</v>
      </c>
    </row>
    <row r="554" spans="1:33" ht="11.25" customHeight="1" x14ac:dyDescent="0.3">
      <c r="A554" s="4" t="s">
        <v>21</v>
      </c>
      <c r="B554" s="4" t="s">
        <v>37</v>
      </c>
      <c r="C554" s="4" t="s">
        <v>23</v>
      </c>
      <c r="D554" s="4" t="s">
        <v>44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44501</v>
      </c>
      <c r="J554" s="6">
        <v>0</v>
      </c>
      <c r="K554" s="6">
        <v>0</v>
      </c>
      <c r="L554" s="6">
        <v>31.210999999999999</v>
      </c>
      <c r="M554" s="6">
        <v>31.210999999999999</v>
      </c>
      <c r="N554" s="6">
        <v>31.210999999999999</v>
      </c>
      <c r="O554" s="6">
        <v>31.210999999999999</v>
      </c>
      <c r="P554" s="6">
        <v>67</v>
      </c>
      <c r="Q554" s="4" t="s">
        <v>26</v>
      </c>
      <c r="R554" s="4">
        <v>0</v>
      </c>
      <c r="S554" s="6">
        <v>0</v>
      </c>
      <c r="T554" s="6">
        <v>36</v>
      </c>
      <c r="U554" s="6">
        <v>81</v>
      </c>
      <c r="V554" s="6">
        <f>IF(ISERROR(VLOOKUP($S$554,'TAR FIN'!$A$1:$O$85,15,0)),0,VLOOKUP($S$554,'TAR FIN'!$A$1:$O$85,15,0))</f>
        <v>0</v>
      </c>
      <c r="W554" s="6">
        <f>IF(ISERROR(VLOOKUP($T$554,'TAR FIN'!$A$1:$O$85,15,0)),0,VLOOKUP($T$554,'TAR FIN'!$A$1:$O$85,15,0))</f>
        <v>482.65</v>
      </c>
      <c r="X554" s="6">
        <f>IF(ISERROR(VLOOKUP($U$554,'TAR FIN'!$A$1:$O$85,15,0)),0,VLOOKUP($U$554,'TAR FIN'!$A$1:$O$85,15,0))</f>
        <v>223.07</v>
      </c>
      <c r="Y554" s="6"/>
      <c r="Z554" s="6">
        <f ca="1">('TUSD BE'!$AM$48+'TUSD BF'!$AM$48+'TUSD CVA'!$AM$48)*1</f>
        <v>679.24595390998343</v>
      </c>
      <c r="AA554" s="6">
        <f>('TE BE'!$AB$38+'TE BF'!$AB$38+'TE CVA'!$AB$38)*1</f>
        <v>77.958364182443049</v>
      </c>
      <c r="AB554" s="6">
        <f>$K$554*$V$554</f>
        <v>0</v>
      </c>
      <c r="AC554" s="6">
        <f>$M$554*$W$554</f>
        <v>15063.989149999999</v>
      </c>
      <c r="AD554" s="6">
        <f>$O$554*$X$554</f>
        <v>6962.2377699999997</v>
      </c>
      <c r="AE554" s="6">
        <f>$K$554*$Y$554</f>
        <v>0</v>
      </c>
      <c r="AF554" s="6">
        <f ca="1">$M$554*$Z$554</f>
        <v>21199.945467484493</v>
      </c>
      <c r="AG554" s="6">
        <f>$O$554*$AA$554</f>
        <v>2433.1585044982298</v>
      </c>
    </row>
    <row r="555" spans="1:33" ht="11.25" customHeight="1" x14ac:dyDescent="0.3">
      <c r="A555" s="4" t="s">
        <v>21</v>
      </c>
      <c r="B555" s="4" t="s">
        <v>37</v>
      </c>
      <c r="C555" s="4" t="s">
        <v>23</v>
      </c>
      <c r="D555" s="4" t="s">
        <v>44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44531</v>
      </c>
      <c r="J555" s="6">
        <v>0</v>
      </c>
      <c r="K555" s="6">
        <v>0</v>
      </c>
      <c r="L555" s="6">
        <v>36.154000000000003</v>
      </c>
      <c r="M555" s="6">
        <v>36.154000000000003</v>
      </c>
      <c r="N555" s="6">
        <v>36.154000000000003</v>
      </c>
      <c r="O555" s="6">
        <v>36.154000000000003</v>
      </c>
      <c r="P555" s="6">
        <v>68</v>
      </c>
      <c r="Q555" s="4" t="s">
        <v>26</v>
      </c>
      <c r="R555" s="4">
        <v>0</v>
      </c>
      <c r="S555" s="6">
        <v>0</v>
      </c>
      <c r="T555" s="6">
        <v>36</v>
      </c>
      <c r="U555" s="6">
        <v>81</v>
      </c>
      <c r="V555" s="6">
        <f>IF(ISERROR(VLOOKUP($S$555,'TAR FIN'!$A$1:$O$85,15,0)),0,VLOOKUP($S$555,'TAR FIN'!$A$1:$O$85,15,0))</f>
        <v>0</v>
      </c>
      <c r="W555" s="6">
        <f>IF(ISERROR(VLOOKUP($T$555,'TAR FIN'!$A$1:$O$85,15,0)),0,VLOOKUP($T$555,'TAR FIN'!$A$1:$O$85,15,0))</f>
        <v>482.65</v>
      </c>
      <c r="X555" s="6">
        <f>IF(ISERROR(VLOOKUP($U$555,'TAR FIN'!$A$1:$O$85,15,0)),0,VLOOKUP($U$555,'TAR FIN'!$A$1:$O$85,15,0))</f>
        <v>223.07</v>
      </c>
      <c r="Y555" s="6"/>
      <c r="Z555" s="6">
        <f ca="1">('TUSD BE'!$AM$48+'TUSD BF'!$AM$48+'TUSD CVA'!$AM$48)*1</f>
        <v>679.24595390998343</v>
      </c>
      <c r="AA555" s="6">
        <f>('TE BE'!$AB$38+'TE BF'!$AB$38+'TE CVA'!$AB$38)*1</f>
        <v>77.958364182443049</v>
      </c>
      <c r="AB555" s="6">
        <f>$K$555*$V$555</f>
        <v>0</v>
      </c>
      <c r="AC555" s="6">
        <f>$M$555*$W$555</f>
        <v>17449.7281</v>
      </c>
      <c r="AD555" s="6">
        <f>$O$555*$X$555</f>
        <v>8064.8727800000006</v>
      </c>
      <c r="AE555" s="6">
        <f>$K$555*$Y$555</f>
        <v>0</v>
      </c>
      <c r="AF555" s="6">
        <f ca="1">$M$555*$Z$555</f>
        <v>24557.458217661544</v>
      </c>
      <c r="AG555" s="6">
        <f>$O$555*$AA$555</f>
        <v>2818.5066986520465</v>
      </c>
    </row>
    <row r="556" spans="1:33" ht="11.25" customHeight="1" x14ac:dyDescent="0.3">
      <c r="A556" s="4" t="s">
        <v>21</v>
      </c>
      <c r="B556" s="4" t="s">
        <v>37</v>
      </c>
      <c r="C556" s="4" t="s">
        <v>23</v>
      </c>
      <c r="D556" s="4" t="s">
        <v>44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44562</v>
      </c>
      <c r="J556" s="6">
        <v>0</v>
      </c>
      <c r="K556" s="6">
        <v>0</v>
      </c>
      <c r="L556" s="6">
        <v>31.497</v>
      </c>
      <c r="M556" s="6">
        <v>31.497</v>
      </c>
      <c r="N556" s="6">
        <v>31.497</v>
      </c>
      <c r="O556" s="6">
        <v>31.497</v>
      </c>
      <c r="P556" s="6">
        <v>68</v>
      </c>
      <c r="Q556" s="4" t="s">
        <v>26</v>
      </c>
      <c r="R556" s="4">
        <v>0</v>
      </c>
      <c r="S556" s="6">
        <v>0</v>
      </c>
      <c r="T556" s="6">
        <v>36</v>
      </c>
      <c r="U556" s="6">
        <v>81</v>
      </c>
      <c r="V556" s="6">
        <f>IF(ISERROR(VLOOKUP($S$556,'TAR FIN'!$A$1:$O$85,15,0)),0,VLOOKUP($S$556,'TAR FIN'!$A$1:$O$85,15,0))</f>
        <v>0</v>
      </c>
      <c r="W556" s="6">
        <f>IF(ISERROR(VLOOKUP($T$556,'TAR FIN'!$A$1:$O$85,15,0)),0,VLOOKUP($T$556,'TAR FIN'!$A$1:$O$85,15,0))</f>
        <v>482.65</v>
      </c>
      <c r="X556" s="6">
        <f>IF(ISERROR(VLOOKUP($U$556,'TAR FIN'!$A$1:$O$85,15,0)),0,VLOOKUP($U$556,'TAR FIN'!$A$1:$O$85,15,0))</f>
        <v>223.07</v>
      </c>
      <c r="Y556" s="6"/>
      <c r="Z556" s="6">
        <f ca="1">('TUSD BE'!$AM$48+'TUSD BF'!$AM$48+'TUSD CVA'!$AM$48)*1</f>
        <v>679.24595390998343</v>
      </c>
      <c r="AA556" s="6">
        <f>('TE BE'!$AB$38+'TE BF'!$AB$38+'TE CVA'!$AB$38)*1</f>
        <v>77.958364182443049</v>
      </c>
      <c r="AB556" s="6">
        <f>$K$556*$V$556</f>
        <v>0</v>
      </c>
      <c r="AC556" s="6">
        <f>$M$556*$W$556</f>
        <v>15202.027049999999</v>
      </c>
      <c r="AD556" s="6">
        <f>$O$556*$X$556</f>
        <v>7026.0357899999999</v>
      </c>
      <c r="AE556" s="6">
        <f>$K$556*$Y$556</f>
        <v>0</v>
      </c>
      <c r="AF556" s="6">
        <f ca="1">$M$556*$Z$556</f>
        <v>21394.209810302749</v>
      </c>
      <c r="AG556" s="6">
        <f>$O$556*$AA$556</f>
        <v>2455.4545966544088</v>
      </c>
    </row>
    <row r="557" spans="1:33" ht="11.25" customHeight="1" x14ac:dyDescent="0.3">
      <c r="A557" s="4" t="s">
        <v>21</v>
      </c>
      <c r="B557" s="4" t="s">
        <v>37</v>
      </c>
      <c r="C557" s="4" t="s">
        <v>23</v>
      </c>
      <c r="D557" s="4" t="s">
        <v>44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44593</v>
      </c>
      <c r="J557" s="6">
        <v>0</v>
      </c>
      <c r="K557" s="6">
        <v>0</v>
      </c>
      <c r="L557" s="6">
        <v>45.668999999999997</v>
      </c>
      <c r="M557" s="6">
        <v>45.668999999999997</v>
      </c>
      <c r="N557" s="6">
        <v>45.668999999999997</v>
      </c>
      <c r="O557" s="6">
        <v>45.668999999999997</v>
      </c>
      <c r="P557" s="6">
        <v>68</v>
      </c>
      <c r="Q557" s="4" t="s">
        <v>26</v>
      </c>
      <c r="R557" s="4">
        <v>0</v>
      </c>
      <c r="S557" s="6">
        <v>0</v>
      </c>
      <c r="T557" s="6">
        <v>36</v>
      </c>
      <c r="U557" s="6">
        <v>81</v>
      </c>
      <c r="V557" s="6">
        <f>IF(ISERROR(VLOOKUP($S$557,'TAR FIN'!$A$1:$O$85,15,0)),0,VLOOKUP($S$557,'TAR FIN'!$A$1:$O$85,15,0))</f>
        <v>0</v>
      </c>
      <c r="W557" s="6">
        <f>IF(ISERROR(VLOOKUP($T$557,'TAR FIN'!$A$1:$O$85,15,0)),0,VLOOKUP($T$557,'TAR FIN'!$A$1:$O$85,15,0))</f>
        <v>482.65</v>
      </c>
      <c r="X557" s="6">
        <f>IF(ISERROR(VLOOKUP($U$557,'TAR FIN'!$A$1:$O$85,15,0)),0,VLOOKUP($U$557,'TAR FIN'!$A$1:$O$85,15,0))</f>
        <v>223.07</v>
      </c>
      <c r="Y557" s="6"/>
      <c r="Z557" s="6">
        <f ca="1">('TUSD BE'!$AM$48+'TUSD BF'!$AM$48+'TUSD CVA'!$AM$48)*1</f>
        <v>679.24595390998343</v>
      </c>
      <c r="AA557" s="6">
        <f>('TE BE'!$AB$38+'TE BF'!$AB$38+'TE CVA'!$AB$38)*1</f>
        <v>77.958364182443049</v>
      </c>
      <c r="AB557" s="6">
        <f>$K$557*$V$557</f>
        <v>0</v>
      </c>
      <c r="AC557" s="6">
        <f>$M$557*$W$557</f>
        <v>22042.142849999997</v>
      </c>
      <c r="AD557" s="6">
        <f>$O$557*$X$557</f>
        <v>10187.383829999999</v>
      </c>
      <c r="AE557" s="6">
        <f>$K$557*$Y$557</f>
        <v>0</v>
      </c>
      <c r="AF557" s="6">
        <f ca="1">$M$557*$Z$557</f>
        <v>31020.483469115032</v>
      </c>
      <c r="AG557" s="6">
        <f>$O$557*$AA$557</f>
        <v>3560.2805338479911</v>
      </c>
    </row>
    <row r="558" spans="1:33" ht="11.25" customHeight="1" x14ac:dyDescent="0.3">
      <c r="A558" s="4" t="s">
        <v>21</v>
      </c>
      <c r="B558" s="4" t="s">
        <v>37</v>
      </c>
      <c r="C558" s="4" t="s">
        <v>23</v>
      </c>
      <c r="D558" s="4" t="s">
        <v>44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44621</v>
      </c>
      <c r="J558" s="6">
        <v>0</v>
      </c>
      <c r="K558" s="6">
        <v>0</v>
      </c>
      <c r="L558" s="6">
        <v>54.984999999999999</v>
      </c>
      <c r="M558" s="6">
        <v>54.984999999999999</v>
      </c>
      <c r="N558" s="6">
        <v>54.984999999999999</v>
      </c>
      <c r="O558" s="6">
        <v>54.984999999999999</v>
      </c>
      <c r="P558" s="6">
        <v>68</v>
      </c>
      <c r="Q558" s="4" t="s">
        <v>26</v>
      </c>
      <c r="R558" s="4">
        <v>0</v>
      </c>
      <c r="S558" s="6">
        <v>0</v>
      </c>
      <c r="T558" s="6">
        <v>36</v>
      </c>
      <c r="U558" s="6">
        <v>81</v>
      </c>
      <c r="V558" s="6">
        <f>IF(ISERROR(VLOOKUP($S$558,'TAR FIN'!$A$1:$O$85,15,0)),0,VLOOKUP($S$558,'TAR FIN'!$A$1:$O$85,15,0))</f>
        <v>0</v>
      </c>
      <c r="W558" s="6">
        <f>IF(ISERROR(VLOOKUP($T$558,'TAR FIN'!$A$1:$O$85,15,0)),0,VLOOKUP($T$558,'TAR FIN'!$A$1:$O$85,15,0))</f>
        <v>482.65</v>
      </c>
      <c r="X558" s="6">
        <f>IF(ISERROR(VLOOKUP($U$558,'TAR FIN'!$A$1:$O$85,15,0)),0,VLOOKUP($U$558,'TAR FIN'!$A$1:$O$85,15,0))</f>
        <v>223.07</v>
      </c>
      <c r="Y558" s="6"/>
      <c r="Z558" s="6">
        <f ca="1">('TUSD BE'!$AM$48+'TUSD BF'!$AM$48+'TUSD CVA'!$AM$48)*1</f>
        <v>679.24595390998343</v>
      </c>
      <c r="AA558" s="6">
        <f>('TE BE'!$AB$38+'TE BF'!$AB$38+'TE CVA'!$AB$38)*1</f>
        <v>77.958364182443049</v>
      </c>
      <c r="AB558" s="6">
        <f>$K$558*$V$558</f>
        <v>0</v>
      </c>
      <c r="AC558" s="6">
        <f>$M$558*$W$558</f>
        <v>26538.510249999999</v>
      </c>
      <c r="AD558" s="6">
        <f>$O$558*$X$558</f>
        <v>12265.50395</v>
      </c>
      <c r="AE558" s="6">
        <f>$K$558*$Y$558</f>
        <v>0</v>
      </c>
      <c r="AF558" s="6">
        <f ca="1">$M$558*$Z$558</f>
        <v>37348.338775740442</v>
      </c>
      <c r="AG558" s="6">
        <f>$O$558*$AA$558</f>
        <v>4286.5406545716314</v>
      </c>
    </row>
    <row r="559" spans="1:33" ht="11.25" customHeight="1" x14ac:dyDescent="0.3">
      <c r="A559" s="4" t="s">
        <v>21</v>
      </c>
      <c r="B559" s="4" t="s">
        <v>37</v>
      </c>
      <c r="C559" s="4" t="s">
        <v>23</v>
      </c>
      <c r="D559" s="4" t="s">
        <v>44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44652</v>
      </c>
      <c r="J559" s="6">
        <v>0</v>
      </c>
      <c r="K559" s="6">
        <v>0</v>
      </c>
      <c r="L559" s="6">
        <v>37.22</v>
      </c>
      <c r="M559" s="6">
        <v>37.22</v>
      </c>
      <c r="N559" s="6">
        <v>37.22</v>
      </c>
      <c r="O559" s="6">
        <v>37.22</v>
      </c>
      <c r="P559" s="6">
        <v>68</v>
      </c>
      <c r="Q559" s="4" t="s">
        <v>26</v>
      </c>
      <c r="R559" s="4">
        <v>0</v>
      </c>
      <c r="S559" s="6">
        <v>0</v>
      </c>
      <c r="T559" s="6">
        <v>36</v>
      </c>
      <c r="U559" s="6">
        <v>81</v>
      </c>
      <c r="V559" s="6">
        <f>IF(ISERROR(VLOOKUP($S$559,'TAR FIN'!$A$1:$O$85,15,0)),0,VLOOKUP($S$559,'TAR FIN'!$A$1:$O$85,15,0))</f>
        <v>0</v>
      </c>
      <c r="W559" s="6">
        <f>IF(ISERROR(VLOOKUP($T$559,'TAR FIN'!$A$1:$O$85,15,0)),0,VLOOKUP($T$559,'TAR FIN'!$A$1:$O$85,15,0))</f>
        <v>482.65</v>
      </c>
      <c r="X559" s="6">
        <f>IF(ISERROR(VLOOKUP($U$559,'TAR FIN'!$A$1:$O$85,15,0)),0,VLOOKUP($U$559,'TAR FIN'!$A$1:$O$85,15,0))</f>
        <v>223.07</v>
      </c>
      <c r="Y559" s="6"/>
      <c r="Z559" s="6">
        <f ca="1">('TUSD BE'!$AM$48+'TUSD BF'!$AM$48+'TUSD CVA'!$AM$48)*1</f>
        <v>679.24595390998343</v>
      </c>
      <c r="AA559" s="6">
        <f>('TE BE'!$AB$38+'TE BF'!$AB$38+'TE CVA'!$AB$38)*1</f>
        <v>77.958364182443049</v>
      </c>
      <c r="AB559" s="6">
        <f>$K$559*$V$559</f>
        <v>0</v>
      </c>
      <c r="AC559" s="6">
        <f>$M$559*$W$559</f>
        <v>17964.233</v>
      </c>
      <c r="AD559" s="6">
        <f>$O$559*$X$559</f>
        <v>8302.6653999999999</v>
      </c>
      <c r="AE559" s="6">
        <f>$K$559*$Y$559</f>
        <v>0</v>
      </c>
      <c r="AF559" s="6">
        <f ca="1">$M$559*$Z$559</f>
        <v>25281.534404529582</v>
      </c>
      <c r="AG559" s="6">
        <f>$O$559*$AA$559</f>
        <v>2901.6103148705301</v>
      </c>
    </row>
    <row r="560" spans="1:33" ht="11.25" customHeight="1" x14ac:dyDescent="0.3">
      <c r="A560" s="4" t="s">
        <v>21</v>
      </c>
      <c r="B560" s="4" t="s">
        <v>37</v>
      </c>
      <c r="C560" s="4" t="s">
        <v>23</v>
      </c>
      <c r="D560" s="4" t="s">
        <v>44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44682</v>
      </c>
      <c r="J560" s="6">
        <v>0</v>
      </c>
      <c r="K560" s="6">
        <v>0</v>
      </c>
      <c r="L560" s="6">
        <v>34.881999999999998</v>
      </c>
      <c r="M560" s="6">
        <v>34.881999999999998</v>
      </c>
      <c r="N560" s="6">
        <v>34.881999999999998</v>
      </c>
      <c r="O560" s="6">
        <v>34.881999999999998</v>
      </c>
      <c r="P560" s="6">
        <v>68</v>
      </c>
      <c r="Q560" s="4" t="s">
        <v>26</v>
      </c>
      <c r="R560" s="4">
        <v>0</v>
      </c>
      <c r="S560" s="6">
        <v>0</v>
      </c>
      <c r="T560" s="6">
        <v>36</v>
      </c>
      <c r="U560" s="6">
        <v>81</v>
      </c>
      <c r="V560" s="6">
        <f>IF(ISERROR(VLOOKUP($S$560,'TAR FIN'!$A$1:$O$85,15,0)),0,VLOOKUP($S$560,'TAR FIN'!$A$1:$O$85,15,0))</f>
        <v>0</v>
      </c>
      <c r="W560" s="6">
        <f>IF(ISERROR(VLOOKUP($T$560,'TAR FIN'!$A$1:$O$85,15,0)),0,VLOOKUP($T$560,'TAR FIN'!$A$1:$O$85,15,0))</f>
        <v>482.65</v>
      </c>
      <c r="X560" s="6">
        <f>IF(ISERROR(VLOOKUP($U$560,'TAR FIN'!$A$1:$O$85,15,0)),0,VLOOKUP($U$560,'TAR FIN'!$A$1:$O$85,15,0))</f>
        <v>223.07</v>
      </c>
      <c r="Y560" s="6"/>
      <c r="Z560" s="6">
        <f ca="1">('TUSD BE'!$AM$48+'TUSD BF'!$AM$48+'TUSD CVA'!$AM$48)*1</f>
        <v>679.24595390998343</v>
      </c>
      <c r="AA560" s="6">
        <f>('TE BE'!$AB$38+'TE BF'!$AB$38+'TE CVA'!$AB$38)*1</f>
        <v>77.958364182443049</v>
      </c>
      <c r="AB560" s="6">
        <f>$K$560*$V$560</f>
        <v>0</v>
      </c>
      <c r="AC560" s="6">
        <f>$M$560*$W$560</f>
        <v>16835.797299999998</v>
      </c>
      <c r="AD560" s="6">
        <f>$O$560*$X$560</f>
        <v>7781.127739999999</v>
      </c>
      <c r="AE560" s="6">
        <f>$K$560*$Y$560</f>
        <v>0</v>
      </c>
      <c r="AF560" s="6">
        <f ca="1">$M$560*$Z$560</f>
        <v>23693.457364288042</v>
      </c>
      <c r="AG560" s="6">
        <f>$O$560*$AA$560</f>
        <v>2719.3436594119785</v>
      </c>
    </row>
    <row r="561" spans="1:33" ht="11.25" customHeight="1" x14ac:dyDescent="0.3">
      <c r="A561" s="4" t="s">
        <v>21</v>
      </c>
      <c r="B561" s="4" t="s">
        <v>37</v>
      </c>
      <c r="C561" s="4" t="s">
        <v>23</v>
      </c>
      <c r="D561" s="4" t="s">
        <v>44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44713</v>
      </c>
      <c r="J561" s="6">
        <v>0</v>
      </c>
      <c r="K561" s="6">
        <v>0</v>
      </c>
      <c r="L561" s="6">
        <v>31.451000000000001</v>
      </c>
      <c r="M561" s="6">
        <v>31.451000000000001</v>
      </c>
      <c r="N561" s="6">
        <v>31.451000000000001</v>
      </c>
      <c r="O561" s="6">
        <v>31.451000000000001</v>
      </c>
      <c r="P561" s="6">
        <v>68</v>
      </c>
      <c r="Q561" s="4" t="s">
        <v>26</v>
      </c>
      <c r="R561" s="4">
        <v>0</v>
      </c>
      <c r="S561" s="6">
        <v>0</v>
      </c>
      <c r="T561" s="6">
        <v>36</v>
      </c>
      <c r="U561" s="6">
        <v>81</v>
      </c>
      <c r="V561" s="6">
        <f>IF(ISERROR(VLOOKUP($S$561,'TAR FIN'!$A$1:$O$85,15,0)),0,VLOOKUP($S$561,'TAR FIN'!$A$1:$O$85,15,0))</f>
        <v>0</v>
      </c>
      <c r="W561" s="6">
        <f>IF(ISERROR(VLOOKUP($T$561,'TAR FIN'!$A$1:$O$85,15,0)),0,VLOOKUP($T$561,'TAR FIN'!$A$1:$O$85,15,0))</f>
        <v>482.65</v>
      </c>
      <c r="X561" s="6">
        <f>IF(ISERROR(VLOOKUP($U$561,'TAR FIN'!$A$1:$O$85,15,0)),0,VLOOKUP($U$561,'TAR FIN'!$A$1:$O$85,15,0))</f>
        <v>223.07</v>
      </c>
      <c r="Y561" s="6"/>
      <c r="Z561" s="6">
        <f ca="1">('TUSD BE'!$AM$48+'TUSD BF'!$AM$48+'TUSD CVA'!$AM$48)*1</f>
        <v>679.24595390998343</v>
      </c>
      <c r="AA561" s="6">
        <f>('TE BE'!$AB$38+'TE BF'!$AB$38+'TE CVA'!$AB$38)*1</f>
        <v>77.958364182443049</v>
      </c>
      <c r="AB561" s="6">
        <f>$K$561*$V$561</f>
        <v>0</v>
      </c>
      <c r="AC561" s="6">
        <f>$M$561*$W$561</f>
        <v>15179.825149999999</v>
      </c>
      <c r="AD561" s="6">
        <f>$O$561*$X$561</f>
        <v>7015.7745699999996</v>
      </c>
      <c r="AE561" s="6">
        <f>$K$561*$Y$561</f>
        <v>0</v>
      </c>
      <c r="AF561" s="6">
        <f ca="1">$M$561*$Z$561</f>
        <v>21362.96449642289</v>
      </c>
      <c r="AG561" s="6">
        <f>$O$561*$AA$561</f>
        <v>2451.8685119020165</v>
      </c>
    </row>
    <row r="562" spans="1:33" ht="11.25" customHeight="1" x14ac:dyDescent="0.3">
      <c r="A562" s="4" t="s">
        <v>21</v>
      </c>
      <c r="B562" s="4" t="s">
        <v>37</v>
      </c>
      <c r="C562" s="4" t="s">
        <v>23</v>
      </c>
      <c r="D562" s="4" t="s">
        <v>44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44743</v>
      </c>
      <c r="J562" s="6">
        <v>0</v>
      </c>
      <c r="K562" s="6">
        <v>0</v>
      </c>
      <c r="L562" s="6">
        <v>29.497</v>
      </c>
      <c r="M562" s="6">
        <v>29.497</v>
      </c>
      <c r="N562" s="6">
        <v>29.497</v>
      </c>
      <c r="O562" s="6">
        <v>29.497</v>
      </c>
      <c r="P562" s="6">
        <v>69</v>
      </c>
      <c r="Q562" s="4" t="s">
        <v>26</v>
      </c>
      <c r="R562" s="4">
        <v>0</v>
      </c>
      <c r="S562" s="6">
        <v>0</v>
      </c>
      <c r="T562" s="6">
        <v>36</v>
      </c>
      <c r="U562" s="6">
        <v>81</v>
      </c>
      <c r="V562" s="6">
        <f>IF(ISERROR(VLOOKUP($S$562,'TAR FIN'!$A$1:$O$85,15,0)),0,VLOOKUP($S$562,'TAR FIN'!$A$1:$O$85,15,0))</f>
        <v>0</v>
      </c>
      <c r="W562" s="6">
        <f>IF(ISERROR(VLOOKUP($T$562,'TAR FIN'!$A$1:$O$85,15,0)),0,VLOOKUP($T$562,'TAR FIN'!$A$1:$O$85,15,0))</f>
        <v>482.65</v>
      </c>
      <c r="X562" s="6">
        <f>IF(ISERROR(VLOOKUP($U$562,'TAR FIN'!$A$1:$O$85,15,0)),0,VLOOKUP($U$562,'TAR FIN'!$A$1:$O$85,15,0))</f>
        <v>223.07</v>
      </c>
      <c r="Y562" s="6"/>
      <c r="Z562" s="6">
        <f ca="1">('TUSD BE'!$AM$48+'TUSD BF'!$AM$48+'TUSD CVA'!$AM$48)*1</f>
        <v>679.24595390998343</v>
      </c>
      <c r="AA562" s="6">
        <f>('TE BE'!$AB$38+'TE BF'!$AB$38+'TE CVA'!$AB$38)*1</f>
        <v>77.958364182443049</v>
      </c>
      <c r="AB562" s="6">
        <f>$K$562*$V$562</f>
        <v>0</v>
      </c>
      <c r="AC562" s="6">
        <f>$M$562*$W$562</f>
        <v>14236.72705</v>
      </c>
      <c r="AD562" s="6">
        <f>$O$562*$X$562</f>
        <v>6579.8957899999996</v>
      </c>
      <c r="AE562" s="6">
        <f>$K$562*$Y$562</f>
        <v>0</v>
      </c>
      <c r="AF562" s="6">
        <f ca="1">$M$562*$Z$562</f>
        <v>20035.717902482782</v>
      </c>
      <c r="AG562" s="6">
        <f>$O$562*$AA$562</f>
        <v>2299.5378682895225</v>
      </c>
    </row>
    <row r="563" spans="1:33" ht="11.25" customHeight="1" x14ac:dyDescent="0.3">
      <c r="A563" s="4" t="s">
        <v>21</v>
      </c>
      <c r="B563" s="4" t="s">
        <v>37</v>
      </c>
      <c r="C563" s="4" t="s">
        <v>23</v>
      </c>
      <c r="D563" s="4" t="s">
        <v>44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44774</v>
      </c>
      <c r="J563" s="6">
        <v>0</v>
      </c>
      <c r="K563" s="6">
        <v>0</v>
      </c>
      <c r="L563" s="6">
        <v>37.067</v>
      </c>
      <c r="M563" s="6">
        <v>37.067</v>
      </c>
      <c r="N563" s="6">
        <v>37.067</v>
      </c>
      <c r="O563" s="6">
        <v>37.067</v>
      </c>
      <c r="P563" s="6">
        <v>69</v>
      </c>
      <c r="Q563" s="4" t="s">
        <v>26</v>
      </c>
      <c r="R563" s="4">
        <v>0</v>
      </c>
      <c r="S563" s="6">
        <v>0</v>
      </c>
      <c r="T563" s="6">
        <v>36</v>
      </c>
      <c r="U563" s="6">
        <v>81</v>
      </c>
      <c r="V563" s="6">
        <f>IF(ISERROR(VLOOKUP($S$563,'TAR FIN'!$A$1:$O$85,15,0)),0,VLOOKUP($S$563,'TAR FIN'!$A$1:$O$85,15,0))</f>
        <v>0</v>
      </c>
      <c r="W563" s="6">
        <f>IF(ISERROR(VLOOKUP($T$563,'TAR FIN'!$A$1:$O$85,15,0)),0,VLOOKUP($T$563,'TAR FIN'!$A$1:$O$85,15,0))</f>
        <v>482.65</v>
      </c>
      <c r="X563" s="6">
        <f>IF(ISERROR(VLOOKUP($U$563,'TAR FIN'!$A$1:$O$85,15,0)),0,VLOOKUP($U$563,'TAR FIN'!$A$1:$O$85,15,0))</f>
        <v>223.07</v>
      </c>
      <c r="Y563" s="6"/>
      <c r="Z563" s="6">
        <f ca="1">('TUSD BE'!$AM$48+'TUSD BF'!$AM$48+'TUSD CVA'!$AM$48)*1</f>
        <v>679.24595390998343</v>
      </c>
      <c r="AA563" s="6">
        <f>('TE BE'!$AB$38+'TE BF'!$AB$38+'TE CVA'!$AB$38)*1</f>
        <v>77.958364182443049</v>
      </c>
      <c r="AB563" s="6">
        <f>$K$563*$V$563</f>
        <v>0</v>
      </c>
      <c r="AC563" s="6">
        <f>$M$563*$W$563</f>
        <v>17890.387549999999</v>
      </c>
      <c r="AD563" s="6">
        <f>$O$563*$X$563</f>
        <v>8268.5356900000006</v>
      </c>
      <c r="AE563" s="6">
        <f>$K$563*$Y$563</f>
        <v>0</v>
      </c>
      <c r="AF563" s="6">
        <f ca="1">$M$563*$Z$563</f>
        <v>25177.609773581356</v>
      </c>
      <c r="AG563" s="6">
        <f>$O$563*$AA$563</f>
        <v>2889.6826851506166</v>
      </c>
    </row>
    <row r="564" spans="1:33" ht="11.25" customHeight="1" x14ac:dyDescent="0.3">
      <c r="A564" s="4" t="s">
        <v>21</v>
      </c>
      <c r="B564" s="4" t="s">
        <v>37</v>
      </c>
      <c r="C564" s="4" t="s">
        <v>23</v>
      </c>
      <c r="D564" s="4" t="s">
        <v>48</v>
      </c>
      <c r="E564" s="4" t="s">
        <v>49</v>
      </c>
      <c r="F564" s="4" t="s">
        <v>25</v>
      </c>
      <c r="G564" s="4" t="s">
        <v>25</v>
      </c>
      <c r="H564" s="4" t="s">
        <v>25</v>
      </c>
      <c r="I564" s="5">
        <v>44440</v>
      </c>
      <c r="J564" s="6">
        <v>0</v>
      </c>
      <c r="K564" s="52">
        <v>0</v>
      </c>
      <c r="L564" s="6">
        <v>23.096</v>
      </c>
      <c r="M564" s="52">
        <v>23.096</v>
      </c>
      <c r="N564" s="6">
        <v>23.096</v>
      </c>
      <c r="O564" s="52">
        <v>23.096</v>
      </c>
      <c r="P564" s="6">
        <v>8</v>
      </c>
      <c r="Q564" s="4" t="s">
        <v>26</v>
      </c>
      <c r="R564" s="4">
        <v>0</v>
      </c>
      <c r="S564" s="6">
        <v>0</v>
      </c>
      <c r="T564" s="6">
        <v>36</v>
      </c>
      <c r="U564" s="6">
        <v>81</v>
      </c>
      <c r="V564" s="52">
        <f>IF(ISERROR(VLOOKUP($S$564,'TAR FIN'!$A$1:$O$85,15,0)),0,VLOOKUP($S$564,'TAR FIN'!$A$1:$O$85,15,0))</f>
        <v>0</v>
      </c>
      <c r="W564" s="52">
        <f>IF(ISERROR(VLOOKUP($T$564,'TAR FIN'!$A$1:$O$85,15,0)),0,VLOOKUP($T$564,'TAR FIN'!$A$1:$O$85,15,0))*(1-0.06)</f>
        <v>453.69099999999997</v>
      </c>
      <c r="X564" s="52">
        <f>IF(ISERROR(VLOOKUP($U$564,'TAR FIN'!$A$1:$O$85,15,0)),0,VLOOKUP($U$564,'TAR FIN'!$A$1:$O$85,15,0))*(1-0.06)</f>
        <v>209.68579999999997</v>
      </c>
      <c r="Y564" s="52"/>
      <c r="Z564" s="52">
        <f ca="1">('TUSD BE'!$AM$48+'TUSD BF'!$AM$48+'TUSD CVA'!$AM$48)*1*(1-0.03)</f>
        <v>658.86857529268389</v>
      </c>
      <c r="AA564" s="52">
        <f>('TE BE'!$AB$38+'TE BF'!$AB$38+'TE CVA'!$AB$38)*1*(1-0.03)</f>
        <v>75.619613256969757</v>
      </c>
      <c r="AB564" s="6">
        <f>$K$564*$V$564</f>
        <v>0</v>
      </c>
      <c r="AC564" s="6">
        <f>$M$564*$W$564</f>
        <v>10478.447335999999</v>
      </c>
      <c r="AD564" s="6">
        <f>$O$564*$X$564</f>
        <v>4842.9032367999989</v>
      </c>
      <c r="AE564" s="6">
        <f>$K$564*$Y$564</f>
        <v>0</v>
      </c>
      <c r="AF564" s="6">
        <f ca="1">$M$564*$Z$564</f>
        <v>15217.228614959828</v>
      </c>
      <c r="AG564" s="6">
        <f>$O$564*$AA$564</f>
        <v>1746.5105877829735</v>
      </c>
    </row>
    <row r="565" spans="1:33" ht="11.25" customHeight="1" x14ac:dyDescent="0.3">
      <c r="A565" s="4" t="s">
        <v>21</v>
      </c>
      <c r="B565" s="4" t="s">
        <v>37</v>
      </c>
      <c r="C565" s="4" t="s">
        <v>23</v>
      </c>
      <c r="D565" s="4" t="s">
        <v>48</v>
      </c>
      <c r="E565" s="4" t="s">
        <v>49</v>
      </c>
      <c r="F565" s="4" t="s">
        <v>25</v>
      </c>
      <c r="G565" s="4" t="s">
        <v>25</v>
      </c>
      <c r="H565" s="4" t="s">
        <v>25</v>
      </c>
      <c r="I565" s="5">
        <v>44470</v>
      </c>
      <c r="J565" s="6">
        <v>0</v>
      </c>
      <c r="K565" s="52">
        <v>0</v>
      </c>
      <c r="L565" s="6">
        <v>20.457999999999998</v>
      </c>
      <c r="M565" s="52">
        <v>20.457999999999998</v>
      </c>
      <c r="N565" s="6">
        <v>20.457999999999998</v>
      </c>
      <c r="O565" s="52">
        <v>20.457999999999998</v>
      </c>
      <c r="P565" s="6">
        <v>8</v>
      </c>
      <c r="Q565" s="4" t="s">
        <v>26</v>
      </c>
      <c r="R565" s="4">
        <v>0</v>
      </c>
      <c r="S565" s="6">
        <v>0</v>
      </c>
      <c r="T565" s="6">
        <v>36</v>
      </c>
      <c r="U565" s="6">
        <v>81</v>
      </c>
      <c r="V565" s="52">
        <f>IF(ISERROR(VLOOKUP($S$565,'TAR FIN'!$A$1:$O$85,15,0)),0,VLOOKUP($S$565,'TAR FIN'!$A$1:$O$85,15,0))</f>
        <v>0</v>
      </c>
      <c r="W565" s="52">
        <f>IF(ISERROR(VLOOKUP($T$565,'TAR FIN'!$A$1:$O$85,15,0)),0,VLOOKUP($T$565,'TAR FIN'!$A$1:$O$85,15,0))*(1-0.06)</f>
        <v>453.69099999999997</v>
      </c>
      <c r="X565" s="52">
        <f>IF(ISERROR(VLOOKUP($U$565,'TAR FIN'!$A$1:$O$85,15,0)),0,VLOOKUP($U$565,'TAR FIN'!$A$1:$O$85,15,0))*(1-0.06)</f>
        <v>209.68579999999997</v>
      </c>
      <c r="Y565" s="52"/>
      <c r="Z565" s="52">
        <f ca="1">('TUSD BE'!$AM$48+'TUSD BF'!$AM$48+'TUSD CVA'!$AM$48)*1*(1-0.03)</f>
        <v>658.86857529268389</v>
      </c>
      <c r="AA565" s="52">
        <f>('TE BE'!$AB$38+'TE BF'!$AB$38+'TE CVA'!$AB$38)*1*(1-0.03)</f>
        <v>75.619613256969757</v>
      </c>
      <c r="AB565" s="6">
        <f>$K$565*$V$565</f>
        <v>0</v>
      </c>
      <c r="AC565" s="6">
        <f>$M$565*$W$565</f>
        <v>9281.6104779999987</v>
      </c>
      <c r="AD565" s="6">
        <f>$O$565*$X$565</f>
        <v>4289.7520963999987</v>
      </c>
      <c r="AE565" s="6">
        <f>$K$565*$Y$565</f>
        <v>0</v>
      </c>
      <c r="AF565" s="6">
        <f ca="1">$M$565*$Z$565</f>
        <v>13479.133313337727</v>
      </c>
      <c r="AG565" s="6">
        <f>$O$565*$AA$565</f>
        <v>1547.0260480110871</v>
      </c>
    </row>
    <row r="566" spans="1:33" ht="11.25" customHeight="1" x14ac:dyDescent="0.3">
      <c r="A566" s="4" t="s">
        <v>21</v>
      </c>
      <c r="B566" s="4" t="s">
        <v>37</v>
      </c>
      <c r="C566" s="4" t="s">
        <v>23</v>
      </c>
      <c r="D566" s="4" t="s">
        <v>48</v>
      </c>
      <c r="E566" s="4" t="s">
        <v>49</v>
      </c>
      <c r="F566" s="4" t="s">
        <v>25</v>
      </c>
      <c r="G566" s="4" t="s">
        <v>25</v>
      </c>
      <c r="H566" s="4" t="s">
        <v>25</v>
      </c>
      <c r="I566" s="5">
        <v>44501</v>
      </c>
      <c r="J566" s="6">
        <v>0</v>
      </c>
      <c r="K566" s="52">
        <v>0</v>
      </c>
      <c r="L566" s="6">
        <v>22.648</v>
      </c>
      <c r="M566" s="52">
        <v>22.648</v>
      </c>
      <c r="N566" s="6">
        <v>22.648</v>
      </c>
      <c r="O566" s="52">
        <v>22.648</v>
      </c>
      <c r="P566" s="6">
        <v>8</v>
      </c>
      <c r="Q566" s="4" t="s">
        <v>26</v>
      </c>
      <c r="R566" s="4">
        <v>0</v>
      </c>
      <c r="S566" s="6">
        <v>0</v>
      </c>
      <c r="T566" s="6">
        <v>36</v>
      </c>
      <c r="U566" s="6">
        <v>81</v>
      </c>
      <c r="V566" s="52">
        <f>IF(ISERROR(VLOOKUP($S$566,'TAR FIN'!$A$1:$O$85,15,0)),0,VLOOKUP($S$566,'TAR FIN'!$A$1:$O$85,15,0))</f>
        <v>0</v>
      </c>
      <c r="W566" s="52">
        <f>IF(ISERROR(VLOOKUP($T$566,'TAR FIN'!$A$1:$O$85,15,0)),0,VLOOKUP($T$566,'TAR FIN'!$A$1:$O$85,15,0))*(1-0.06)</f>
        <v>453.69099999999997</v>
      </c>
      <c r="X566" s="52">
        <f>IF(ISERROR(VLOOKUP($U$566,'TAR FIN'!$A$1:$O$85,15,0)),0,VLOOKUP($U$566,'TAR FIN'!$A$1:$O$85,15,0))*(1-0.06)</f>
        <v>209.68579999999997</v>
      </c>
      <c r="Y566" s="52"/>
      <c r="Z566" s="52">
        <f ca="1">('TUSD BE'!$AM$48+'TUSD BF'!$AM$48+'TUSD CVA'!$AM$48)*1*(1-0.03)</f>
        <v>658.86857529268389</v>
      </c>
      <c r="AA566" s="52">
        <f>('TE BE'!$AB$38+'TE BF'!$AB$38+'TE CVA'!$AB$38)*1*(1-0.03)</f>
        <v>75.619613256969757</v>
      </c>
      <c r="AB566" s="6">
        <f>$K$566*$V$566</f>
        <v>0</v>
      </c>
      <c r="AC566" s="6">
        <f>$M$566*$W$566</f>
        <v>10275.193767999999</v>
      </c>
      <c r="AD566" s="6">
        <f>$O$566*$X$566</f>
        <v>4748.9639983999996</v>
      </c>
      <c r="AE566" s="6">
        <f>$K$566*$Y$566</f>
        <v>0</v>
      </c>
      <c r="AF566" s="6">
        <f ca="1">$M$566*$Z$566</f>
        <v>14922.055493228705</v>
      </c>
      <c r="AG566" s="6">
        <f>$O$566*$AA$566</f>
        <v>1712.633001043851</v>
      </c>
    </row>
    <row r="567" spans="1:33" ht="11.25" customHeight="1" x14ac:dyDescent="0.3">
      <c r="A567" s="4" t="s">
        <v>21</v>
      </c>
      <c r="B567" s="4" t="s">
        <v>37</v>
      </c>
      <c r="C567" s="4" t="s">
        <v>23</v>
      </c>
      <c r="D567" s="4" t="s">
        <v>48</v>
      </c>
      <c r="E567" s="4" t="s">
        <v>49</v>
      </c>
      <c r="F567" s="4" t="s">
        <v>25</v>
      </c>
      <c r="G567" s="4" t="s">
        <v>25</v>
      </c>
      <c r="H567" s="4" t="s">
        <v>25</v>
      </c>
      <c r="I567" s="5">
        <v>44531</v>
      </c>
      <c r="J567" s="6">
        <v>0</v>
      </c>
      <c r="K567" s="52">
        <v>0</v>
      </c>
      <c r="L567" s="6">
        <v>21.591000000000001</v>
      </c>
      <c r="M567" s="52">
        <v>21.591000000000001</v>
      </c>
      <c r="N567" s="6">
        <v>21.591000000000001</v>
      </c>
      <c r="O567" s="52">
        <v>21.591000000000001</v>
      </c>
      <c r="P567" s="6">
        <v>8</v>
      </c>
      <c r="Q567" s="4" t="s">
        <v>26</v>
      </c>
      <c r="R567" s="4">
        <v>0</v>
      </c>
      <c r="S567" s="6">
        <v>0</v>
      </c>
      <c r="T567" s="6">
        <v>36</v>
      </c>
      <c r="U567" s="6">
        <v>81</v>
      </c>
      <c r="V567" s="52">
        <f>IF(ISERROR(VLOOKUP($S$567,'TAR FIN'!$A$1:$O$85,15,0)),0,VLOOKUP($S$567,'TAR FIN'!$A$1:$O$85,15,0))</f>
        <v>0</v>
      </c>
      <c r="W567" s="52">
        <f>IF(ISERROR(VLOOKUP($T$567,'TAR FIN'!$A$1:$O$85,15,0)),0,VLOOKUP($T$567,'TAR FIN'!$A$1:$O$85,15,0))*(1-0.06)</f>
        <v>453.69099999999997</v>
      </c>
      <c r="X567" s="52">
        <f>IF(ISERROR(VLOOKUP($U$567,'TAR FIN'!$A$1:$O$85,15,0)),0,VLOOKUP($U$567,'TAR FIN'!$A$1:$O$85,15,0))*(1-0.06)</f>
        <v>209.68579999999997</v>
      </c>
      <c r="Y567" s="52"/>
      <c r="Z567" s="52">
        <f ca="1">('TUSD BE'!$AM$48+'TUSD BF'!$AM$48+'TUSD CVA'!$AM$48)*1*(1-0.03)</f>
        <v>658.86857529268389</v>
      </c>
      <c r="AA567" s="52">
        <f>('TE BE'!$AB$38+'TE BF'!$AB$38+'TE CVA'!$AB$38)*1*(1-0.03)</f>
        <v>75.619613256969757</v>
      </c>
      <c r="AB567" s="6">
        <f>$K$567*$V$567</f>
        <v>0</v>
      </c>
      <c r="AC567" s="6">
        <f>$M$567*$W$567</f>
        <v>9795.6423809999997</v>
      </c>
      <c r="AD567" s="6">
        <f>$O$567*$X$567</f>
        <v>4527.3261077999996</v>
      </c>
      <c r="AE567" s="6">
        <f>$K$567*$Y$567</f>
        <v>0</v>
      </c>
      <c r="AF567" s="6">
        <f ca="1">$M$567*$Z$567</f>
        <v>14225.631409144338</v>
      </c>
      <c r="AG567" s="6">
        <f>$O$567*$AA$567</f>
        <v>1632.7030698312342</v>
      </c>
    </row>
    <row r="568" spans="1:33" ht="11.25" customHeight="1" x14ac:dyDescent="0.3">
      <c r="A568" s="4" t="s">
        <v>21</v>
      </c>
      <c r="B568" s="4" t="s">
        <v>37</v>
      </c>
      <c r="C568" s="4" t="s">
        <v>23</v>
      </c>
      <c r="D568" s="4" t="s">
        <v>48</v>
      </c>
      <c r="E568" s="4" t="s">
        <v>49</v>
      </c>
      <c r="F568" s="4" t="s">
        <v>25</v>
      </c>
      <c r="G568" s="4" t="s">
        <v>25</v>
      </c>
      <c r="H568" s="4" t="s">
        <v>25</v>
      </c>
      <c r="I568" s="5">
        <v>44562</v>
      </c>
      <c r="J568" s="6">
        <v>0</v>
      </c>
      <c r="K568" s="52">
        <v>0</v>
      </c>
      <c r="L568" s="6">
        <v>29.577000000000002</v>
      </c>
      <c r="M568" s="52">
        <v>29.577000000000002</v>
      </c>
      <c r="N568" s="6">
        <v>29.577000000000002</v>
      </c>
      <c r="O568" s="52">
        <v>29.577000000000002</v>
      </c>
      <c r="P568" s="6">
        <v>8</v>
      </c>
      <c r="Q568" s="4" t="s">
        <v>26</v>
      </c>
      <c r="R568" s="4">
        <v>0</v>
      </c>
      <c r="S568" s="6">
        <v>0</v>
      </c>
      <c r="T568" s="6">
        <v>36</v>
      </c>
      <c r="U568" s="6">
        <v>81</v>
      </c>
      <c r="V568" s="52">
        <f>IF(ISERROR(VLOOKUP($S$568,'TAR FIN'!$A$1:$O$85,15,0)),0,VLOOKUP($S$568,'TAR FIN'!$A$1:$O$85,15,0))</f>
        <v>0</v>
      </c>
      <c r="W568" s="52">
        <f>IF(ISERROR(VLOOKUP($T$568,'TAR FIN'!$A$1:$O$85,15,0)),0,VLOOKUP($T$568,'TAR FIN'!$A$1:$O$85,15,0))*(1-0.06)</f>
        <v>453.69099999999997</v>
      </c>
      <c r="X568" s="52">
        <f>IF(ISERROR(VLOOKUP($U$568,'TAR FIN'!$A$1:$O$85,15,0)),0,VLOOKUP($U$568,'TAR FIN'!$A$1:$O$85,15,0))*(1-0.06)</f>
        <v>209.68579999999997</v>
      </c>
      <c r="Y568" s="52"/>
      <c r="Z568" s="52">
        <f ca="1">('TUSD BE'!$AM$48+'TUSD BF'!$AM$48+'TUSD CVA'!$AM$48)*1*(1-0.03)</f>
        <v>658.86857529268389</v>
      </c>
      <c r="AA568" s="52">
        <f>('TE BE'!$AB$38+'TE BF'!$AB$38+'TE CVA'!$AB$38)*1*(1-0.03)</f>
        <v>75.619613256969757</v>
      </c>
      <c r="AB568" s="6">
        <f>$K$568*$V$568</f>
        <v>0</v>
      </c>
      <c r="AC568" s="6">
        <f>$M$568*$W$568</f>
        <v>13418.818707</v>
      </c>
      <c r="AD568" s="6">
        <f>$O$568*$X$568</f>
        <v>6201.8769065999995</v>
      </c>
      <c r="AE568" s="6">
        <f>$K$568*$Y$568</f>
        <v>0</v>
      </c>
      <c r="AF568" s="6">
        <f ca="1">$M$568*$Z$568</f>
        <v>19487.355851431712</v>
      </c>
      <c r="AG568" s="6">
        <f>$O$568*$AA$568</f>
        <v>2236.6013013013944</v>
      </c>
    </row>
    <row r="569" spans="1:33" ht="11.25" customHeight="1" x14ac:dyDescent="0.3">
      <c r="A569" s="4" t="s">
        <v>21</v>
      </c>
      <c r="B569" s="4" t="s">
        <v>37</v>
      </c>
      <c r="C569" s="4" t="s">
        <v>23</v>
      </c>
      <c r="D569" s="4" t="s">
        <v>48</v>
      </c>
      <c r="E569" s="4" t="s">
        <v>49</v>
      </c>
      <c r="F569" s="4" t="s">
        <v>25</v>
      </c>
      <c r="G569" s="4" t="s">
        <v>25</v>
      </c>
      <c r="H569" s="4" t="s">
        <v>25</v>
      </c>
      <c r="I569" s="5">
        <v>44593</v>
      </c>
      <c r="J569" s="6">
        <v>0</v>
      </c>
      <c r="K569" s="52">
        <v>0</v>
      </c>
      <c r="L569" s="6">
        <v>32.270000000000003</v>
      </c>
      <c r="M569" s="52">
        <v>32.270000000000003</v>
      </c>
      <c r="N569" s="6">
        <v>32.270000000000003</v>
      </c>
      <c r="O569" s="52">
        <v>32.270000000000003</v>
      </c>
      <c r="P569" s="6">
        <v>8</v>
      </c>
      <c r="Q569" s="4" t="s">
        <v>26</v>
      </c>
      <c r="R569" s="4">
        <v>0</v>
      </c>
      <c r="S569" s="6">
        <v>0</v>
      </c>
      <c r="T569" s="6">
        <v>36</v>
      </c>
      <c r="U569" s="6">
        <v>81</v>
      </c>
      <c r="V569" s="52">
        <f>IF(ISERROR(VLOOKUP($S$569,'TAR FIN'!$A$1:$O$85,15,0)),0,VLOOKUP($S$569,'TAR FIN'!$A$1:$O$85,15,0))</f>
        <v>0</v>
      </c>
      <c r="W569" s="52">
        <f>IF(ISERROR(VLOOKUP($T$569,'TAR FIN'!$A$1:$O$85,15,0)),0,VLOOKUP($T$569,'TAR FIN'!$A$1:$O$85,15,0))*(1-0.06)</f>
        <v>453.69099999999997</v>
      </c>
      <c r="X569" s="52">
        <f>IF(ISERROR(VLOOKUP($U$569,'TAR FIN'!$A$1:$O$85,15,0)),0,VLOOKUP($U$569,'TAR FIN'!$A$1:$O$85,15,0))*(1-0.06)</f>
        <v>209.68579999999997</v>
      </c>
      <c r="Y569" s="52"/>
      <c r="Z569" s="52">
        <f ca="1">('TUSD BE'!$AM$48+'TUSD BF'!$AM$48+'TUSD CVA'!$AM$48)*1*(1-0.03)</f>
        <v>658.86857529268389</v>
      </c>
      <c r="AA569" s="52">
        <f>('TE BE'!$AB$38+'TE BF'!$AB$38+'TE CVA'!$AB$38)*1*(1-0.03)</f>
        <v>75.619613256969757</v>
      </c>
      <c r="AB569" s="6">
        <f>$K$569*$V$569</f>
        <v>0</v>
      </c>
      <c r="AC569" s="6">
        <f>$M$569*$W$569</f>
        <v>14640.60857</v>
      </c>
      <c r="AD569" s="6">
        <f>$O$569*$X$569</f>
        <v>6766.5607659999996</v>
      </c>
      <c r="AE569" s="6">
        <f>$K$569*$Y$569</f>
        <v>0</v>
      </c>
      <c r="AF569" s="6">
        <f ca="1">$M$569*$Z$569</f>
        <v>21261.68892469491</v>
      </c>
      <c r="AG569" s="6">
        <f>$O$569*$AA$569</f>
        <v>2440.2449198024142</v>
      </c>
    </row>
    <row r="570" spans="1:33" ht="11.25" customHeight="1" x14ac:dyDescent="0.3">
      <c r="A570" s="4" t="s">
        <v>21</v>
      </c>
      <c r="B570" s="4" t="s">
        <v>37</v>
      </c>
      <c r="C570" s="4" t="s">
        <v>23</v>
      </c>
      <c r="D570" s="4" t="s">
        <v>48</v>
      </c>
      <c r="E570" s="4" t="s">
        <v>49</v>
      </c>
      <c r="F570" s="4" t="s">
        <v>25</v>
      </c>
      <c r="G570" s="4" t="s">
        <v>25</v>
      </c>
      <c r="H570" s="4" t="s">
        <v>25</v>
      </c>
      <c r="I570" s="5">
        <v>44621</v>
      </c>
      <c r="J570" s="6">
        <v>0</v>
      </c>
      <c r="K570" s="52">
        <v>0</v>
      </c>
      <c r="L570" s="6">
        <v>30.125</v>
      </c>
      <c r="M570" s="52">
        <v>30.125</v>
      </c>
      <c r="N570" s="6">
        <v>30.125</v>
      </c>
      <c r="O570" s="52">
        <v>30.125</v>
      </c>
      <c r="P570" s="6">
        <v>8</v>
      </c>
      <c r="Q570" s="4" t="s">
        <v>26</v>
      </c>
      <c r="R570" s="4">
        <v>0</v>
      </c>
      <c r="S570" s="6">
        <v>0</v>
      </c>
      <c r="T570" s="6">
        <v>36</v>
      </c>
      <c r="U570" s="6">
        <v>81</v>
      </c>
      <c r="V570" s="52">
        <f>IF(ISERROR(VLOOKUP($S$570,'TAR FIN'!$A$1:$O$85,15,0)),0,VLOOKUP($S$570,'TAR FIN'!$A$1:$O$85,15,0))</f>
        <v>0</v>
      </c>
      <c r="W570" s="52">
        <f>IF(ISERROR(VLOOKUP($T$570,'TAR FIN'!$A$1:$O$85,15,0)),0,VLOOKUP($T$570,'TAR FIN'!$A$1:$O$85,15,0))*(1-0.06)</f>
        <v>453.69099999999997</v>
      </c>
      <c r="X570" s="52">
        <f>IF(ISERROR(VLOOKUP($U$570,'TAR FIN'!$A$1:$O$85,15,0)),0,VLOOKUP($U$570,'TAR FIN'!$A$1:$O$85,15,0))*(1-0.06)</f>
        <v>209.68579999999997</v>
      </c>
      <c r="Y570" s="52"/>
      <c r="Z570" s="52">
        <f ca="1">('TUSD BE'!$AM$48+'TUSD BF'!$AM$48+'TUSD CVA'!$AM$48)*1*(1-0.03)</f>
        <v>658.86857529268389</v>
      </c>
      <c r="AA570" s="52">
        <f>('TE BE'!$AB$38+'TE BF'!$AB$38+'TE CVA'!$AB$38)*1*(1-0.03)</f>
        <v>75.619613256969757</v>
      </c>
      <c r="AB570" s="6">
        <f>$K$570*$V$570</f>
        <v>0</v>
      </c>
      <c r="AC570" s="6">
        <f>$M$570*$W$570</f>
        <v>13667.441374999999</v>
      </c>
      <c r="AD570" s="6">
        <f>$O$570*$X$570</f>
        <v>6316.7847249999995</v>
      </c>
      <c r="AE570" s="6">
        <f>$K$570*$Y$570</f>
        <v>0</v>
      </c>
      <c r="AF570" s="6">
        <f ca="1">$M$570*$Z$570</f>
        <v>19848.415830692102</v>
      </c>
      <c r="AG570" s="6">
        <f>$O$570*$AA$570</f>
        <v>2278.0408493662139</v>
      </c>
    </row>
    <row r="571" spans="1:33" ht="11.25" customHeight="1" x14ac:dyDescent="0.3">
      <c r="A571" s="4" t="s">
        <v>21</v>
      </c>
      <c r="B571" s="4" t="s">
        <v>37</v>
      </c>
      <c r="C571" s="4" t="s">
        <v>23</v>
      </c>
      <c r="D571" s="4" t="s">
        <v>48</v>
      </c>
      <c r="E571" s="4" t="s">
        <v>49</v>
      </c>
      <c r="F571" s="4" t="s">
        <v>25</v>
      </c>
      <c r="G571" s="4" t="s">
        <v>25</v>
      </c>
      <c r="H571" s="4" t="s">
        <v>25</v>
      </c>
      <c r="I571" s="5">
        <v>44652</v>
      </c>
      <c r="J571" s="6">
        <v>0</v>
      </c>
      <c r="K571" s="52">
        <v>0</v>
      </c>
      <c r="L571" s="6">
        <v>24.422999999999998</v>
      </c>
      <c r="M571" s="52">
        <v>24.422999999999998</v>
      </c>
      <c r="N571" s="6">
        <v>24.422999999999998</v>
      </c>
      <c r="O571" s="52">
        <v>24.422999999999998</v>
      </c>
      <c r="P571" s="6">
        <v>8</v>
      </c>
      <c r="Q571" s="4" t="s">
        <v>26</v>
      </c>
      <c r="R571" s="4">
        <v>0</v>
      </c>
      <c r="S571" s="6">
        <v>0</v>
      </c>
      <c r="T571" s="6">
        <v>36</v>
      </c>
      <c r="U571" s="6">
        <v>81</v>
      </c>
      <c r="V571" s="52">
        <f>IF(ISERROR(VLOOKUP($S$571,'TAR FIN'!$A$1:$O$85,15,0)),0,VLOOKUP($S$571,'TAR FIN'!$A$1:$O$85,15,0))</f>
        <v>0</v>
      </c>
      <c r="W571" s="52">
        <f>IF(ISERROR(VLOOKUP($T$571,'TAR FIN'!$A$1:$O$85,15,0)),0,VLOOKUP($T$571,'TAR FIN'!$A$1:$O$85,15,0))*(1-0.06)</f>
        <v>453.69099999999997</v>
      </c>
      <c r="X571" s="52">
        <f>IF(ISERROR(VLOOKUP($U$571,'TAR FIN'!$A$1:$O$85,15,0)),0,VLOOKUP($U$571,'TAR FIN'!$A$1:$O$85,15,0))*(1-0.06)</f>
        <v>209.68579999999997</v>
      </c>
      <c r="Y571" s="52"/>
      <c r="Z571" s="52">
        <f ca="1">('TUSD BE'!$AM$48+'TUSD BF'!$AM$48+'TUSD CVA'!$AM$48)*1*(1-0.03)</f>
        <v>658.86857529268389</v>
      </c>
      <c r="AA571" s="52">
        <f>('TE BE'!$AB$38+'TE BF'!$AB$38+'TE CVA'!$AB$38)*1*(1-0.03)</f>
        <v>75.619613256969757</v>
      </c>
      <c r="AB571" s="6">
        <f>$K$571*$V$571</f>
        <v>0</v>
      </c>
      <c r="AC571" s="6">
        <f>$M$571*$W$571</f>
        <v>11080.495292999998</v>
      </c>
      <c r="AD571" s="6">
        <f>$O$571*$X$571</f>
        <v>5121.1562933999985</v>
      </c>
      <c r="AE571" s="6">
        <f>$K$571*$Y$571</f>
        <v>0</v>
      </c>
      <c r="AF571" s="6">
        <f ca="1">$M$571*$Z$571</f>
        <v>16091.547214373217</v>
      </c>
      <c r="AG571" s="6">
        <f>$O$571*$AA$571</f>
        <v>1846.8578145749723</v>
      </c>
    </row>
    <row r="572" spans="1:33" ht="11.25" customHeight="1" x14ac:dyDescent="0.3">
      <c r="A572" s="4" t="s">
        <v>21</v>
      </c>
      <c r="B572" s="4" t="s">
        <v>37</v>
      </c>
      <c r="C572" s="4" t="s">
        <v>23</v>
      </c>
      <c r="D572" s="4" t="s">
        <v>48</v>
      </c>
      <c r="E572" s="4" t="s">
        <v>49</v>
      </c>
      <c r="F572" s="4" t="s">
        <v>25</v>
      </c>
      <c r="G572" s="4" t="s">
        <v>25</v>
      </c>
      <c r="H572" s="4" t="s">
        <v>25</v>
      </c>
      <c r="I572" s="5">
        <v>44682</v>
      </c>
      <c r="J572" s="6">
        <v>0</v>
      </c>
      <c r="K572" s="52">
        <v>0</v>
      </c>
      <c r="L572" s="6">
        <v>25.241</v>
      </c>
      <c r="M572" s="52">
        <v>25.241</v>
      </c>
      <c r="N572" s="6">
        <v>25.241</v>
      </c>
      <c r="O572" s="52">
        <v>25.241</v>
      </c>
      <c r="P572" s="6">
        <v>8</v>
      </c>
      <c r="Q572" s="4" t="s">
        <v>26</v>
      </c>
      <c r="R572" s="4">
        <v>0</v>
      </c>
      <c r="S572" s="6">
        <v>0</v>
      </c>
      <c r="T572" s="6">
        <v>36</v>
      </c>
      <c r="U572" s="6">
        <v>81</v>
      </c>
      <c r="V572" s="52">
        <f>IF(ISERROR(VLOOKUP($S$572,'TAR FIN'!$A$1:$O$85,15,0)),0,VLOOKUP($S$572,'TAR FIN'!$A$1:$O$85,15,0))</f>
        <v>0</v>
      </c>
      <c r="W572" s="52">
        <f>IF(ISERROR(VLOOKUP($T$572,'TAR FIN'!$A$1:$O$85,15,0)),0,VLOOKUP($T$572,'TAR FIN'!$A$1:$O$85,15,0))*(1-0.06)</f>
        <v>453.69099999999997</v>
      </c>
      <c r="X572" s="52">
        <f>IF(ISERROR(VLOOKUP($U$572,'TAR FIN'!$A$1:$O$85,15,0)),0,VLOOKUP($U$572,'TAR FIN'!$A$1:$O$85,15,0))*(1-0.06)</f>
        <v>209.68579999999997</v>
      </c>
      <c r="Y572" s="52"/>
      <c r="Z572" s="52">
        <f ca="1">('TUSD BE'!$AM$48+'TUSD BF'!$AM$48+'TUSD CVA'!$AM$48)*1*(1-0.03)</f>
        <v>658.86857529268389</v>
      </c>
      <c r="AA572" s="52">
        <f>('TE BE'!$AB$38+'TE BF'!$AB$38+'TE CVA'!$AB$38)*1*(1-0.03)</f>
        <v>75.619613256969757</v>
      </c>
      <c r="AB572" s="6">
        <f>$K$572*$V$572</f>
        <v>0</v>
      </c>
      <c r="AC572" s="6">
        <f>$M$572*$W$572</f>
        <v>11451.614530999999</v>
      </c>
      <c r="AD572" s="6">
        <f>$O$572*$X$572</f>
        <v>5292.679277799999</v>
      </c>
      <c r="AE572" s="6">
        <f>$K$572*$Y$572</f>
        <v>0</v>
      </c>
      <c r="AF572" s="6">
        <f ca="1">$M$572*$Z$572</f>
        <v>16630.501708962634</v>
      </c>
      <c r="AG572" s="6">
        <f>$O$572*$AA$572</f>
        <v>1908.7146582191735</v>
      </c>
    </row>
    <row r="573" spans="1:33" ht="11.25" customHeight="1" x14ac:dyDescent="0.3">
      <c r="A573" s="4" t="s">
        <v>21</v>
      </c>
      <c r="B573" s="4" t="s">
        <v>37</v>
      </c>
      <c r="C573" s="4" t="s">
        <v>23</v>
      </c>
      <c r="D573" s="4" t="s">
        <v>48</v>
      </c>
      <c r="E573" s="4" t="s">
        <v>49</v>
      </c>
      <c r="F573" s="4" t="s">
        <v>25</v>
      </c>
      <c r="G573" s="4" t="s">
        <v>25</v>
      </c>
      <c r="H573" s="4" t="s">
        <v>25</v>
      </c>
      <c r="I573" s="5">
        <v>44713</v>
      </c>
      <c r="J573" s="6">
        <v>0</v>
      </c>
      <c r="K573" s="52">
        <v>0</v>
      </c>
      <c r="L573" s="6">
        <v>22.896999999999998</v>
      </c>
      <c r="M573" s="52">
        <v>22.896999999999998</v>
      </c>
      <c r="N573" s="6">
        <v>22.896999999999998</v>
      </c>
      <c r="O573" s="52">
        <v>22.896999999999998</v>
      </c>
      <c r="P573" s="6">
        <v>8</v>
      </c>
      <c r="Q573" s="4" t="s">
        <v>26</v>
      </c>
      <c r="R573" s="4">
        <v>0</v>
      </c>
      <c r="S573" s="6">
        <v>0</v>
      </c>
      <c r="T573" s="6">
        <v>36</v>
      </c>
      <c r="U573" s="6">
        <v>81</v>
      </c>
      <c r="V573" s="52">
        <f>IF(ISERROR(VLOOKUP($S$573,'TAR FIN'!$A$1:$O$85,15,0)),0,VLOOKUP($S$573,'TAR FIN'!$A$1:$O$85,15,0))</f>
        <v>0</v>
      </c>
      <c r="W573" s="52">
        <f>IF(ISERROR(VLOOKUP($T$573,'TAR FIN'!$A$1:$O$85,15,0)),0,VLOOKUP($T$573,'TAR FIN'!$A$1:$O$85,15,0))*(1-0.06)</f>
        <v>453.69099999999997</v>
      </c>
      <c r="X573" s="52">
        <f>IF(ISERROR(VLOOKUP($U$573,'TAR FIN'!$A$1:$O$85,15,0)),0,VLOOKUP($U$573,'TAR FIN'!$A$1:$O$85,15,0))*(1-0.06)</f>
        <v>209.68579999999997</v>
      </c>
      <c r="Y573" s="52"/>
      <c r="Z573" s="52">
        <f ca="1">('TUSD BE'!$AM$48+'TUSD BF'!$AM$48+'TUSD CVA'!$AM$48)*1*(1-0.03)</f>
        <v>658.86857529268389</v>
      </c>
      <c r="AA573" s="52">
        <f>('TE BE'!$AB$38+'TE BF'!$AB$38+'TE CVA'!$AB$38)*1*(1-0.03)</f>
        <v>75.619613256969757</v>
      </c>
      <c r="AB573" s="6">
        <f>$K$573*$V$573</f>
        <v>0</v>
      </c>
      <c r="AC573" s="6">
        <f>$M$573*$W$573</f>
        <v>10388.162826999998</v>
      </c>
      <c r="AD573" s="6">
        <f>$O$573*$X$573</f>
        <v>4801.175762599999</v>
      </c>
      <c r="AE573" s="6">
        <f>$K$573*$Y$573</f>
        <v>0</v>
      </c>
      <c r="AF573" s="6">
        <f ca="1">$M$573*$Z$573</f>
        <v>15086.113768476582</v>
      </c>
      <c r="AG573" s="6">
        <f>$O$573*$AA$573</f>
        <v>1731.4622847448363</v>
      </c>
    </row>
    <row r="574" spans="1:33" ht="11.25" customHeight="1" x14ac:dyDescent="0.3">
      <c r="A574" s="4" t="s">
        <v>21</v>
      </c>
      <c r="B574" s="4" t="s">
        <v>37</v>
      </c>
      <c r="C574" s="4" t="s">
        <v>23</v>
      </c>
      <c r="D574" s="4" t="s">
        <v>48</v>
      </c>
      <c r="E574" s="4" t="s">
        <v>49</v>
      </c>
      <c r="F574" s="4" t="s">
        <v>25</v>
      </c>
      <c r="G574" s="4" t="s">
        <v>25</v>
      </c>
      <c r="H574" s="4" t="s">
        <v>25</v>
      </c>
      <c r="I574" s="5">
        <v>44743</v>
      </c>
      <c r="J574" s="6">
        <v>0</v>
      </c>
      <c r="K574" s="52">
        <v>0</v>
      </c>
      <c r="L574" s="6">
        <v>19.231999999999999</v>
      </c>
      <c r="M574" s="52">
        <v>19.231999999999999</v>
      </c>
      <c r="N574" s="6">
        <v>19.231999999999999</v>
      </c>
      <c r="O574" s="52">
        <v>19.231999999999999</v>
      </c>
      <c r="P574" s="6">
        <v>8</v>
      </c>
      <c r="Q574" s="4" t="s">
        <v>26</v>
      </c>
      <c r="R574" s="4">
        <v>0</v>
      </c>
      <c r="S574" s="6">
        <v>0</v>
      </c>
      <c r="T574" s="6">
        <v>36</v>
      </c>
      <c r="U574" s="6">
        <v>81</v>
      </c>
      <c r="V574" s="52">
        <f>IF(ISERROR(VLOOKUP($S$574,'TAR FIN'!$A$1:$O$85,15,0)),0,VLOOKUP($S$574,'TAR FIN'!$A$1:$O$85,15,0))</f>
        <v>0</v>
      </c>
      <c r="W574" s="52">
        <f>IF(ISERROR(VLOOKUP($T$574,'TAR FIN'!$A$1:$O$85,15,0)),0,VLOOKUP($T$574,'TAR FIN'!$A$1:$O$85,15,0))*(1-0.06)</f>
        <v>453.69099999999997</v>
      </c>
      <c r="X574" s="52">
        <f>IF(ISERROR(VLOOKUP($U$574,'TAR FIN'!$A$1:$O$85,15,0)),0,VLOOKUP($U$574,'TAR FIN'!$A$1:$O$85,15,0))*(1-0.06)</f>
        <v>209.68579999999997</v>
      </c>
      <c r="Y574" s="52"/>
      <c r="Z574" s="52">
        <f ca="1">('TUSD BE'!$AM$48+'TUSD BF'!$AM$48+'TUSD CVA'!$AM$48)*1*(1-0.03)</f>
        <v>658.86857529268389</v>
      </c>
      <c r="AA574" s="52">
        <f>('TE BE'!$AB$38+'TE BF'!$AB$38+'TE CVA'!$AB$38)*1*(1-0.03)</f>
        <v>75.619613256969757</v>
      </c>
      <c r="AB574" s="6">
        <f>$K$574*$V$574</f>
        <v>0</v>
      </c>
      <c r="AC574" s="6">
        <f>$M$574*$W$574</f>
        <v>8725.3853119999985</v>
      </c>
      <c r="AD574" s="6">
        <f>$O$574*$X$574</f>
        <v>4032.6773055999993</v>
      </c>
      <c r="AE574" s="6">
        <f>$K$574*$Y$574</f>
        <v>0</v>
      </c>
      <c r="AF574" s="6">
        <f ca="1">$M$574*$Z$574</f>
        <v>12671.360440028897</v>
      </c>
      <c r="AG574" s="6">
        <f>$O$574*$AA$574</f>
        <v>1454.3164021580424</v>
      </c>
    </row>
    <row r="575" spans="1:33" ht="11.25" customHeight="1" x14ac:dyDescent="0.3">
      <c r="A575" s="4" t="s">
        <v>21</v>
      </c>
      <c r="B575" s="4" t="s">
        <v>37</v>
      </c>
      <c r="C575" s="4" t="s">
        <v>23</v>
      </c>
      <c r="D575" s="4" t="s">
        <v>48</v>
      </c>
      <c r="E575" s="4" t="s">
        <v>49</v>
      </c>
      <c r="F575" s="4" t="s">
        <v>25</v>
      </c>
      <c r="G575" s="4" t="s">
        <v>25</v>
      </c>
      <c r="H575" s="4" t="s">
        <v>25</v>
      </c>
      <c r="I575" s="5">
        <v>44774</v>
      </c>
      <c r="J575" s="6">
        <v>0</v>
      </c>
      <c r="K575" s="52">
        <v>0</v>
      </c>
      <c r="L575" s="6">
        <v>24.995999999999999</v>
      </c>
      <c r="M575" s="52">
        <v>24.995999999999999</v>
      </c>
      <c r="N575" s="6">
        <v>24.995999999999999</v>
      </c>
      <c r="O575" s="52">
        <v>24.995999999999999</v>
      </c>
      <c r="P575" s="6">
        <v>8</v>
      </c>
      <c r="Q575" s="4" t="s">
        <v>26</v>
      </c>
      <c r="R575" s="4">
        <v>0</v>
      </c>
      <c r="S575" s="6">
        <v>0</v>
      </c>
      <c r="T575" s="6">
        <v>36</v>
      </c>
      <c r="U575" s="6">
        <v>81</v>
      </c>
      <c r="V575" s="52">
        <f>IF(ISERROR(VLOOKUP($S$575,'TAR FIN'!$A$1:$O$85,15,0)),0,VLOOKUP($S$575,'TAR FIN'!$A$1:$O$85,15,0))</f>
        <v>0</v>
      </c>
      <c r="W575" s="52">
        <f>IF(ISERROR(VLOOKUP($T$575,'TAR FIN'!$A$1:$O$85,15,0)),0,VLOOKUP($T$575,'TAR FIN'!$A$1:$O$85,15,0))*(1-0.06)</f>
        <v>453.69099999999997</v>
      </c>
      <c r="X575" s="52">
        <f>IF(ISERROR(VLOOKUP($U$575,'TAR FIN'!$A$1:$O$85,15,0)),0,VLOOKUP($U$575,'TAR FIN'!$A$1:$O$85,15,0))*(1-0.06)</f>
        <v>209.68579999999997</v>
      </c>
      <c r="Y575" s="52"/>
      <c r="Z575" s="52">
        <f ca="1">('TUSD BE'!$AM$48+'TUSD BF'!$AM$48+'TUSD CVA'!$AM$48)*1*(1-0.03)</f>
        <v>658.86857529268389</v>
      </c>
      <c r="AA575" s="52">
        <f>('TE BE'!$AB$38+'TE BF'!$AB$38+'TE CVA'!$AB$38)*1*(1-0.03)</f>
        <v>75.619613256969757</v>
      </c>
      <c r="AB575" s="6">
        <f>$K$575*$V$575</f>
        <v>0</v>
      </c>
      <c r="AC575" s="6">
        <f>$M$575*$W$575</f>
        <v>11340.460235999999</v>
      </c>
      <c r="AD575" s="6">
        <f>$O$575*$X$575</f>
        <v>5241.3062567999987</v>
      </c>
      <c r="AE575" s="6">
        <f>$K$575*$Y$575</f>
        <v>0</v>
      </c>
      <c r="AF575" s="6">
        <f ca="1">$M$575*$Z$575</f>
        <v>16469.078908015927</v>
      </c>
      <c r="AG575" s="6">
        <f>$O$575*$AA$575</f>
        <v>1890.187852971216</v>
      </c>
    </row>
    <row r="576" spans="1:33" ht="11.25" customHeight="1" x14ac:dyDescent="0.3">
      <c r="A576" s="4" t="s">
        <v>21</v>
      </c>
      <c r="B576" s="4" t="s">
        <v>45</v>
      </c>
      <c r="C576" s="4" t="s">
        <v>23</v>
      </c>
      <c r="D576" s="4" t="s">
        <v>46</v>
      </c>
      <c r="E576" s="4" t="s">
        <v>47</v>
      </c>
      <c r="F576" s="4" t="s">
        <v>25</v>
      </c>
      <c r="G576" s="4" t="s">
        <v>25</v>
      </c>
      <c r="H576" s="4" t="s">
        <v>25</v>
      </c>
      <c r="I576" s="5">
        <v>44440</v>
      </c>
      <c r="J576" s="6">
        <v>0</v>
      </c>
      <c r="K576" s="6">
        <v>0</v>
      </c>
      <c r="L576" s="6">
        <v>308.06400000000002</v>
      </c>
      <c r="M576" s="6">
        <v>308.06400000000002</v>
      </c>
      <c r="N576" s="6">
        <v>308.06400000000002</v>
      </c>
      <c r="O576" s="6">
        <v>308.06400000000002</v>
      </c>
      <c r="P576" s="6">
        <v>3</v>
      </c>
      <c r="Q576" s="4" t="s">
        <v>26</v>
      </c>
      <c r="R576" s="4">
        <v>0</v>
      </c>
      <c r="S576" s="6">
        <v>0</v>
      </c>
      <c r="T576" s="6">
        <v>47</v>
      </c>
      <c r="U576" s="6">
        <v>83</v>
      </c>
      <c r="V576" s="6">
        <f>IF(ISERROR(VLOOKUP($S$576,'TAR FIN'!$A$1:$O$85,15,0)),0,VLOOKUP($S$576,'TAR FIN'!$A$1:$O$85,15,0))</f>
        <v>0</v>
      </c>
      <c r="W576" s="6">
        <f>IF(ISERROR(VLOOKUP($T$576,'TAR FIN'!$A$1:$O$85,15,0)),0,VLOOKUP($T$576,'TAR FIN'!$A$1:$O$85,15,0))</f>
        <v>289.58999999999997</v>
      </c>
      <c r="X576" s="6">
        <f>IF(ISERROR(VLOOKUP($U$576,'TAR FIN'!$A$1:$O$85,15,0)),0,VLOOKUP($U$576,'TAR FIN'!$A$1:$O$85,15,0))</f>
        <v>133.84</v>
      </c>
      <c r="Y576" s="6"/>
      <c r="Z576" s="6">
        <f ca="1">('TUSD BE'!$AM$51+'TUSD BF'!$AM$51+'TUSD CVA'!$AM$51)*1</f>
        <v>407.54757234599009</v>
      </c>
      <c r="AA576" s="6">
        <f>('TE BE'!$AB$41+'TE BF'!$AB$41+'TE CVA'!$AB$41)*1</f>
        <v>46.775018509465824</v>
      </c>
      <c r="AB576" s="6">
        <f>$K$576*$V$576</f>
        <v>0</v>
      </c>
      <c r="AC576" s="6">
        <f>$M$576*$W$576</f>
        <v>89212.253759999992</v>
      </c>
      <c r="AD576" s="6">
        <f>$O$576*$X$576</f>
        <v>41231.285760000006</v>
      </c>
      <c r="AE576" s="6">
        <f>$K$576*$Y$576</f>
        <v>0</v>
      </c>
      <c r="AF576" s="6">
        <f ca="1">$M$576*$Z$576</f>
        <v>125550.7353271951</v>
      </c>
      <c r="AG576" s="6">
        <f>$O$576*$AA$576</f>
        <v>14409.69930210008</v>
      </c>
    </row>
    <row r="577" spans="1:33" ht="11.25" customHeight="1" x14ac:dyDescent="0.3">
      <c r="A577" s="4" t="s">
        <v>21</v>
      </c>
      <c r="B577" s="4" t="s">
        <v>45</v>
      </c>
      <c r="C577" s="4" t="s">
        <v>23</v>
      </c>
      <c r="D577" s="4" t="s">
        <v>46</v>
      </c>
      <c r="E577" s="4" t="s">
        <v>47</v>
      </c>
      <c r="F577" s="4" t="s">
        <v>25</v>
      </c>
      <c r="G577" s="4" t="s">
        <v>25</v>
      </c>
      <c r="H577" s="4" t="s">
        <v>25</v>
      </c>
      <c r="I577" s="5">
        <v>44470</v>
      </c>
      <c r="J577" s="6">
        <v>0</v>
      </c>
      <c r="K577" s="6">
        <v>0</v>
      </c>
      <c r="L577" s="6">
        <v>308.262</v>
      </c>
      <c r="M577" s="6">
        <v>308.262</v>
      </c>
      <c r="N577" s="6">
        <v>308.262</v>
      </c>
      <c r="O577" s="6">
        <v>308.262</v>
      </c>
      <c r="P577" s="6">
        <v>3</v>
      </c>
      <c r="Q577" s="4" t="s">
        <v>26</v>
      </c>
      <c r="R577" s="4">
        <v>0</v>
      </c>
      <c r="S577" s="6">
        <v>0</v>
      </c>
      <c r="T577" s="6">
        <v>47</v>
      </c>
      <c r="U577" s="6">
        <v>83</v>
      </c>
      <c r="V577" s="6">
        <f>IF(ISERROR(VLOOKUP($S$577,'TAR FIN'!$A$1:$O$85,15,0)),0,VLOOKUP($S$577,'TAR FIN'!$A$1:$O$85,15,0))</f>
        <v>0</v>
      </c>
      <c r="W577" s="6">
        <f>IF(ISERROR(VLOOKUP($T$577,'TAR FIN'!$A$1:$O$85,15,0)),0,VLOOKUP($T$577,'TAR FIN'!$A$1:$O$85,15,0))</f>
        <v>289.58999999999997</v>
      </c>
      <c r="X577" s="6">
        <f>IF(ISERROR(VLOOKUP($U$577,'TAR FIN'!$A$1:$O$85,15,0)),0,VLOOKUP($U$577,'TAR FIN'!$A$1:$O$85,15,0))</f>
        <v>133.84</v>
      </c>
      <c r="Y577" s="6"/>
      <c r="Z577" s="6">
        <f ca="1">('TUSD BE'!$AM$51+'TUSD BF'!$AM$51+'TUSD CVA'!$AM$51)*1</f>
        <v>407.54757234599009</v>
      </c>
      <c r="AA577" s="6">
        <f>('TE BE'!$AB$41+'TE BF'!$AB$41+'TE CVA'!$AB$41)*1</f>
        <v>46.775018509465824</v>
      </c>
      <c r="AB577" s="6">
        <f>$K$577*$V$577</f>
        <v>0</v>
      </c>
      <c r="AC577" s="6">
        <f>$M$577*$W$577</f>
        <v>89269.592579999997</v>
      </c>
      <c r="AD577" s="6">
        <f>$O$577*$X$577</f>
        <v>41257.786079999998</v>
      </c>
      <c r="AE577" s="6">
        <f>$K$577*$Y$577</f>
        <v>0</v>
      </c>
      <c r="AF577" s="6">
        <f ca="1">$M$577*$Z$577</f>
        <v>125631.4297465196</v>
      </c>
      <c r="AG577" s="6">
        <f>$O$577*$AA$577</f>
        <v>14418.960755764954</v>
      </c>
    </row>
    <row r="578" spans="1:33" ht="11.25" customHeight="1" x14ac:dyDescent="0.3">
      <c r="A578" s="4" t="s">
        <v>21</v>
      </c>
      <c r="B578" s="4" t="s">
        <v>45</v>
      </c>
      <c r="C578" s="4" t="s">
        <v>23</v>
      </c>
      <c r="D578" s="4" t="s">
        <v>46</v>
      </c>
      <c r="E578" s="4" t="s">
        <v>47</v>
      </c>
      <c r="F578" s="4" t="s">
        <v>25</v>
      </c>
      <c r="G578" s="4" t="s">
        <v>25</v>
      </c>
      <c r="H578" s="4" t="s">
        <v>25</v>
      </c>
      <c r="I578" s="5">
        <v>44501</v>
      </c>
      <c r="J578" s="6">
        <v>0</v>
      </c>
      <c r="K578" s="6">
        <v>0</v>
      </c>
      <c r="L578" s="6">
        <v>308.76900000000001</v>
      </c>
      <c r="M578" s="6">
        <v>308.76900000000001</v>
      </c>
      <c r="N578" s="6">
        <v>308.76900000000001</v>
      </c>
      <c r="O578" s="6">
        <v>308.76900000000001</v>
      </c>
      <c r="P578" s="6">
        <v>3</v>
      </c>
      <c r="Q578" s="4" t="s">
        <v>26</v>
      </c>
      <c r="R578" s="4">
        <v>0</v>
      </c>
      <c r="S578" s="6">
        <v>0</v>
      </c>
      <c r="T578" s="6">
        <v>47</v>
      </c>
      <c r="U578" s="6">
        <v>83</v>
      </c>
      <c r="V578" s="6">
        <f>IF(ISERROR(VLOOKUP($S$578,'TAR FIN'!$A$1:$O$85,15,0)),0,VLOOKUP($S$578,'TAR FIN'!$A$1:$O$85,15,0))</f>
        <v>0</v>
      </c>
      <c r="W578" s="6">
        <f>IF(ISERROR(VLOOKUP($T$578,'TAR FIN'!$A$1:$O$85,15,0)),0,VLOOKUP($T$578,'TAR FIN'!$A$1:$O$85,15,0))</f>
        <v>289.58999999999997</v>
      </c>
      <c r="X578" s="6">
        <f>IF(ISERROR(VLOOKUP($U$578,'TAR FIN'!$A$1:$O$85,15,0)),0,VLOOKUP($U$578,'TAR FIN'!$A$1:$O$85,15,0))</f>
        <v>133.84</v>
      </c>
      <c r="Y578" s="6"/>
      <c r="Z578" s="6">
        <f ca="1">('TUSD BE'!$AM$51+'TUSD BF'!$AM$51+'TUSD CVA'!$AM$51)*1</f>
        <v>407.54757234599009</v>
      </c>
      <c r="AA578" s="6">
        <f>('TE BE'!$AB$41+'TE BF'!$AB$41+'TE CVA'!$AB$41)*1</f>
        <v>46.775018509465824</v>
      </c>
      <c r="AB578" s="6">
        <f>$K$578*$V$578</f>
        <v>0</v>
      </c>
      <c r="AC578" s="6">
        <f>$M$578*$W$578</f>
        <v>89416.414709999997</v>
      </c>
      <c r="AD578" s="6">
        <f>$O$578*$X$578</f>
        <v>41325.642960000005</v>
      </c>
      <c r="AE578" s="6">
        <f>$K$578*$Y$578</f>
        <v>0</v>
      </c>
      <c r="AF578" s="6">
        <f ca="1">$M$578*$Z$578</f>
        <v>125838.05636569901</v>
      </c>
      <c r="AG578" s="6">
        <f>$O$578*$AA$578</f>
        <v>14442.675690149254</v>
      </c>
    </row>
    <row r="579" spans="1:33" ht="11.25" customHeight="1" x14ac:dyDescent="0.3">
      <c r="A579" s="4" t="s">
        <v>21</v>
      </c>
      <c r="B579" s="4" t="s">
        <v>45</v>
      </c>
      <c r="C579" s="4" t="s">
        <v>23</v>
      </c>
      <c r="D579" s="4" t="s">
        <v>46</v>
      </c>
      <c r="E579" s="4" t="s">
        <v>47</v>
      </c>
      <c r="F579" s="4" t="s">
        <v>25</v>
      </c>
      <c r="G579" s="4" t="s">
        <v>25</v>
      </c>
      <c r="H579" s="4" t="s">
        <v>25</v>
      </c>
      <c r="I579" s="5">
        <v>44531</v>
      </c>
      <c r="J579" s="6">
        <v>0</v>
      </c>
      <c r="K579" s="6">
        <v>0</v>
      </c>
      <c r="L579" s="6">
        <v>315.70699999999999</v>
      </c>
      <c r="M579" s="6">
        <v>315.70699999999999</v>
      </c>
      <c r="N579" s="6">
        <v>315.70699999999999</v>
      </c>
      <c r="O579" s="6">
        <v>315.70699999999999</v>
      </c>
      <c r="P579" s="6">
        <v>4</v>
      </c>
      <c r="Q579" s="4" t="s">
        <v>26</v>
      </c>
      <c r="R579" s="4">
        <v>0</v>
      </c>
      <c r="S579" s="6">
        <v>0</v>
      </c>
      <c r="T579" s="6">
        <v>47</v>
      </c>
      <c r="U579" s="6">
        <v>83</v>
      </c>
      <c r="V579" s="6">
        <f>IF(ISERROR(VLOOKUP($S$579,'TAR FIN'!$A$1:$O$85,15,0)),0,VLOOKUP($S$579,'TAR FIN'!$A$1:$O$85,15,0))</f>
        <v>0</v>
      </c>
      <c r="W579" s="6">
        <f>IF(ISERROR(VLOOKUP($T$579,'TAR FIN'!$A$1:$O$85,15,0)),0,VLOOKUP($T$579,'TAR FIN'!$A$1:$O$85,15,0))</f>
        <v>289.58999999999997</v>
      </c>
      <c r="X579" s="6">
        <f>IF(ISERROR(VLOOKUP($U$579,'TAR FIN'!$A$1:$O$85,15,0)),0,VLOOKUP($U$579,'TAR FIN'!$A$1:$O$85,15,0))</f>
        <v>133.84</v>
      </c>
      <c r="Y579" s="6"/>
      <c r="Z579" s="6">
        <f ca="1">('TUSD BE'!$AM$51+'TUSD BF'!$AM$51+'TUSD CVA'!$AM$51)*1</f>
        <v>407.54757234599009</v>
      </c>
      <c r="AA579" s="6">
        <f>('TE BE'!$AB$41+'TE BF'!$AB$41+'TE CVA'!$AB$41)*1</f>
        <v>46.775018509465824</v>
      </c>
      <c r="AB579" s="6">
        <f>$K$579*$V$579</f>
        <v>0</v>
      </c>
      <c r="AC579" s="6">
        <f>$M$579*$W$579</f>
        <v>91425.590129999997</v>
      </c>
      <c r="AD579" s="6">
        <f>$O$579*$X$579</f>
        <v>42254.224880000002</v>
      </c>
      <c r="AE579" s="6">
        <f>$K$579*$Y$579</f>
        <v>0</v>
      </c>
      <c r="AF579" s="6">
        <f ca="1">$M$579*$Z$579</f>
        <v>128665.62142263549</v>
      </c>
      <c r="AG579" s="6">
        <f>$O$579*$AA$579</f>
        <v>14767.200768567927</v>
      </c>
    </row>
    <row r="580" spans="1:33" ht="11.25" customHeight="1" x14ac:dyDescent="0.3">
      <c r="A580" s="4" t="s">
        <v>21</v>
      </c>
      <c r="B580" s="4" t="s">
        <v>45</v>
      </c>
      <c r="C580" s="4" t="s">
        <v>23</v>
      </c>
      <c r="D580" s="4" t="s">
        <v>46</v>
      </c>
      <c r="E580" s="4" t="s">
        <v>47</v>
      </c>
      <c r="F580" s="4" t="s">
        <v>25</v>
      </c>
      <c r="G580" s="4" t="s">
        <v>25</v>
      </c>
      <c r="H580" s="4" t="s">
        <v>25</v>
      </c>
      <c r="I580" s="5">
        <v>44562</v>
      </c>
      <c r="J580" s="6">
        <v>0</v>
      </c>
      <c r="K580" s="6">
        <v>0</v>
      </c>
      <c r="L580" s="6">
        <v>317.30099999999999</v>
      </c>
      <c r="M580" s="6">
        <v>317.30099999999999</v>
      </c>
      <c r="N580" s="6">
        <v>317.30099999999999</v>
      </c>
      <c r="O580" s="6">
        <v>317.30099999999999</v>
      </c>
      <c r="P580" s="6">
        <v>4</v>
      </c>
      <c r="Q580" s="4" t="s">
        <v>26</v>
      </c>
      <c r="R580" s="4">
        <v>0</v>
      </c>
      <c r="S580" s="6">
        <v>0</v>
      </c>
      <c r="T580" s="6">
        <v>47</v>
      </c>
      <c r="U580" s="6">
        <v>83</v>
      </c>
      <c r="V580" s="6">
        <f>IF(ISERROR(VLOOKUP($S$580,'TAR FIN'!$A$1:$O$85,15,0)),0,VLOOKUP($S$580,'TAR FIN'!$A$1:$O$85,15,0))</f>
        <v>0</v>
      </c>
      <c r="W580" s="6">
        <f>IF(ISERROR(VLOOKUP($T$580,'TAR FIN'!$A$1:$O$85,15,0)),0,VLOOKUP($T$580,'TAR FIN'!$A$1:$O$85,15,0))</f>
        <v>289.58999999999997</v>
      </c>
      <c r="X580" s="6">
        <f>IF(ISERROR(VLOOKUP($U$580,'TAR FIN'!$A$1:$O$85,15,0)),0,VLOOKUP($U$580,'TAR FIN'!$A$1:$O$85,15,0))</f>
        <v>133.84</v>
      </c>
      <c r="Y580" s="6"/>
      <c r="Z580" s="6">
        <f ca="1">('TUSD BE'!$AM$51+'TUSD BF'!$AM$51+'TUSD CVA'!$AM$51)*1</f>
        <v>407.54757234599009</v>
      </c>
      <c r="AA580" s="6">
        <f>('TE BE'!$AB$41+'TE BF'!$AB$41+'TE CVA'!$AB$41)*1</f>
        <v>46.775018509465824</v>
      </c>
      <c r="AB580" s="6">
        <f>$K$580*$V$580</f>
        <v>0</v>
      </c>
      <c r="AC580" s="6">
        <f>$M$580*$W$580</f>
        <v>91887.196589999992</v>
      </c>
      <c r="AD580" s="6">
        <f>$O$580*$X$580</f>
        <v>42467.565840000003</v>
      </c>
      <c r="AE580" s="6">
        <f>$K$580*$Y$580</f>
        <v>0</v>
      </c>
      <c r="AF580" s="6">
        <f ca="1">$M$580*$Z$580</f>
        <v>129315.25225295499</v>
      </c>
      <c r="AG580" s="6">
        <f>$O$580*$AA$580</f>
        <v>14841.760148072015</v>
      </c>
    </row>
    <row r="581" spans="1:33" ht="11.25" customHeight="1" x14ac:dyDescent="0.3">
      <c r="A581" s="4" t="s">
        <v>21</v>
      </c>
      <c r="B581" s="4" t="s">
        <v>45</v>
      </c>
      <c r="C581" s="4" t="s">
        <v>23</v>
      </c>
      <c r="D581" s="4" t="s">
        <v>46</v>
      </c>
      <c r="E581" s="4" t="s">
        <v>47</v>
      </c>
      <c r="F581" s="4" t="s">
        <v>25</v>
      </c>
      <c r="G581" s="4" t="s">
        <v>25</v>
      </c>
      <c r="H581" s="4" t="s">
        <v>25</v>
      </c>
      <c r="I581" s="5">
        <v>44593</v>
      </c>
      <c r="J581" s="6">
        <v>0</v>
      </c>
      <c r="K581" s="6">
        <v>0</v>
      </c>
      <c r="L581" s="6">
        <v>317.30099999999999</v>
      </c>
      <c r="M581" s="6">
        <v>317.30099999999999</v>
      </c>
      <c r="N581" s="6">
        <v>317.30099999999999</v>
      </c>
      <c r="O581" s="6">
        <v>317.30099999999999</v>
      </c>
      <c r="P581" s="6">
        <v>4</v>
      </c>
      <c r="Q581" s="4" t="s">
        <v>26</v>
      </c>
      <c r="R581" s="4">
        <v>0</v>
      </c>
      <c r="S581" s="6">
        <v>0</v>
      </c>
      <c r="T581" s="6">
        <v>47</v>
      </c>
      <c r="U581" s="6">
        <v>83</v>
      </c>
      <c r="V581" s="6">
        <f>IF(ISERROR(VLOOKUP($S$581,'TAR FIN'!$A$1:$O$85,15,0)),0,VLOOKUP($S$581,'TAR FIN'!$A$1:$O$85,15,0))</f>
        <v>0</v>
      </c>
      <c r="W581" s="6">
        <f>IF(ISERROR(VLOOKUP($T$581,'TAR FIN'!$A$1:$O$85,15,0)),0,VLOOKUP($T$581,'TAR FIN'!$A$1:$O$85,15,0))</f>
        <v>289.58999999999997</v>
      </c>
      <c r="X581" s="6">
        <f>IF(ISERROR(VLOOKUP($U$581,'TAR FIN'!$A$1:$O$85,15,0)),0,VLOOKUP($U$581,'TAR FIN'!$A$1:$O$85,15,0))</f>
        <v>133.84</v>
      </c>
      <c r="Y581" s="6"/>
      <c r="Z581" s="6">
        <f ca="1">('TUSD BE'!$AM$51+'TUSD BF'!$AM$51+'TUSD CVA'!$AM$51)*1</f>
        <v>407.54757234599009</v>
      </c>
      <c r="AA581" s="6">
        <f>('TE BE'!$AB$41+'TE BF'!$AB$41+'TE CVA'!$AB$41)*1</f>
        <v>46.775018509465824</v>
      </c>
      <c r="AB581" s="6">
        <f>$K$581*$V$581</f>
        <v>0</v>
      </c>
      <c r="AC581" s="6">
        <f>$M$581*$W$581</f>
        <v>91887.196589999992</v>
      </c>
      <c r="AD581" s="6">
        <f>$O$581*$X$581</f>
        <v>42467.565840000003</v>
      </c>
      <c r="AE581" s="6">
        <f>$K$581*$Y$581</f>
        <v>0</v>
      </c>
      <c r="AF581" s="6">
        <f ca="1">$M$581*$Z$581</f>
        <v>129315.25225295499</v>
      </c>
      <c r="AG581" s="6">
        <f>$O$581*$AA$581</f>
        <v>14841.760148072015</v>
      </c>
    </row>
    <row r="582" spans="1:33" ht="11.25" customHeight="1" x14ac:dyDescent="0.3">
      <c r="A582" s="4" t="s">
        <v>21</v>
      </c>
      <c r="B582" s="4" t="s">
        <v>45</v>
      </c>
      <c r="C582" s="4" t="s">
        <v>23</v>
      </c>
      <c r="D582" s="4" t="s">
        <v>46</v>
      </c>
      <c r="E582" s="4" t="s">
        <v>47</v>
      </c>
      <c r="F582" s="4" t="s">
        <v>25</v>
      </c>
      <c r="G582" s="4" t="s">
        <v>25</v>
      </c>
      <c r="H582" s="4" t="s">
        <v>25</v>
      </c>
      <c r="I582" s="5">
        <v>44621</v>
      </c>
      <c r="J582" s="6">
        <v>0</v>
      </c>
      <c r="K582" s="6">
        <v>0</v>
      </c>
      <c r="L582" s="6">
        <v>318.34800000000001</v>
      </c>
      <c r="M582" s="6">
        <v>318.34800000000001</v>
      </c>
      <c r="N582" s="6">
        <v>318.34800000000001</v>
      </c>
      <c r="O582" s="6">
        <v>318.34800000000001</v>
      </c>
      <c r="P582" s="6">
        <v>4</v>
      </c>
      <c r="Q582" s="4" t="s">
        <v>26</v>
      </c>
      <c r="R582" s="4">
        <v>0</v>
      </c>
      <c r="S582" s="6">
        <v>0</v>
      </c>
      <c r="T582" s="6">
        <v>47</v>
      </c>
      <c r="U582" s="6">
        <v>83</v>
      </c>
      <c r="V582" s="6">
        <f>IF(ISERROR(VLOOKUP($S$582,'TAR FIN'!$A$1:$O$85,15,0)),0,VLOOKUP($S$582,'TAR FIN'!$A$1:$O$85,15,0))</f>
        <v>0</v>
      </c>
      <c r="W582" s="6">
        <f>IF(ISERROR(VLOOKUP($T$582,'TAR FIN'!$A$1:$O$85,15,0)),0,VLOOKUP($T$582,'TAR FIN'!$A$1:$O$85,15,0))</f>
        <v>289.58999999999997</v>
      </c>
      <c r="X582" s="6">
        <f>IF(ISERROR(VLOOKUP($U$582,'TAR FIN'!$A$1:$O$85,15,0)),0,VLOOKUP($U$582,'TAR FIN'!$A$1:$O$85,15,0))</f>
        <v>133.84</v>
      </c>
      <c r="Y582" s="6"/>
      <c r="Z582" s="6">
        <f ca="1">('TUSD BE'!$AM$51+'TUSD BF'!$AM$51+'TUSD CVA'!$AM$51)*1</f>
        <v>407.54757234599009</v>
      </c>
      <c r="AA582" s="6">
        <f>('TE BE'!$AB$41+'TE BF'!$AB$41+'TE CVA'!$AB$41)*1</f>
        <v>46.775018509465824</v>
      </c>
      <c r="AB582" s="6">
        <f>$K$582*$V$582</f>
        <v>0</v>
      </c>
      <c r="AC582" s="6">
        <f>$M$582*$W$582</f>
        <v>92190.397319999989</v>
      </c>
      <c r="AD582" s="6">
        <f>$O$582*$X$582</f>
        <v>42607.696320000003</v>
      </c>
      <c r="AE582" s="6">
        <f>$K$582*$Y$582</f>
        <v>0</v>
      </c>
      <c r="AF582" s="6">
        <f ca="1">$M$582*$Z$582</f>
        <v>129741.95456120126</v>
      </c>
      <c r="AG582" s="6">
        <f>$O$582*$AA$582</f>
        <v>14890.733592451426</v>
      </c>
    </row>
    <row r="583" spans="1:33" ht="11.25" customHeight="1" x14ac:dyDescent="0.3">
      <c r="A583" s="4" t="s">
        <v>21</v>
      </c>
      <c r="B583" s="4" t="s">
        <v>45</v>
      </c>
      <c r="C583" s="4" t="s">
        <v>23</v>
      </c>
      <c r="D583" s="4" t="s">
        <v>46</v>
      </c>
      <c r="E583" s="4" t="s">
        <v>47</v>
      </c>
      <c r="F583" s="4" t="s">
        <v>25</v>
      </c>
      <c r="G583" s="4" t="s">
        <v>25</v>
      </c>
      <c r="H583" s="4" t="s">
        <v>25</v>
      </c>
      <c r="I583" s="5">
        <v>44652</v>
      </c>
      <c r="J583" s="6">
        <v>0</v>
      </c>
      <c r="K583" s="6">
        <v>0</v>
      </c>
      <c r="L583" s="6">
        <v>318.91899999999998</v>
      </c>
      <c r="M583" s="6">
        <v>318.91899999999998</v>
      </c>
      <c r="N583" s="6">
        <v>318.91899999999998</v>
      </c>
      <c r="O583" s="6">
        <v>318.91899999999998</v>
      </c>
      <c r="P583" s="6">
        <v>4</v>
      </c>
      <c r="Q583" s="4" t="s">
        <v>26</v>
      </c>
      <c r="R583" s="4">
        <v>0</v>
      </c>
      <c r="S583" s="6">
        <v>0</v>
      </c>
      <c r="T583" s="6">
        <v>47</v>
      </c>
      <c r="U583" s="6">
        <v>83</v>
      </c>
      <c r="V583" s="6">
        <f>IF(ISERROR(VLOOKUP($S$583,'TAR FIN'!$A$1:$O$85,15,0)),0,VLOOKUP($S$583,'TAR FIN'!$A$1:$O$85,15,0))</f>
        <v>0</v>
      </c>
      <c r="W583" s="6">
        <f>IF(ISERROR(VLOOKUP($T$583,'TAR FIN'!$A$1:$O$85,15,0)),0,VLOOKUP($T$583,'TAR FIN'!$A$1:$O$85,15,0))</f>
        <v>289.58999999999997</v>
      </c>
      <c r="X583" s="6">
        <f>IF(ISERROR(VLOOKUP($U$583,'TAR FIN'!$A$1:$O$85,15,0)),0,VLOOKUP($U$583,'TAR FIN'!$A$1:$O$85,15,0))</f>
        <v>133.84</v>
      </c>
      <c r="Y583" s="6"/>
      <c r="Z583" s="6">
        <f ca="1">('TUSD BE'!$AM$51+'TUSD BF'!$AM$51+'TUSD CVA'!$AM$51)*1</f>
        <v>407.54757234599009</v>
      </c>
      <c r="AA583" s="6">
        <f>('TE BE'!$AB$41+'TE BF'!$AB$41+'TE CVA'!$AB$41)*1</f>
        <v>46.775018509465824</v>
      </c>
      <c r="AB583" s="6">
        <f>$K$583*$V$583</f>
        <v>0</v>
      </c>
      <c r="AC583" s="6">
        <f>$M$583*$W$583</f>
        <v>92355.753209999981</v>
      </c>
      <c r="AD583" s="6">
        <f>$O$583*$X$583</f>
        <v>42684.11896</v>
      </c>
      <c r="AE583" s="6">
        <f>$K$583*$Y$583</f>
        <v>0</v>
      </c>
      <c r="AF583" s="6">
        <f ca="1">$M$583*$Z$583</f>
        <v>129974.66422501081</v>
      </c>
      <c r="AG583" s="6">
        <f>$O$583*$AA$583</f>
        <v>14917.44212802033</v>
      </c>
    </row>
    <row r="584" spans="1:33" ht="11.25" customHeight="1" x14ac:dyDescent="0.3">
      <c r="A584" s="4" t="s">
        <v>21</v>
      </c>
      <c r="B584" s="4" t="s">
        <v>45</v>
      </c>
      <c r="C584" s="4" t="s">
        <v>23</v>
      </c>
      <c r="D584" s="4" t="s">
        <v>46</v>
      </c>
      <c r="E584" s="4" t="s">
        <v>47</v>
      </c>
      <c r="F584" s="4" t="s">
        <v>25</v>
      </c>
      <c r="G584" s="4" t="s">
        <v>25</v>
      </c>
      <c r="H584" s="4" t="s">
        <v>25</v>
      </c>
      <c r="I584" s="5">
        <v>44682</v>
      </c>
      <c r="J584" s="6">
        <v>0</v>
      </c>
      <c r="K584" s="6">
        <v>0</v>
      </c>
      <c r="L584" s="6">
        <v>320.483</v>
      </c>
      <c r="M584" s="6">
        <v>320.483</v>
      </c>
      <c r="N584" s="6">
        <v>320.483</v>
      </c>
      <c r="O584" s="6">
        <v>320.483</v>
      </c>
      <c r="P584" s="6">
        <v>4</v>
      </c>
      <c r="Q584" s="4" t="s">
        <v>26</v>
      </c>
      <c r="R584" s="4">
        <v>0</v>
      </c>
      <c r="S584" s="6">
        <v>0</v>
      </c>
      <c r="T584" s="6">
        <v>47</v>
      </c>
      <c r="U584" s="6">
        <v>83</v>
      </c>
      <c r="V584" s="6">
        <f>IF(ISERROR(VLOOKUP($S$584,'TAR FIN'!$A$1:$O$85,15,0)),0,VLOOKUP($S$584,'TAR FIN'!$A$1:$O$85,15,0))</f>
        <v>0</v>
      </c>
      <c r="W584" s="6">
        <f>IF(ISERROR(VLOOKUP($T$584,'TAR FIN'!$A$1:$O$85,15,0)),0,VLOOKUP($T$584,'TAR FIN'!$A$1:$O$85,15,0))</f>
        <v>289.58999999999997</v>
      </c>
      <c r="X584" s="6">
        <f>IF(ISERROR(VLOOKUP($U$584,'TAR FIN'!$A$1:$O$85,15,0)),0,VLOOKUP($U$584,'TAR FIN'!$A$1:$O$85,15,0))</f>
        <v>133.84</v>
      </c>
      <c r="Y584" s="6"/>
      <c r="Z584" s="6">
        <f ca="1">('TUSD BE'!$AM$51+'TUSD BF'!$AM$51+'TUSD CVA'!$AM$51)*1</f>
        <v>407.54757234599009</v>
      </c>
      <c r="AA584" s="6">
        <f>('TE BE'!$AB$41+'TE BF'!$AB$41+'TE CVA'!$AB$41)*1</f>
        <v>46.775018509465824</v>
      </c>
      <c r="AB584" s="6">
        <f>$K$584*$V$584</f>
        <v>0</v>
      </c>
      <c r="AC584" s="6">
        <f>$M$584*$W$584</f>
        <v>92808.671969999996</v>
      </c>
      <c r="AD584" s="6">
        <f>$O$584*$X$584</f>
        <v>42893.44472</v>
      </c>
      <c r="AE584" s="6">
        <f>$K$584*$Y$584</f>
        <v>0</v>
      </c>
      <c r="AF584" s="6">
        <f ca="1">$M$584*$Z$584</f>
        <v>130612.06862815995</v>
      </c>
      <c r="AG584" s="6">
        <f>$O$584*$AA$584</f>
        <v>14990.598256969135</v>
      </c>
    </row>
    <row r="585" spans="1:33" ht="11.25" customHeight="1" x14ac:dyDescent="0.3">
      <c r="A585" s="4" t="s">
        <v>21</v>
      </c>
      <c r="B585" s="4" t="s">
        <v>45</v>
      </c>
      <c r="C585" s="4" t="s">
        <v>23</v>
      </c>
      <c r="D585" s="4" t="s">
        <v>46</v>
      </c>
      <c r="E585" s="4" t="s">
        <v>47</v>
      </c>
      <c r="F585" s="4" t="s">
        <v>25</v>
      </c>
      <c r="G585" s="4" t="s">
        <v>25</v>
      </c>
      <c r="H585" s="4" t="s">
        <v>25</v>
      </c>
      <c r="I585" s="5">
        <v>44713</v>
      </c>
      <c r="J585" s="6">
        <v>0</v>
      </c>
      <c r="K585" s="6">
        <v>0</v>
      </c>
      <c r="L585" s="6">
        <v>322.30599999999998</v>
      </c>
      <c r="M585" s="6">
        <v>322.30599999999998</v>
      </c>
      <c r="N585" s="6">
        <v>322.30599999999998</v>
      </c>
      <c r="O585" s="6">
        <v>322.30599999999998</v>
      </c>
      <c r="P585" s="6">
        <v>4</v>
      </c>
      <c r="Q585" s="4" t="s">
        <v>26</v>
      </c>
      <c r="R585" s="4">
        <v>0</v>
      </c>
      <c r="S585" s="6">
        <v>0</v>
      </c>
      <c r="T585" s="6">
        <v>47</v>
      </c>
      <c r="U585" s="6">
        <v>83</v>
      </c>
      <c r="V585" s="6">
        <f>IF(ISERROR(VLOOKUP($S$585,'TAR FIN'!$A$1:$O$85,15,0)),0,VLOOKUP($S$585,'TAR FIN'!$A$1:$O$85,15,0))</f>
        <v>0</v>
      </c>
      <c r="W585" s="6">
        <f>IF(ISERROR(VLOOKUP($T$585,'TAR FIN'!$A$1:$O$85,15,0)),0,VLOOKUP($T$585,'TAR FIN'!$A$1:$O$85,15,0))</f>
        <v>289.58999999999997</v>
      </c>
      <c r="X585" s="6">
        <f>IF(ISERROR(VLOOKUP($U$585,'TAR FIN'!$A$1:$O$85,15,0)),0,VLOOKUP($U$585,'TAR FIN'!$A$1:$O$85,15,0))</f>
        <v>133.84</v>
      </c>
      <c r="Y585" s="6"/>
      <c r="Z585" s="6">
        <f ca="1">('TUSD BE'!$AM$51+'TUSD BF'!$AM$51+'TUSD CVA'!$AM$51)*1</f>
        <v>407.54757234599009</v>
      </c>
      <c r="AA585" s="6">
        <f>('TE BE'!$AB$41+'TE BF'!$AB$41+'TE CVA'!$AB$41)*1</f>
        <v>46.775018509465824</v>
      </c>
      <c r="AB585" s="6">
        <f>$K$585*$V$585</f>
        <v>0</v>
      </c>
      <c r="AC585" s="6">
        <f>$M$585*$W$585</f>
        <v>93336.594539999991</v>
      </c>
      <c r="AD585" s="6">
        <f>$O$585*$X$585</f>
        <v>43137.435039999997</v>
      </c>
      <c r="AE585" s="6">
        <f>$K$585*$Y$585</f>
        <v>0</v>
      </c>
      <c r="AF585" s="6">
        <f ca="1">$M$585*$Z$585</f>
        <v>131355.02785254669</v>
      </c>
      <c r="AG585" s="6">
        <f>$O$585*$AA$585</f>
        <v>15075.86911571189</v>
      </c>
    </row>
    <row r="586" spans="1:33" ht="11.25" customHeight="1" x14ac:dyDescent="0.3">
      <c r="A586" s="4" t="s">
        <v>21</v>
      </c>
      <c r="B586" s="4" t="s">
        <v>45</v>
      </c>
      <c r="C586" s="4" t="s">
        <v>23</v>
      </c>
      <c r="D586" s="4" t="s">
        <v>46</v>
      </c>
      <c r="E586" s="4" t="s">
        <v>47</v>
      </c>
      <c r="F586" s="4" t="s">
        <v>25</v>
      </c>
      <c r="G586" s="4" t="s">
        <v>25</v>
      </c>
      <c r="H586" s="4" t="s">
        <v>25</v>
      </c>
      <c r="I586" s="5">
        <v>44743</v>
      </c>
      <c r="J586" s="6">
        <v>0</v>
      </c>
      <c r="K586" s="6">
        <v>0</v>
      </c>
      <c r="L586" s="6">
        <v>335.56099999999998</v>
      </c>
      <c r="M586" s="6">
        <v>335.56099999999998</v>
      </c>
      <c r="N586" s="6">
        <v>335.56099999999998</v>
      </c>
      <c r="O586" s="6">
        <v>335.56099999999998</v>
      </c>
      <c r="P586" s="6">
        <v>4</v>
      </c>
      <c r="Q586" s="4" t="s">
        <v>26</v>
      </c>
      <c r="R586" s="4">
        <v>0</v>
      </c>
      <c r="S586" s="6">
        <v>0</v>
      </c>
      <c r="T586" s="6">
        <v>47</v>
      </c>
      <c r="U586" s="6">
        <v>83</v>
      </c>
      <c r="V586" s="6">
        <f>IF(ISERROR(VLOOKUP($S$586,'TAR FIN'!$A$1:$O$85,15,0)),0,VLOOKUP($S$586,'TAR FIN'!$A$1:$O$85,15,0))</f>
        <v>0</v>
      </c>
      <c r="W586" s="6">
        <f>IF(ISERROR(VLOOKUP($T$586,'TAR FIN'!$A$1:$O$85,15,0)),0,VLOOKUP($T$586,'TAR FIN'!$A$1:$O$85,15,0))</f>
        <v>289.58999999999997</v>
      </c>
      <c r="X586" s="6">
        <f>IF(ISERROR(VLOOKUP($U$586,'TAR FIN'!$A$1:$O$85,15,0)),0,VLOOKUP($U$586,'TAR FIN'!$A$1:$O$85,15,0))</f>
        <v>133.84</v>
      </c>
      <c r="Y586" s="6"/>
      <c r="Z586" s="6">
        <f ca="1">('TUSD BE'!$AM$51+'TUSD BF'!$AM$51+'TUSD CVA'!$AM$51)*1</f>
        <v>407.54757234599009</v>
      </c>
      <c r="AA586" s="6">
        <f>('TE BE'!$AB$41+'TE BF'!$AB$41+'TE CVA'!$AB$41)*1</f>
        <v>46.775018509465824</v>
      </c>
      <c r="AB586" s="6">
        <f>$K$586*$V$586</f>
        <v>0</v>
      </c>
      <c r="AC586" s="6">
        <f>$M$586*$W$586</f>
        <v>97175.109989999983</v>
      </c>
      <c r="AD586" s="6">
        <f>$O$586*$X$586</f>
        <v>44911.484239999998</v>
      </c>
      <c r="AE586" s="6">
        <f>$K$586*$Y$586</f>
        <v>0</v>
      </c>
      <c r="AF586" s="6">
        <f ca="1">$M$586*$Z$586</f>
        <v>136757.07092399278</v>
      </c>
      <c r="AG586" s="6">
        <f>$O$586*$AA$586</f>
        <v>15695.871986054861</v>
      </c>
    </row>
    <row r="587" spans="1:33" ht="11.25" customHeight="1" x14ac:dyDescent="0.3">
      <c r="A587" s="4" t="s">
        <v>21</v>
      </c>
      <c r="B587" s="4" t="s">
        <v>45</v>
      </c>
      <c r="C587" s="4" t="s">
        <v>23</v>
      </c>
      <c r="D587" s="4" t="s">
        <v>46</v>
      </c>
      <c r="E587" s="4" t="s">
        <v>47</v>
      </c>
      <c r="F587" s="4" t="s">
        <v>25</v>
      </c>
      <c r="G587" s="4" t="s">
        <v>25</v>
      </c>
      <c r="H587" s="4" t="s">
        <v>25</v>
      </c>
      <c r="I587" s="5">
        <v>44774</v>
      </c>
      <c r="J587" s="6">
        <v>0</v>
      </c>
      <c r="K587" s="6">
        <v>0</v>
      </c>
      <c r="L587" s="6">
        <v>316.31</v>
      </c>
      <c r="M587" s="6">
        <v>316.31</v>
      </c>
      <c r="N587" s="6">
        <v>316.31</v>
      </c>
      <c r="O587" s="6">
        <v>316.31</v>
      </c>
      <c r="P587" s="6">
        <v>4</v>
      </c>
      <c r="Q587" s="4" t="s">
        <v>26</v>
      </c>
      <c r="R587" s="4">
        <v>0</v>
      </c>
      <c r="S587" s="6">
        <v>0</v>
      </c>
      <c r="T587" s="6">
        <v>47</v>
      </c>
      <c r="U587" s="6">
        <v>83</v>
      </c>
      <c r="V587" s="6">
        <f>IF(ISERROR(VLOOKUP($S$587,'TAR FIN'!$A$1:$O$85,15,0)),0,VLOOKUP($S$587,'TAR FIN'!$A$1:$O$85,15,0))</f>
        <v>0</v>
      </c>
      <c r="W587" s="6">
        <f>IF(ISERROR(VLOOKUP($T$587,'TAR FIN'!$A$1:$O$85,15,0)),0,VLOOKUP($T$587,'TAR FIN'!$A$1:$O$85,15,0))</f>
        <v>289.58999999999997</v>
      </c>
      <c r="X587" s="6">
        <f>IF(ISERROR(VLOOKUP($U$587,'TAR FIN'!$A$1:$O$85,15,0)),0,VLOOKUP($U$587,'TAR FIN'!$A$1:$O$85,15,0))</f>
        <v>133.84</v>
      </c>
      <c r="Y587" s="6"/>
      <c r="Z587" s="6">
        <f ca="1">('TUSD BE'!$AM$51+'TUSD BF'!$AM$51+'TUSD CVA'!$AM$51)*1</f>
        <v>407.54757234599009</v>
      </c>
      <c r="AA587" s="6">
        <f>('TE BE'!$AB$41+'TE BF'!$AB$41+'TE CVA'!$AB$41)*1</f>
        <v>46.775018509465824</v>
      </c>
      <c r="AB587" s="6">
        <f>$K$587*$V$587</f>
        <v>0</v>
      </c>
      <c r="AC587" s="6">
        <f>$M$587*$W$587</f>
        <v>91600.212899999999</v>
      </c>
      <c r="AD587" s="6">
        <f>$O$587*$X$587</f>
        <v>42334.930400000005</v>
      </c>
      <c r="AE587" s="6">
        <f>$K$587*$Y$587</f>
        <v>0</v>
      </c>
      <c r="AF587" s="6">
        <f ca="1">$M$587*$Z$587</f>
        <v>128911.37260876012</v>
      </c>
      <c r="AG587" s="6">
        <f>$O$587*$AA$587</f>
        <v>14795.406104729134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7717-3BA0-4F7E-B205-050FD67836E6}">
  <dimension ref="A1:AJ588"/>
  <sheetViews>
    <sheetView showGridLines="0" topLeftCell="Z1" workbookViewId="0">
      <selection sqref="A1:AF230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0.44140625" style="4" bestFit="1" customWidth="1"/>
    <col min="5" max="5" width="23.109375" style="4" bestFit="1" customWidth="1"/>
    <col min="6" max="6" width="12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3320312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18.21875" style="4" bestFit="1" customWidth="1"/>
    <col min="29" max="29" width="19.5546875" style="4" bestFit="1" customWidth="1"/>
    <col min="30" max="30" width="18.21875" style="4" bestFit="1" customWidth="1"/>
    <col min="31" max="31" width="19.5546875" style="4" bestFit="1" customWidth="1"/>
    <col min="32" max="32" width="31.6640625" style="4" bestFit="1" customWidth="1"/>
    <col min="33" max="33" width="8.88671875" style="4"/>
    <col min="34" max="34" width="31.6640625" style="4" bestFit="1" customWidth="1"/>
    <col min="35" max="36" width="7.88671875" style="4" bestFit="1" customWidth="1"/>
    <col min="37" max="16384" width="8.886718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H1" s="34" t="s">
        <v>688</v>
      </c>
      <c r="AI1" s="34" t="s">
        <v>693</v>
      </c>
      <c r="AJ1" s="34" t="s">
        <v>694</v>
      </c>
    </row>
    <row r="2" spans="1:36" ht="11.25" customHeight="1" x14ac:dyDescent="0.3">
      <c r="A2" s="4" t="s">
        <v>21</v>
      </c>
      <c r="B2" s="4" t="s">
        <v>39</v>
      </c>
      <c r="C2" s="4" t="s">
        <v>40</v>
      </c>
      <c r="D2" s="4" t="s">
        <v>38</v>
      </c>
      <c r="E2" s="4" t="s">
        <v>25</v>
      </c>
      <c r="F2" s="4" t="s">
        <v>51</v>
      </c>
      <c r="G2" s="4" t="s">
        <v>25</v>
      </c>
      <c r="H2" s="4" t="s">
        <v>35</v>
      </c>
      <c r="I2" s="5">
        <v>44440</v>
      </c>
      <c r="J2" s="6">
        <v>0</v>
      </c>
      <c r="K2" s="6">
        <v>0</v>
      </c>
      <c r="L2" s="6">
        <v>112.67</v>
      </c>
      <c r="M2" s="6">
        <v>56.335000000000001</v>
      </c>
      <c r="N2" s="6">
        <v>0</v>
      </c>
      <c r="O2" s="6">
        <v>0</v>
      </c>
      <c r="P2" s="6">
        <v>0</v>
      </c>
      <c r="Q2" s="4" t="s">
        <v>52</v>
      </c>
      <c r="R2" s="4">
        <v>0</v>
      </c>
      <c r="S2" s="4">
        <v>0</v>
      </c>
      <c r="T2" s="4">
        <v>6</v>
      </c>
      <c r="U2" s="4">
        <v>0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67.489999999999995</v>
      </c>
      <c r="X2" s="6">
        <f>IF(ISERROR(VLOOKUP($U$2,'TAR FIN'!$A$1:$O$85,15,0)),0,VLOOKUP($U$2,'TAR FIN'!$A$1:$O$85,15,0))</f>
        <v>0</v>
      </c>
      <c r="Y2" s="6"/>
      <c r="Z2" s="6">
        <f ca="1">('TUSD BE'!$AM$12+'TUSD BF'!$AM$12+'TUSD CVA'!$AM$12)*1</f>
        <v>91.421403244159023</v>
      </c>
      <c r="AA2" s="6"/>
      <c r="AB2" s="6">
        <f t="shared" ref="AB2:AB65" si="0">(J2-K2)*V2</f>
        <v>0</v>
      </c>
      <c r="AC2" s="6">
        <f t="shared" ref="AC2:AC33" si="1">(L2-M2)*W2+(N2-O2)*X2</f>
        <v>3802.0491499999998</v>
      </c>
      <c r="AD2" s="6">
        <f t="shared" ref="AD2:AD65" si="2">(J2-K2)*Y2</f>
        <v>0</v>
      </c>
      <c r="AE2" s="6">
        <f t="shared" ref="AE2:AE33" ca="1" si="3">(L2-M2)*Z2+(N2-O2)*AA2</f>
        <v>5150.2247517596988</v>
      </c>
      <c r="AF2" s="4" t="s">
        <v>689</v>
      </c>
      <c r="AH2" s="35" t="s">
        <v>689</v>
      </c>
      <c r="AI2" s="36">
        <f t="shared" ref="AI2:AI9" si="4">SUMIF($AF$2:$AF$588,AH2,$AB$2:$AB$588)+SUMIF($AF$2:$AF$588,AH2,$AC$2:$AC$588)</f>
        <v>572704.34278414398</v>
      </c>
      <c r="AJ2" s="36">
        <f t="shared" ref="AJ2:AJ9" ca="1" si="5">SUMIF($AF$2:$AF$588,AH2,$AD$2:$AD$588)+SUMIF($AF$2:$AF$588,AH2,$AE$2:$AE$588)</f>
        <v>776442.18275990582</v>
      </c>
    </row>
    <row r="3" spans="1:36" ht="11.25" customHeight="1" x14ac:dyDescent="0.3">
      <c r="A3" s="4" t="s">
        <v>27</v>
      </c>
      <c r="B3" s="4" t="s">
        <v>39</v>
      </c>
      <c r="C3" s="4" t="s">
        <v>40</v>
      </c>
      <c r="D3" s="4" t="s">
        <v>38</v>
      </c>
      <c r="E3" s="4" t="s">
        <v>25</v>
      </c>
      <c r="F3" s="4" t="s">
        <v>51</v>
      </c>
      <c r="G3" s="4" t="s">
        <v>25</v>
      </c>
      <c r="H3" s="4" t="s">
        <v>35</v>
      </c>
      <c r="I3" s="5">
        <v>44440</v>
      </c>
      <c r="J3" s="6">
        <v>0</v>
      </c>
      <c r="K3" s="6">
        <v>0</v>
      </c>
      <c r="L3" s="6">
        <v>112.67</v>
      </c>
      <c r="M3" s="6">
        <v>56.335000000000001</v>
      </c>
      <c r="N3" s="6">
        <v>0</v>
      </c>
      <c r="O3" s="6">
        <v>0</v>
      </c>
      <c r="P3" s="6">
        <v>0</v>
      </c>
      <c r="Q3" s="4" t="s">
        <v>52</v>
      </c>
      <c r="R3" s="4">
        <v>0</v>
      </c>
      <c r="S3" s="4">
        <v>0</v>
      </c>
      <c r="T3" s="4">
        <v>6</v>
      </c>
      <c r="U3" s="4">
        <v>0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67.489999999999995</v>
      </c>
      <c r="X3" s="6">
        <f>IF(ISERROR(VLOOKUP($U$3,'TAR FIN'!$A$1:$O$85,15,0)),0,VLOOKUP($U$3,'TAR FIN'!$A$1:$O$85,15,0))</f>
        <v>0</v>
      </c>
      <c r="Y3" s="6"/>
      <c r="Z3" s="6">
        <f ca="1">('TUSD BE'!$AM$12+'TUSD BF'!$AM$12+'TUSD CVA'!$AM$12)*1</f>
        <v>91.421403244159023</v>
      </c>
      <c r="AA3" s="6"/>
      <c r="AB3" s="6">
        <f t="shared" si="0"/>
        <v>0</v>
      </c>
      <c r="AC3" s="6">
        <f t="shared" si="1"/>
        <v>3802.0491499999998</v>
      </c>
      <c r="AD3" s="6">
        <f t="shared" si="2"/>
        <v>0</v>
      </c>
      <c r="AE3" s="6">
        <f t="shared" ca="1" si="3"/>
        <v>5150.2247517596988</v>
      </c>
      <c r="AF3" s="4" t="s">
        <v>689</v>
      </c>
      <c r="AH3" s="35" t="s">
        <v>695</v>
      </c>
      <c r="AI3" s="36">
        <f t="shared" si="4"/>
        <v>0</v>
      </c>
      <c r="AJ3" s="36">
        <f t="shared" si="5"/>
        <v>0</v>
      </c>
    </row>
    <row r="4" spans="1:36" ht="11.25" customHeight="1" x14ac:dyDescent="0.3">
      <c r="A4" s="4" t="s">
        <v>21</v>
      </c>
      <c r="B4" s="4" t="s">
        <v>39</v>
      </c>
      <c r="C4" s="4" t="s">
        <v>40</v>
      </c>
      <c r="D4" s="4" t="s">
        <v>38</v>
      </c>
      <c r="E4" s="4" t="s">
        <v>25</v>
      </c>
      <c r="F4" s="4" t="s">
        <v>51</v>
      </c>
      <c r="G4" s="4" t="s">
        <v>25</v>
      </c>
      <c r="H4" s="4" t="s">
        <v>35</v>
      </c>
      <c r="I4" s="5">
        <v>44470</v>
      </c>
      <c r="J4" s="6">
        <v>0</v>
      </c>
      <c r="K4" s="6">
        <v>0</v>
      </c>
      <c r="L4" s="6">
        <v>136.489</v>
      </c>
      <c r="M4" s="6">
        <v>68.244500000000002</v>
      </c>
      <c r="N4" s="6">
        <v>0</v>
      </c>
      <c r="O4" s="6">
        <v>0</v>
      </c>
      <c r="P4" s="6">
        <v>0</v>
      </c>
      <c r="Q4" s="4" t="s">
        <v>52</v>
      </c>
      <c r="R4" s="4">
        <v>0</v>
      </c>
      <c r="S4" s="4">
        <v>0</v>
      </c>
      <c r="T4" s="4">
        <v>6</v>
      </c>
      <c r="U4" s="4">
        <v>0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67.489999999999995</v>
      </c>
      <c r="X4" s="6">
        <f>IF(ISERROR(VLOOKUP($U$4,'TAR FIN'!$A$1:$O$85,15,0)),0,VLOOKUP($U$4,'TAR FIN'!$A$1:$O$85,15,0))</f>
        <v>0</v>
      </c>
      <c r="Y4" s="6"/>
      <c r="Z4" s="6">
        <f ca="1">('TUSD BE'!$AM$12+'TUSD BF'!$AM$12+'TUSD CVA'!$AM$12)*1</f>
        <v>91.421403244159023</v>
      </c>
      <c r="AA4" s="6"/>
      <c r="AB4" s="6">
        <f t="shared" si="0"/>
        <v>0</v>
      </c>
      <c r="AC4" s="6">
        <f t="shared" si="1"/>
        <v>4605.8213049999995</v>
      </c>
      <c r="AD4" s="6">
        <f t="shared" si="2"/>
        <v>0</v>
      </c>
      <c r="AE4" s="6">
        <f t="shared" ca="1" si="3"/>
        <v>6239.0079536960111</v>
      </c>
      <c r="AF4" s="4" t="s">
        <v>689</v>
      </c>
      <c r="AH4" s="35" t="s">
        <v>696</v>
      </c>
      <c r="AI4" s="36">
        <f t="shared" si="4"/>
        <v>0</v>
      </c>
      <c r="AJ4" s="36">
        <f t="shared" si="5"/>
        <v>0</v>
      </c>
    </row>
    <row r="5" spans="1:36" ht="11.25" customHeight="1" x14ac:dyDescent="0.3">
      <c r="A5" s="4" t="s">
        <v>27</v>
      </c>
      <c r="B5" s="4" t="s">
        <v>39</v>
      </c>
      <c r="C5" s="4" t="s">
        <v>40</v>
      </c>
      <c r="D5" s="4" t="s">
        <v>38</v>
      </c>
      <c r="E5" s="4" t="s">
        <v>25</v>
      </c>
      <c r="F5" s="4" t="s">
        <v>51</v>
      </c>
      <c r="G5" s="4" t="s">
        <v>25</v>
      </c>
      <c r="H5" s="4" t="s">
        <v>35</v>
      </c>
      <c r="I5" s="5">
        <v>44470</v>
      </c>
      <c r="J5" s="6">
        <v>0</v>
      </c>
      <c r="K5" s="6">
        <v>0</v>
      </c>
      <c r="L5" s="6">
        <v>136.489</v>
      </c>
      <c r="M5" s="6">
        <v>68.244500000000002</v>
      </c>
      <c r="N5" s="6">
        <v>0</v>
      </c>
      <c r="O5" s="6">
        <v>0</v>
      </c>
      <c r="P5" s="6">
        <v>0</v>
      </c>
      <c r="Q5" s="4" t="s">
        <v>52</v>
      </c>
      <c r="R5" s="4">
        <v>0</v>
      </c>
      <c r="S5" s="4">
        <v>0</v>
      </c>
      <c r="T5" s="4">
        <v>6</v>
      </c>
      <c r="U5" s="4">
        <v>0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67.489999999999995</v>
      </c>
      <c r="X5" s="6">
        <f>IF(ISERROR(VLOOKUP($U$5,'TAR FIN'!$A$1:$O$85,15,0)),0,VLOOKUP($U$5,'TAR FIN'!$A$1:$O$85,15,0))</f>
        <v>0</v>
      </c>
      <c r="Y5" s="6"/>
      <c r="Z5" s="6">
        <f ca="1">('TUSD BE'!$AM$12+'TUSD BF'!$AM$12+'TUSD CVA'!$AM$12)*1</f>
        <v>91.421403244159023</v>
      </c>
      <c r="AA5" s="6"/>
      <c r="AB5" s="6">
        <f t="shared" si="0"/>
        <v>0</v>
      </c>
      <c r="AC5" s="6">
        <f t="shared" si="1"/>
        <v>4605.8213049999995</v>
      </c>
      <c r="AD5" s="6">
        <f t="shared" si="2"/>
        <v>0</v>
      </c>
      <c r="AE5" s="6">
        <f t="shared" ca="1" si="3"/>
        <v>6239.0079536960111</v>
      </c>
      <c r="AF5" s="4" t="s">
        <v>689</v>
      </c>
      <c r="AH5" s="35" t="s">
        <v>691</v>
      </c>
      <c r="AI5" s="36">
        <f t="shared" si="4"/>
        <v>92768.900514600013</v>
      </c>
      <c r="AJ5" s="36">
        <f t="shared" ca="1" si="5"/>
        <v>46741.133443092986</v>
      </c>
    </row>
    <row r="6" spans="1:36" ht="11.25" customHeight="1" x14ac:dyDescent="0.3">
      <c r="A6" s="4" t="s">
        <v>21</v>
      </c>
      <c r="B6" s="4" t="s">
        <v>39</v>
      </c>
      <c r="C6" s="4" t="s">
        <v>40</v>
      </c>
      <c r="D6" s="4" t="s">
        <v>38</v>
      </c>
      <c r="E6" s="4" t="s">
        <v>25</v>
      </c>
      <c r="F6" s="4" t="s">
        <v>51</v>
      </c>
      <c r="G6" s="4" t="s">
        <v>25</v>
      </c>
      <c r="H6" s="4" t="s">
        <v>35</v>
      </c>
      <c r="I6" s="5">
        <v>44501</v>
      </c>
      <c r="J6" s="6">
        <v>0</v>
      </c>
      <c r="K6" s="6">
        <v>0</v>
      </c>
      <c r="L6" s="6">
        <v>129.18799999999999</v>
      </c>
      <c r="M6" s="6">
        <v>64.593999999999994</v>
      </c>
      <c r="N6" s="6">
        <v>0</v>
      </c>
      <c r="O6" s="6">
        <v>0</v>
      </c>
      <c r="P6" s="6">
        <v>0</v>
      </c>
      <c r="Q6" s="4" t="s">
        <v>52</v>
      </c>
      <c r="R6" s="4">
        <v>0</v>
      </c>
      <c r="S6" s="4">
        <v>0</v>
      </c>
      <c r="T6" s="4">
        <v>6</v>
      </c>
      <c r="U6" s="4">
        <v>0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67.489999999999995</v>
      </c>
      <c r="X6" s="6">
        <f>IF(ISERROR(VLOOKUP($U$6,'TAR FIN'!$A$1:$O$85,15,0)),0,VLOOKUP($U$6,'TAR FIN'!$A$1:$O$85,15,0))</f>
        <v>0</v>
      </c>
      <c r="Y6" s="6"/>
      <c r="Z6" s="6">
        <f ca="1">('TUSD BE'!$AM$12+'TUSD BF'!$AM$12+'TUSD CVA'!$AM$12)*1</f>
        <v>91.421403244159023</v>
      </c>
      <c r="AA6" s="6"/>
      <c r="AB6" s="6">
        <f t="shared" si="0"/>
        <v>0</v>
      </c>
      <c r="AC6" s="6">
        <f t="shared" si="1"/>
        <v>4359.449059999999</v>
      </c>
      <c r="AD6" s="6">
        <f t="shared" si="2"/>
        <v>0</v>
      </c>
      <c r="AE6" s="6">
        <f t="shared" ca="1" si="3"/>
        <v>5905.2741211532075</v>
      </c>
      <c r="AF6" s="4" t="s">
        <v>689</v>
      </c>
      <c r="AH6" s="35" t="s">
        <v>690</v>
      </c>
      <c r="AI6" s="36">
        <f t="shared" si="4"/>
        <v>47867.436539600014</v>
      </c>
      <c r="AJ6" s="36">
        <f t="shared" ca="1" si="5"/>
        <v>29408.414490057829</v>
      </c>
    </row>
    <row r="7" spans="1:36" ht="11.25" customHeight="1" x14ac:dyDescent="0.3">
      <c r="A7" s="4" t="s">
        <v>27</v>
      </c>
      <c r="B7" s="4" t="s">
        <v>39</v>
      </c>
      <c r="C7" s="4" t="s">
        <v>40</v>
      </c>
      <c r="D7" s="4" t="s">
        <v>38</v>
      </c>
      <c r="E7" s="4" t="s">
        <v>25</v>
      </c>
      <c r="F7" s="4" t="s">
        <v>51</v>
      </c>
      <c r="G7" s="4" t="s">
        <v>25</v>
      </c>
      <c r="H7" s="4" t="s">
        <v>35</v>
      </c>
      <c r="I7" s="5">
        <v>44501</v>
      </c>
      <c r="J7" s="6">
        <v>0</v>
      </c>
      <c r="K7" s="6">
        <v>0</v>
      </c>
      <c r="L7" s="6">
        <v>129.18799999999999</v>
      </c>
      <c r="M7" s="6">
        <v>64.593999999999994</v>
      </c>
      <c r="N7" s="6">
        <v>0</v>
      </c>
      <c r="O7" s="6">
        <v>0</v>
      </c>
      <c r="P7" s="6">
        <v>0</v>
      </c>
      <c r="Q7" s="4" t="s">
        <v>52</v>
      </c>
      <c r="R7" s="4">
        <v>0</v>
      </c>
      <c r="S7" s="4">
        <v>0</v>
      </c>
      <c r="T7" s="4">
        <v>6</v>
      </c>
      <c r="U7" s="4">
        <v>0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67.489999999999995</v>
      </c>
      <c r="X7" s="6">
        <f>IF(ISERROR(VLOOKUP($U$7,'TAR FIN'!$A$1:$O$85,15,0)),0,VLOOKUP($U$7,'TAR FIN'!$A$1:$O$85,15,0))</f>
        <v>0</v>
      </c>
      <c r="Y7" s="6"/>
      <c r="Z7" s="6">
        <f ca="1">('TUSD BE'!$AM$12+'TUSD BF'!$AM$12+'TUSD CVA'!$AM$12)*1</f>
        <v>91.421403244159023</v>
      </c>
      <c r="AA7" s="6"/>
      <c r="AB7" s="6">
        <f t="shared" si="0"/>
        <v>0</v>
      </c>
      <c r="AC7" s="6">
        <f t="shared" si="1"/>
        <v>4359.449059999999</v>
      </c>
      <c r="AD7" s="6">
        <f t="shared" si="2"/>
        <v>0</v>
      </c>
      <c r="AE7" s="6">
        <f t="shared" ca="1" si="3"/>
        <v>5905.2741211532075</v>
      </c>
      <c r="AF7" s="4" t="s">
        <v>689</v>
      </c>
      <c r="AH7" s="35" t="s">
        <v>697</v>
      </c>
      <c r="AI7" s="36">
        <f t="shared" si="4"/>
        <v>0</v>
      </c>
      <c r="AJ7" s="36">
        <f t="shared" si="5"/>
        <v>0</v>
      </c>
    </row>
    <row r="8" spans="1:36" ht="11.25" customHeight="1" x14ac:dyDescent="0.3">
      <c r="A8" s="4" t="s">
        <v>21</v>
      </c>
      <c r="B8" s="4" t="s">
        <v>39</v>
      </c>
      <c r="C8" s="4" t="s">
        <v>40</v>
      </c>
      <c r="D8" s="4" t="s">
        <v>38</v>
      </c>
      <c r="E8" s="4" t="s">
        <v>25</v>
      </c>
      <c r="F8" s="4" t="s">
        <v>51</v>
      </c>
      <c r="G8" s="4" t="s">
        <v>25</v>
      </c>
      <c r="H8" s="4" t="s">
        <v>35</v>
      </c>
      <c r="I8" s="5">
        <v>44531</v>
      </c>
      <c r="J8" s="6">
        <v>0</v>
      </c>
      <c r="K8" s="6">
        <v>0</v>
      </c>
      <c r="L8" s="6">
        <v>132.274</v>
      </c>
      <c r="M8" s="6">
        <v>66.137</v>
      </c>
      <c r="N8" s="6">
        <v>0</v>
      </c>
      <c r="O8" s="6">
        <v>0</v>
      </c>
      <c r="P8" s="6">
        <v>0</v>
      </c>
      <c r="Q8" s="4" t="s">
        <v>52</v>
      </c>
      <c r="R8" s="4">
        <v>0</v>
      </c>
      <c r="S8" s="4">
        <v>0</v>
      </c>
      <c r="T8" s="4">
        <v>6</v>
      </c>
      <c r="U8" s="4">
        <v>0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67.489999999999995</v>
      </c>
      <c r="X8" s="6">
        <f>IF(ISERROR(VLOOKUP($U$8,'TAR FIN'!$A$1:$O$85,15,0)),0,VLOOKUP($U$8,'TAR FIN'!$A$1:$O$85,15,0))</f>
        <v>0</v>
      </c>
      <c r="Y8" s="6"/>
      <c r="Z8" s="6">
        <f ca="1">('TUSD BE'!$AM$12+'TUSD BF'!$AM$12+'TUSD CVA'!$AM$12)*1</f>
        <v>91.421403244159023</v>
      </c>
      <c r="AA8" s="6"/>
      <c r="AB8" s="6">
        <f t="shared" si="0"/>
        <v>0</v>
      </c>
      <c r="AC8" s="6">
        <f t="shared" si="1"/>
        <v>4463.5861299999997</v>
      </c>
      <c r="AD8" s="6">
        <f t="shared" si="2"/>
        <v>0</v>
      </c>
      <c r="AE8" s="6">
        <f t="shared" ca="1" si="3"/>
        <v>6046.3373463589451</v>
      </c>
      <c r="AF8" s="4" t="s">
        <v>689</v>
      </c>
      <c r="AH8" s="35" t="s">
        <v>692</v>
      </c>
      <c r="AI8" s="36">
        <f t="shared" si="4"/>
        <v>92400.683709999998</v>
      </c>
      <c r="AJ8" s="36">
        <f t="shared" ca="1" si="5"/>
        <v>94320.516679364897</v>
      </c>
    </row>
    <row r="9" spans="1:36" ht="11.25" customHeight="1" x14ac:dyDescent="0.3">
      <c r="A9" s="4" t="s">
        <v>27</v>
      </c>
      <c r="B9" s="4" t="s">
        <v>39</v>
      </c>
      <c r="C9" s="4" t="s">
        <v>40</v>
      </c>
      <c r="D9" s="4" t="s">
        <v>38</v>
      </c>
      <c r="E9" s="4" t="s">
        <v>25</v>
      </c>
      <c r="F9" s="4" t="s">
        <v>51</v>
      </c>
      <c r="G9" s="4" t="s">
        <v>25</v>
      </c>
      <c r="H9" s="4" t="s">
        <v>35</v>
      </c>
      <c r="I9" s="5">
        <v>44531</v>
      </c>
      <c r="J9" s="6">
        <v>0</v>
      </c>
      <c r="K9" s="6">
        <v>0</v>
      </c>
      <c r="L9" s="6">
        <v>132.274</v>
      </c>
      <c r="M9" s="6">
        <v>66.137</v>
      </c>
      <c r="N9" s="6">
        <v>0</v>
      </c>
      <c r="O9" s="6">
        <v>0</v>
      </c>
      <c r="P9" s="6">
        <v>0</v>
      </c>
      <c r="Q9" s="4" t="s">
        <v>52</v>
      </c>
      <c r="R9" s="4">
        <v>0</v>
      </c>
      <c r="S9" s="4">
        <v>0</v>
      </c>
      <c r="T9" s="4">
        <v>6</v>
      </c>
      <c r="U9" s="4">
        <v>0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67.489999999999995</v>
      </c>
      <c r="X9" s="6">
        <f>IF(ISERROR(VLOOKUP($U$9,'TAR FIN'!$A$1:$O$85,15,0)),0,VLOOKUP($U$9,'TAR FIN'!$A$1:$O$85,15,0))</f>
        <v>0</v>
      </c>
      <c r="Y9" s="6"/>
      <c r="Z9" s="6">
        <f ca="1">('TUSD BE'!$AM$12+'TUSD BF'!$AM$12+'TUSD CVA'!$AM$12)*1</f>
        <v>91.421403244159023</v>
      </c>
      <c r="AA9" s="6"/>
      <c r="AB9" s="6">
        <f t="shared" si="0"/>
        <v>0</v>
      </c>
      <c r="AC9" s="6">
        <f t="shared" si="1"/>
        <v>4463.5861299999997</v>
      </c>
      <c r="AD9" s="6">
        <f t="shared" si="2"/>
        <v>0</v>
      </c>
      <c r="AE9" s="6">
        <f t="shared" ca="1" si="3"/>
        <v>6046.3373463589451</v>
      </c>
      <c r="AF9" s="4" t="s">
        <v>689</v>
      </c>
      <c r="AH9" s="35" t="s">
        <v>698</v>
      </c>
      <c r="AI9" s="36">
        <f t="shared" si="4"/>
        <v>0</v>
      </c>
      <c r="AJ9" s="36">
        <f t="shared" si="5"/>
        <v>0</v>
      </c>
    </row>
    <row r="10" spans="1:36" ht="11.25" customHeight="1" x14ac:dyDescent="0.3">
      <c r="A10" s="4" t="s">
        <v>21</v>
      </c>
      <c r="B10" s="4" t="s">
        <v>39</v>
      </c>
      <c r="C10" s="4" t="s">
        <v>40</v>
      </c>
      <c r="D10" s="4" t="s">
        <v>38</v>
      </c>
      <c r="E10" s="4" t="s">
        <v>25</v>
      </c>
      <c r="F10" s="4" t="s">
        <v>51</v>
      </c>
      <c r="G10" s="4" t="s">
        <v>25</v>
      </c>
      <c r="H10" s="4" t="s">
        <v>35</v>
      </c>
      <c r="I10" s="5">
        <v>44562</v>
      </c>
      <c r="J10" s="6">
        <v>0</v>
      </c>
      <c r="K10" s="6">
        <v>0</v>
      </c>
      <c r="L10" s="6">
        <v>150.48500000000001</v>
      </c>
      <c r="M10" s="6">
        <v>75.242500000000007</v>
      </c>
      <c r="N10" s="6">
        <v>0</v>
      </c>
      <c r="O10" s="6">
        <v>0</v>
      </c>
      <c r="P10" s="6">
        <v>0</v>
      </c>
      <c r="Q10" s="4" t="s">
        <v>52</v>
      </c>
      <c r="R10" s="4">
        <v>0</v>
      </c>
      <c r="S10" s="4">
        <v>0</v>
      </c>
      <c r="T10" s="4">
        <v>6</v>
      </c>
      <c r="U10" s="4">
        <v>0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67.489999999999995</v>
      </c>
      <c r="X10" s="6">
        <f>IF(ISERROR(VLOOKUP($U$10,'TAR FIN'!$A$1:$O$85,15,0)),0,VLOOKUP($U$10,'TAR FIN'!$A$1:$O$85,15,0))</f>
        <v>0</v>
      </c>
      <c r="Y10" s="6"/>
      <c r="Z10" s="6">
        <f ca="1">('TUSD BE'!$AM$12+'TUSD BF'!$AM$12+'TUSD CVA'!$AM$12)*1</f>
        <v>91.421403244159023</v>
      </c>
      <c r="AA10" s="6"/>
      <c r="AB10" s="6">
        <f t="shared" si="0"/>
        <v>0</v>
      </c>
      <c r="AC10" s="6">
        <f t="shared" si="1"/>
        <v>5078.116325</v>
      </c>
      <c r="AD10" s="6">
        <f t="shared" si="2"/>
        <v>0</v>
      </c>
      <c r="AE10" s="6">
        <f t="shared" ca="1" si="3"/>
        <v>6878.7749335986364</v>
      </c>
      <c r="AF10" s="4" t="s">
        <v>689</v>
      </c>
    </row>
    <row r="11" spans="1:36" ht="11.25" customHeight="1" x14ac:dyDescent="0.3">
      <c r="A11" s="4" t="s">
        <v>27</v>
      </c>
      <c r="B11" s="4" t="s">
        <v>39</v>
      </c>
      <c r="C11" s="4" t="s">
        <v>40</v>
      </c>
      <c r="D11" s="4" t="s">
        <v>38</v>
      </c>
      <c r="E11" s="4" t="s">
        <v>25</v>
      </c>
      <c r="F11" s="4" t="s">
        <v>51</v>
      </c>
      <c r="G11" s="4" t="s">
        <v>25</v>
      </c>
      <c r="H11" s="4" t="s">
        <v>35</v>
      </c>
      <c r="I11" s="5">
        <v>44562</v>
      </c>
      <c r="J11" s="6">
        <v>0</v>
      </c>
      <c r="K11" s="6">
        <v>0</v>
      </c>
      <c r="L11" s="6">
        <v>150.48500000000001</v>
      </c>
      <c r="M11" s="6">
        <v>75.242500000000007</v>
      </c>
      <c r="N11" s="6">
        <v>0</v>
      </c>
      <c r="O11" s="6">
        <v>0</v>
      </c>
      <c r="P11" s="6">
        <v>0</v>
      </c>
      <c r="Q11" s="4" t="s">
        <v>52</v>
      </c>
      <c r="R11" s="4">
        <v>0</v>
      </c>
      <c r="S11" s="4">
        <v>0</v>
      </c>
      <c r="T11" s="4">
        <v>6</v>
      </c>
      <c r="U11" s="4">
        <v>0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67.489999999999995</v>
      </c>
      <c r="X11" s="6">
        <f>IF(ISERROR(VLOOKUP($U$11,'TAR FIN'!$A$1:$O$85,15,0)),0,VLOOKUP($U$11,'TAR FIN'!$A$1:$O$85,15,0))</f>
        <v>0</v>
      </c>
      <c r="Y11" s="6"/>
      <c r="Z11" s="6">
        <f ca="1">('TUSD BE'!$AM$12+'TUSD BF'!$AM$12+'TUSD CVA'!$AM$12)*1</f>
        <v>91.421403244159023</v>
      </c>
      <c r="AA11" s="6"/>
      <c r="AB11" s="6">
        <f t="shared" si="0"/>
        <v>0</v>
      </c>
      <c r="AC11" s="6">
        <f t="shared" si="1"/>
        <v>5078.116325</v>
      </c>
      <c r="AD11" s="6">
        <f t="shared" si="2"/>
        <v>0</v>
      </c>
      <c r="AE11" s="6">
        <f t="shared" ca="1" si="3"/>
        <v>6878.7749335986364</v>
      </c>
      <c r="AF11" s="4" t="s">
        <v>689</v>
      </c>
    </row>
    <row r="12" spans="1:36" ht="11.25" customHeight="1" x14ac:dyDescent="0.3">
      <c r="A12" s="4" t="s">
        <v>21</v>
      </c>
      <c r="B12" s="4" t="s">
        <v>39</v>
      </c>
      <c r="C12" s="4" t="s">
        <v>40</v>
      </c>
      <c r="D12" s="4" t="s">
        <v>38</v>
      </c>
      <c r="E12" s="4" t="s">
        <v>25</v>
      </c>
      <c r="F12" s="4" t="s">
        <v>51</v>
      </c>
      <c r="G12" s="4" t="s">
        <v>25</v>
      </c>
      <c r="H12" s="4" t="s">
        <v>35</v>
      </c>
      <c r="I12" s="5">
        <v>44593</v>
      </c>
      <c r="J12" s="6">
        <v>0</v>
      </c>
      <c r="K12" s="6">
        <v>0</v>
      </c>
      <c r="L12" s="6">
        <v>105.614</v>
      </c>
      <c r="M12" s="6">
        <v>52.807000000000002</v>
      </c>
      <c r="N12" s="6">
        <v>0</v>
      </c>
      <c r="O12" s="6">
        <v>0</v>
      </c>
      <c r="P12" s="6">
        <v>0</v>
      </c>
      <c r="Q12" s="4" t="s">
        <v>52</v>
      </c>
      <c r="R12" s="4">
        <v>0</v>
      </c>
      <c r="S12" s="4">
        <v>0</v>
      </c>
      <c r="T12" s="4">
        <v>6</v>
      </c>
      <c r="U12" s="4">
        <v>0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67.489999999999995</v>
      </c>
      <c r="X12" s="6">
        <f>IF(ISERROR(VLOOKUP($U$12,'TAR FIN'!$A$1:$O$85,15,0)),0,VLOOKUP($U$12,'TAR FIN'!$A$1:$O$85,15,0))</f>
        <v>0</v>
      </c>
      <c r="Y12" s="6"/>
      <c r="Z12" s="6">
        <f ca="1">('TUSD BE'!$AM$12+'TUSD BF'!$AM$12+'TUSD CVA'!$AM$12)*1</f>
        <v>91.421403244159023</v>
      </c>
      <c r="AA12" s="6"/>
      <c r="AB12" s="6">
        <f t="shared" si="0"/>
        <v>0</v>
      </c>
      <c r="AC12" s="6">
        <f t="shared" si="1"/>
        <v>3563.94443</v>
      </c>
      <c r="AD12" s="6">
        <f t="shared" si="2"/>
        <v>0</v>
      </c>
      <c r="AE12" s="6">
        <f t="shared" ca="1" si="3"/>
        <v>4827.690041114306</v>
      </c>
      <c r="AF12" s="4" t="s">
        <v>689</v>
      </c>
    </row>
    <row r="13" spans="1:36" ht="11.25" customHeight="1" x14ac:dyDescent="0.3">
      <c r="A13" s="4" t="s">
        <v>27</v>
      </c>
      <c r="B13" s="4" t="s">
        <v>39</v>
      </c>
      <c r="C13" s="4" t="s">
        <v>40</v>
      </c>
      <c r="D13" s="4" t="s">
        <v>38</v>
      </c>
      <c r="E13" s="4" t="s">
        <v>25</v>
      </c>
      <c r="F13" s="4" t="s">
        <v>51</v>
      </c>
      <c r="G13" s="4" t="s">
        <v>25</v>
      </c>
      <c r="H13" s="4" t="s">
        <v>35</v>
      </c>
      <c r="I13" s="5">
        <v>44593</v>
      </c>
      <c r="J13" s="6">
        <v>0</v>
      </c>
      <c r="K13" s="6">
        <v>0</v>
      </c>
      <c r="L13" s="6">
        <v>105.614</v>
      </c>
      <c r="M13" s="6">
        <v>52.807000000000002</v>
      </c>
      <c r="N13" s="6">
        <v>0</v>
      </c>
      <c r="O13" s="6">
        <v>0</v>
      </c>
      <c r="P13" s="6">
        <v>0</v>
      </c>
      <c r="Q13" s="4" t="s">
        <v>52</v>
      </c>
      <c r="R13" s="4">
        <v>0</v>
      </c>
      <c r="S13" s="4">
        <v>0</v>
      </c>
      <c r="T13" s="4">
        <v>6</v>
      </c>
      <c r="U13" s="4">
        <v>0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67.489999999999995</v>
      </c>
      <c r="X13" s="6">
        <f>IF(ISERROR(VLOOKUP($U$13,'TAR FIN'!$A$1:$O$85,15,0)),0,VLOOKUP($U$13,'TAR FIN'!$A$1:$O$85,15,0))</f>
        <v>0</v>
      </c>
      <c r="Y13" s="6"/>
      <c r="Z13" s="6">
        <f ca="1">('TUSD BE'!$AM$12+'TUSD BF'!$AM$12+'TUSD CVA'!$AM$12)*1</f>
        <v>91.421403244159023</v>
      </c>
      <c r="AA13" s="6"/>
      <c r="AB13" s="6">
        <f t="shared" si="0"/>
        <v>0</v>
      </c>
      <c r="AC13" s="6">
        <f t="shared" si="1"/>
        <v>3563.94443</v>
      </c>
      <c r="AD13" s="6">
        <f t="shared" si="2"/>
        <v>0</v>
      </c>
      <c r="AE13" s="6">
        <f t="shared" ca="1" si="3"/>
        <v>4827.690041114306</v>
      </c>
      <c r="AF13" s="4" t="s">
        <v>689</v>
      </c>
    </row>
    <row r="14" spans="1:36" ht="11.25" customHeight="1" x14ac:dyDescent="0.3">
      <c r="A14" s="4" t="s">
        <v>21</v>
      </c>
      <c r="B14" s="4" t="s">
        <v>39</v>
      </c>
      <c r="C14" s="4" t="s">
        <v>40</v>
      </c>
      <c r="D14" s="4" t="s">
        <v>38</v>
      </c>
      <c r="E14" s="4" t="s">
        <v>25</v>
      </c>
      <c r="F14" s="4" t="s">
        <v>51</v>
      </c>
      <c r="G14" s="4" t="s">
        <v>25</v>
      </c>
      <c r="H14" s="4" t="s">
        <v>35</v>
      </c>
      <c r="I14" s="5">
        <v>44621</v>
      </c>
      <c r="J14" s="6">
        <v>0</v>
      </c>
      <c r="K14" s="6">
        <v>0</v>
      </c>
      <c r="L14" s="6">
        <v>134.99199999999999</v>
      </c>
      <c r="M14" s="6">
        <v>67.495999999999995</v>
      </c>
      <c r="N14" s="6">
        <v>0</v>
      </c>
      <c r="O14" s="6">
        <v>0</v>
      </c>
      <c r="P14" s="6">
        <v>0</v>
      </c>
      <c r="Q14" s="4" t="s">
        <v>52</v>
      </c>
      <c r="R14" s="4">
        <v>0</v>
      </c>
      <c r="S14" s="4">
        <v>0</v>
      </c>
      <c r="T14" s="4">
        <v>6</v>
      </c>
      <c r="U14" s="4">
        <v>0</v>
      </c>
      <c r="V14" s="6">
        <f>IF(ISERROR(VLOOKUP($S$14,'TAR FIN'!$A$1:$O$85,15,0)),0,VLOOKUP($S$14,'TAR FIN'!$A$1:$O$85,15,0))</f>
        <v>0</v>
      </c>
      <c r="W14" s="6">
        <f>IF(ISERROR(VLOOKUP($T$14,'TAR FIN'!$A$1:$O$85,15,0)),0,VLOOKUP($T$14,'TAR FIN'!$A$1:$O$85,15,0))</f>
        <v>67.489999999999995</v>
      </c>
      <c r="X14" s="6">
        <f>IF(ISERROR(VLOOKUP($U$14,'TAR FIN'!$A$1:$O$85,15,0)),0,VLOOKUP($U$14,'TAR FIN'!$A$1:$O$85,15,0))</f>
        <v>0</v>
      </c>
      <c r="Y14" s="6"/>
      <c r="Z14" s="6">
        <f ca="1">('TUSD BE'!$AM$12+'TUSD BF'!$AM$12+'TUSD CVA'!$AM$12)*1</f>
        <v>91.421403244159023</v>
      </c>
      <c r="AA14" s="6"/>
      <c r="AB14" s="6">
        <f t="shared" si="0"/>
        <v>0</v>
      </c>
      <c r="AC14" s="6">
        <f t="shared" si="1"/>
        <v>4555.3050399999993</v>
      </c>
      <c r="AD14" s="6">
        <f t="shared" si="2"/>
        <v>0</v>
      </c>
      <c r="AE14" s="6">
        <f t="shared" ca="1" si="3"/>
        <v>6170.5790333677569</v>
      </c>
      <c r="AF14" s="4" t="s">
        <v>689</v>
      </c>
    </row>
    <row r="15" spans="1:36" ht="11.25" customHeight="1" x14ac:dyDescent="0.3">
      <c r="A15" s="4" t="s">
        <v>27</v>
      </c>
      <c r="B15" s="4" t="s">
        <v>39</v>
      </c>
      <c r="C15" s="4" t="s">
        <v>40</v>
      </c>
      <c r="D15" s="4" t="s">
        <v>38</v>
      </c>
      <c r="E15" s="4" t="s">
        <v>25</v>
      </c>
      <c r="F15" s="4" t="s">
        <v>51</v>
      </c>
      <c r="G15" s="4" t="s">
        <v>25</v>
      </c>
      <c r="H15" s="4" t="s">
        <v>35</v>
      </c>
      <c r="I15" s="5">
        <v>44621</v>
      </c>
      <c r="J15" s="6">
        <v>0</v>
      </c>
      <c r="K15" s="6">
        <v>0</v>
      </c>
      <c r="L15" s="6">
        <v>134.99199999999999</v>
      </c>
      <c r="M15" s="6">
        <v>67.495999999999995</v>
      </c>
      <c r="N15" s="6">
        <v>0</v>
      </c>
      <c r="O15" s="6">
        <v>0</v>
      </c>
      <c r="P15" s="6">
        <v>0</v>
      </c>
      <c r="Q15" s="4" t="s">
        <v>52</v>
      </c>
      <c r="R15" s="4">
        <v>0</v>
      </c>
      <c r="S15" s="4">
        <v>0</v>
      </c>
      <c r="T15" s="4">
        <v>6</v>
      </c>
      <c r="U15" s="4">
        <v>0</v>
      </c>
      <c r="V15" s="6">
        <f>IF(ISERROR(VLOOKUP($S$15,'TAR FIN'!$A$1:$O$85,15,0)),0,VLOOKUP($S$15,'TAR FIN'!$A$1:$O$85,15,0))</f>
        <v>0</v>
      </c>
      <c r="W15" s="6">
        <f>IF(ISERROR(VLOOKUP($T$15,'TAR FIN'!$A$1:$O$85,15,0)),0,VLOOKUP($T$15,'TAR FIN'!$A$1:$O$85,15,0))</f>
        <v>67.489999999999995</v>
      </c>
      <c r="X15" s="6">
        <f>IF(ISERROR(VLOOKUP($U$15,'TAR FIN'!$A$1:$O$85,15,0)),0,VLOOKUP($U$15,'TAR FIN'!$A$1:$O$85,15,0))</f>
        <v>0</v>
      </c>
      <c r="Y15" s="6"/>
      <c r="Z15" s="6">
        <f ca="1">('TUSD BE'!$AM$12+'TUSD BF'!$AM$12+'TUSD CVA'!$AM$12)*1</f>
        <v>91.421403244159023</v>
      </c>
      <c r="AA15" s="6"/>
      <c r="AB15" s="6">
        <f t="shared" si="0"/>
        <v>0</v>
      </c>
      <c r="AC15" s="6">
        <f t="shared" si="1"/>
        <v>4555.3050399999993</v>
      </c>
      <c r="AD15" s="6">
        <f t="shared" si="2"/>
        <v>0</v>
      </c>
      <c r="AE15" s="6">
        <f t="shared" ca="1" si="3"/>
        <v>6170.5790333677569</v>
      </c>
      <c r="AF15" s="4" t="s">
        <v>689</v>
      </c>
    </row>
    <row r="16" spans="1:36" ht="11.25" customHeight="1" x14ac:dyDescent="0.3">
      <c r="A16" s="4" t="s">
        <v>21</v>
      </c>
      <c r="B16" s="4" t="s">
        <v>39</v>
      </c>
      <c r="C16" s="4" t="s">
        <v>40</v>
      </c>
      <c r="D16" s="4" t="s">
        <v>38</v>
      </c>
      <c r="E16" s="4" t="s">
        <v>25</v>
      </c>
      <c r="F16" s="4" t="s">
        <v>51</v>
      </c>
      <c r="G16" s="4" t="s">
        <v>25</v>
      </c>
      <c r="H16" s="4" t="s">
        <v>35</v>
      </c>
      <c r="I16" s="5">
        <v>44652</v>
      </c>
      <c r="J16" s="6">
        <v>0</v>
      </c>
      <c r="K16" s="6">
        <v>0</v>
      </c>
      <c r="L16" s="6">
        <v>121.937</v>
      </c>
      <c r="M16" s="6">
        <v>60.968499999999999</v>
      </c>
      <c r="N16" s="6">
        <v>0</v>
      </c>
      <c r="O16" s="6">
        <v>0</v>
      </c>
      <c r="P16" s="6">
        <v>0</v>
      </c>
      <c r="Q16" s="4" t="s">
        <v>52</v>
      </c>
      <c r="R16" s="4">
        <v>0</v>
      </c>
      <c r="S16" s="4">
        <v>0</v>
      </c>
      <c r="T16" s="4">
        <v>6</v>
      </c>
      <c r="U16" s="4">
        <v>0</v>
      </c>
      <c r="V16" s="6">
        <f>IF(ISERROR(VLOOKUP($S$16,'TAR FIN'!$A$1:$O$85,15,0)),0,VLOOKUP($S$16,'TAR FIN'!$A$1:$O$85,15,0))</f>
        <v>0</v>
      </c>
      <c r="W16" s="6">
        <f>IF(ISERROR(VLOOKUP($T$16,'TAR FIN'!$A$1:$O$85,15,0)),0,VLOOKUP($T$16,'TAR FIN'!$A$1:$O$85,15,0))</f>
        <v>67.489999999999995</v>
      </c>
      <c r="X16" s="6">
        <f>IF(ISERROR(VLOOKUP($U$16,'TAR FIN'!$A$1:$O$85,15,0)),0,VLOOKUP($U$16,'TAR FIN'!$A$1:$O$85,15,0))</f>
        <v>0</v>
      </c>
      <c r="Y16" s="6"/>
      <c r="Z16" s="6">
        <f ca="1">('TUSD BE'!$AM$12+'TUSD BF'!$AM$12+'TUSD CVA'!$AM$12)*1</f>
        <v>91.421403244159023</v>
      </c>
      <c r="AA16" s="6"/>
      <c r="AB16" s="6">
        <f t="shared" si="0"/>
        <v>0</v>
      </c>
      <c r="AC16" s="6">
        <f t="shared" si="1"/>
        <v>4114.7640649999994</v>
      </c>
      <c r="AD16" s="6">
        <f t="shared" si="2"/>
        <v>0</v>
      </c>
      <c r="AE16" s="6">
        <f t="shared" ca="1" si="3"/>
        <v>5573.825823691509</v>
      </c>
      <c r="AF16" s="4" t="s">
        <v>689</v>
      </c>
    </row>
    <row r="17" spans="1:32" ht="11.25" customHeight="1" x14ac:dyDescent="0.3">
      <c r="A17" s="4" t="s">
        <v>27</v>
      </c>
      <c r="B17" s="4" t="s">
        <v>39</v>
      </c>
      <c r="C17" s="4" t="s">
        <v>40</v>
      </c>
      <c r="D17" s="4" t="s">
        <v>38</v>
      </c>
      <c r="E17" s="4" t="s">
        <v>25</v>
      </c>
      <c r="F17" s="4" t="s">
        <v>51</v>
      </c>
      <c r="G17" s="4" t="s">
        <v>25</v>
      </c>
      <c r="H17" s="4" t="s">
        <v>35</v>
      </c>
      <c r="I17" s="5">
        <v>44652</v>
      </c>
      <c r="J17" s="6">
        <v>0</v>
      </c>
      <c r="K17" s="6">
        <v>0</v>
      </c>
      <c r="L17" s="6">
        <v>121.937</v>
      </c>
      <c r="M17" s="6">
        <v>60.968499999999999</v>
      </c>
      <c r="N17" s="6">
        <v>0</v>
      </c>
      <c r="O17" s="6">
        <v>0</v>
      </c>
      <c r="P17" s="6">
        <v>0</v>
      </c>
      <c r="Q17" s="4" t="s">
        <v>52</v>
      </c>
      <c r="R17" s="4">
        <v>0</v>
      </c>
      <c r="S17" s="4">
        <v>0</v>
      </c>
      <c r="T17" s="4">
        <v>6</v>
      </c>
      <c r="U17" s="4">
        <v>0</v>
      </c>
      <c r="V17" s="6">
        <f>IF(ISERROR(VLOOKUP($S$17,'TAR FIN'!$A$1:$O$85,15,0)),0,VLOOKUP($S$17,'TAR FIN'!$A$1:$O$85,15,0))</f>
        <v>0</v>
      </c>
      <c r="W17" s="6">
        <f>IF(ISERROR(VLOOKUP($T$17,'TAR FIN'!$A$1:$O$85,15,0)),0,VLOOKUP($T$17,'TAR FIN'!$A$1:$O$85,15,0))</f>
        <v>67.489999999999995</v>
      </c>
      <c r="X17" s="6">
        <f>IF(ISERROR(VLOOKUP($U$17,'TAR FIN'!$A$1:$O$85,15,0)),0,VLOOKUP($U$17,'TAR FIN'!$A$1:$O$85,15,0))</f>
        <v>0</v>
      </c>
      <c r="Y17" s="6"/>
      <c r="Z17" s="6">
        <f ca="1">('TUSD BE'!$AM$12+'TUSD BF'!$AM$12+'TUSD CVA'!$AM$12)*1</f>
        <v>91.421403244159023</v>
      </c>
      <c r="AA17" s="6"/>
      <c r="AB17" s="6">
        <f t="shared" si="0"/>
        <v>0</v>
      </c>
      <c r="AC17" s="6">
        <f t="shared" si="1"/>
        <v>4114.7640649999994</v>
      </c>
      <c r="AD17" s="6">
        <f t="shared" si="2"/>
        <v>0</v>
      </c>
      <c r="AE17" s="6">
        <f t="shared" ca="1" si="3"/>
        <v>5573.825823691509</v>
      </c>
      <c r="AF17" s="4" t="s">
        <v>689</v>
      </c>
    </row>
    <row r="18" spans="1:32" ht="11.25" customHeight="1" x14ac:dyDescent="0.3">
      <c r="A18" s="4" t="s">
        <v>21</v>
      </c>
      <c r="B18" s="4" t="s">
        <v>39</v>
      </c>
      <c r="C18" s="4" t="s">
        <v>40</v>
      </c>
      <c r="D18" s="4" t="s">
        <v>38</v>
      </c>
      <c r="E18" s="4" t="s">
        <v>25</v>
      </c>
      <c r="F18" s="4" t="s">
        <v>51</v>
      </c>
      <c r="G18" s="4" t="s">
        <v>25</v>
      </c>
      <c r="H18" s="4" t="s">
        <v>35</v>
      </c>
      <c r="I18" s="5">
        <v>44682</v>
      </c>
      <c r="J18" s="6">
        <v>0</v>
      </c>
      <c r="K18" s="6">
        <v>0</v>
      </c>
      <c r="L18" s="6">
        <v>134.49</v>
      </c>
      <c r="M18" s="6">
        <v>67.245000000000005</v>
      </c>
      <c r="N18" s="6">
        <v>0</v>
      </c>
      <c r="O18" s="6">
        <v>0</v>
      </c>
      <c r="P18" s="6">
        <v>0</v>
      </c>
      <c r="Q18" s="4" t="s">
        <v>52</v>
      </c>
      <c r="R18" s="4">
        <v>0</v>
      </c>
      <c r="S18" s="4">
        <v>0</v>
      </c>
      <c r="T18" s="4">
        <v>6</v>
      </c>
      <c r="U18" s="4">
        <v>0</v>
      </c>
      <c r="V18" s="6">
        <f>IF(ISERROR(VLOOKUP($S$18,'TAR FIN'!$A$1:$O$85,15,0)),0,VLOOKUP($S$18,'TAR FIN'!$A$1:$O$85,15,0))</f>
        <v>0</v>
      </c>
      <c r="W18" s="6">
        <f>IF(ISERROR(VLOOKUP($T$18,'TAR FIN'!$A$1:$O$85,15,0)),0,VLOOKUP($T$18,'TAR FIN'!$A$1:$O$85,15,0))</f>
        <v>67.489999999999995</v>
      </c>
      <c r="X18" s="6">
        <f>IF(ISERROR(VLOOKUP($U$18,'TAR FIN'!$A$1:$O$85,15,0)),0,VLOOKUP($U$18,'TAR FIN'!$A$1:$O$85,15,0))</f>
        <v>0</v>
      </c>
      <c r="Y18" s="6"/>
      <c r="Z18" s="6">
        <f ca="1">('TUSD BE'!$AM$12+'TUSD BF'!$AM$12+'TUSD CVA'!$AM$12)*1</f>
        <v>91.421403244159023</v>
      </c>
      <c r="AA18" s="6"/>
      <c r="AB18" s="6">
        <f t="shared" si="0"/>
        <v>0</v>
      </c>
      <c r="AC18" s="6">
        <f t="shared" si="1"/>
        <v>4538.3650500000003</v>
      </c>
      <c r="AD18" s="6">
        <f t="shared" si="2"/>
        <v>0</v>
      </c>
      <c r="AE18" s="6">
        <f t="shared" ca="1" si="3"/>
        <v>6147.6322611534742</v>
      </c>
      <c r="AF18" s="4" t="s">
        <v>689</v>
      </c>
    </row>
    <row r="19" spans="1:32" ht="11.25" customHeight="1" x14ac:dyDescent="0.3">
      <c r="A19" s="4" t="s">
        <v>27</v>
      </c>
      <c r="B19" s="4" t="s">
        <v>39</v>
      </c>
      <c r="C19" s="4" t="s">
        <v>40</v>
      </c>
      <c r="D19" s="4" t="s">
        <v>38</v>
      </c>
      <c r="E19" s="4" t="s">
        <v>25</v>
      </c>
      <c r="F19" s="4" t="s">
        <v>51</v>
      </c>
      <c r="G19" s="4" t="s">
        <v>25</v>
      </c>
      <c r="H19" s="4" t="s">
        <v>35</v>
      </c>
      <c r="I19" s="5">
        <v>44682</v>
      </c>
      <c r="J19" s="6">
        <v>0</v>
      </c>
      <c r="K19" s="6">
        <v>0</v>
      </c>
      <c r="L19" s="6">
        <v>134.49</v>
      </c>
      <c r="M19" s="6">
        <v>67.245000000000005</v>
      </c>
      <c r="N19" s="6">
        <v>0</v>
      </c>
      <c r="O19" s="6">
        <v>0</v>
      </c>
      <c r="P19" s="6">
        <v>0</v>
      </c>
      <c r="Q19" s="4" t="s">
        <v>52</v>
      </c>
      <c r="R19" s="4">
        <v>0</v>
      </c>
      <c r="S19" s="4">
        <v>0</v>
      </c>
      <c r="T19" s="4">
        <v>6</v>
      </c>
      <c r="U19" s="4">
        <v>0</v>
      </c>
      <c r="V19" s="6">
        <f>IF(ISERROR(VLOOKUP($S$19,'TAR FIN'!$A$1:$O$85,15,0)),0,VLOOKUP($S$19,'TAR FIN'!$A$1:$O$85,15,0))</f>
        <v>0</v>
      </c>
      <c r="W19" s="6">
        <f>IF(ISERROR(VLOOKUP($T$19,'TAR FIN'!$A$1:$O$85,15,0)),0,VLOOKUP($T$19,'TAR FIN'!$A$1:$O$85,15,0))</f>
        <v>67.489999999999995</v>
      </c>
      <c r="X19" s="6">
        <f>IF(ISERROR(VLOOKUP($U$19,'TAR FIN'!$A$1:$O$85,15,0)),0,VLOOKUP($U$19,'TAR FIN'!$A$1:$O$85,15,0))</f>
        <v>0</v>
      </c>
      <c r="Y19" s="6"/>
      <c r="Z19" s="6">
        <f ca="1">('TUSD BE'!$AM$12+'TUSD BF'!$AM$12+'TUSD CVA'!$AM$12)*1</f>
        <v>91.421403244159023</v>
      </c>
      <c r="AA19" s="6"/>
      <c r="AB19" s="6">
        <f t="shared" si="0"/>
        <v>0</v>
      </c>
      <c r="AC19" s="6">
        <f t="shared" si="1"/>
        <v>4538.3650500000003</v>
      </c>
      <c r="AD19" s="6">
        <f t="shared" si="2"/>
        <v>0</v>
      </c>
      <c r="AE19" s="6">
        <f t="shared" ca="1" si="3"/>
        <v>6147.6322611534742</v>
      </c>
      <c r="AF19" s="4" t="s">
        <v>689</v>
      </c>
    </row>
    <row r="20" spans="1:32" ht="11.25" customHeight="1" x14ac:dyDescent="0.3">
      <c r="A20" s="4" t="s">
        <v>21</v>
      </c>
      <c r="B20" s="4" t="s">
        <v>39</v>
      </c>
      <c r="C20" s="4" t="s">
        <v>40</v>
      </c>
      <c r="D20" s="4" t="s">
        <v>38</v>
      </c>
      <c r="E20" s="4" t="s">
        <v>25</v>
      </c>
      <c r="F20" s="4" t="s">
        <v>51</v>
      </c>
      <c r="G20" s="4" t="s">
        <v>25</v>
      </c>
      <c r="H20" s="4" t="s">
        <v>35</v>
      </c>
      <c r="I20" s="5">
        <v>44713</v>
      </c>
      <c r="J20" s="6">
        <v>0</v>
      </c>
      <c r="K20" s="6">
        <v>0</v>
      </c>
      <c r="L20" s="6">
        <v>134.74299999999999</v>
      </c>
      <c r="M20" s="6">
        <v>67.371499999999997</v>
      </c>
      <c r="N20" s="6">
        <v>0</v>
      </c>
      <c r="O20" s="6">
        <v>0</v>
      </c>
      <c r="P20" s="6">
        <v>0</v>
      </c>
      <c r="Q20" s="4" t="s">
        <v>52</v>
      </c>
      <c r="R20" s="4">
        <v>0</v>
      </c>
      <c r="S20" s="4">
        <v>0</v>
      </c>
      <c r="T20" s="4">
        <v>6</v>
      </c>
      <c r="U20" s="4">
        <v>0</v>
      </c>
      <c r="V20" s="6">
        <f>IF(ISERROR(VLOOKUP($S$20,'TAR FIN'!$A$1:$O$85,15,0)),0,VLOOKUP($S$20,'TAR FIN'!$A$1:$O$85,15,0))</f>
        <v>0</v>
      </c>
      <c r="W20" s="6">
        <f>IF(ISERROR(VLOOKUP($T$20,'TAR FIN'!$A$1:$O$85,15,0)),0,VLOOKUP($T$20,'TAR FIN'!$A$1:$O$85,15,0))</f>
        <v>67.489999999999995</v>
      </c>
      <c r="X20" s="6">
        <f>IF(ISERROR(VLOOKUP($U$20,'TAR FIN'!$A$1:$O$85,15,0)),0,VLOOKUP($U$20,'TAR FIN'!$A$1:$O$85,15,0))</f>
        <v>0</v>
      </c>
      <c r="Y20" s="6"/>
      <c r="Z20" s="6">
        <f ca="1">('TUSD BE'!$AM$12+'TUSD BF'!$AM$12+'TUSD CVA'!$AM$12)*1</f>
        <v>91.421403244159023</v>
      </c>
      <c r="AA20" s="6"/>
      <c r="AB20" s="6">
        <f t="shared" si="0"/>
        <v>0</v>
      </c>
      <c r="AC20" s="6">
        <f t="shared" si="1"/>
        <v>4546.9025349999993</v>
      </c>
      <c r="AD20" s="6">
        <f t="shared" si="2"/>
        <v>0</v>
      </c>
      <c r="AE20" s="6">
        <f t="shared" ca="1" si="3"/>
        <v>6159.1970686638597</v>
      </c>
      <c r="AF20" s="4" t="s">
        <v>689</v>
      </c>
    </row>
    <row r="21" spans="1:32" ht="11.25" customHeight="1" x14ac:dyDescent="0.3">
      <c r="A21" s="4" t="s">
        <v>27</v>
      </c>
      <c r="B21" s="4" t="s">
        <v>39</v>
      </c>
      <c r="C21" s="4" t="s">
        <v>40</v>
      </c>
      <c r="D21" s="4" t="s">
        <v>38</v>
      </c>
      <c r="E21" s="4" t="s">
        <v>25</v>
      </c>
      <c r="F21" s="4" t="s">
        <v>51</v>
      </c>
      <c r="G21" s="4" t="s">
        <v>25</v>
      </c>
      <c r="H21" s="4" t="s">
        <v>35</v>
      </c>
      <c r="I21" s="5">
        <v>44713</v>
      </c>
      <c r="J21" s="6">
        <v>0</v>
      </c>
      <c r="K21" s="6">
        <v>0</v>
      </c>
      <c r="L21" s="6">
        <v>134.74299999999999</v>
      </c>
      <c r="M21" s="6">
        <v>67.371499999999997</v>
      </c>
      <c r="N21" s="6">
        <v>0</v>
      </c>
      <c r="O21" s="6">
        <v>0</v>
      </c>
      <c r="P21" s="6">
        <v>0</v>
      </c>
      <c r="Q21" s="4" t="s">
        <v>52</v>
      </c>
      <c r="R21" s="4">
        <v>0</v>
      </c>
      <c r="S21" s="4">
        <v>0</v>
      </c>
      <c r="T21" s="4">
        <v>6</v>
      </c>
      <c r="U21" s="4">
        <v>0</v>
      </c>
      <c r="V21" s="6">
        <f>IF(ISERROR(VLOOKUP($S$21,'TAR FIN'!$A$1:$O$85,15,0)),0,VLOOKUP($S$21,'TAR FIN'!$A$1:$O$85,15,0))</f>
        <v>0</v>
      </c>
      <c r="W21" s="6">
        <f>IF(ISERROR(VLOOKUP($T$21,'TAR FIN'!$A$1:$O$85,15,0)),0,VLOOKUP($T$21,'TAR FIN'!$A$1:$O$85,15,0))</f>
        <v>67.489999999999995</v>
      </c>
      <c r="X21" s="6">
        <f>IF(ISERROR(VLOOKUP($U$21,'TAR FIN'!$A$1:$O$85,15,0)),0,VLOOKUP($U$21,'TAR FIN'!$A$1:$O$85,15,0))</f>
        <v>0</v>
      </c>
      <c r="Y21" s="6"/>
      <c r="Z21" s="6">
        <f ca="1">('TUSD BE'!$AM$12+'TUSD BF'!$AM$12+'TUSD CVA'!$AM$12)*1</f>
        <v>91.421403244159023</v>
      </c>
      <c r="AA21" s="6"/>
      <c r="AB21" s="6">
        <f t="shared" si="0"/>
        <v>0</v>
      </c>
      <c r="AC21" s="6">
        <f t="shared" si="1"/>
        <v>4546.9025349999993</v>
      </c>
      <c r="AD21" s="6">
        <f t="shared" si="2"/>
        <v>0</v>
      </c>
      <c r="AE21" s="6">
        <f t="shared" ca="1" si="3"/>
        <v>6159.1970686638597</v>
      </c>
      <c r="AF21" s="4" t="s">
        <v>689</v>
      </c>
    </row>
    <row r="22" spans="1:32" ht="11.25" customHeight="1" x14ac:dyDescent="0.3">
      <c r="A22" s="4" t="s">
        <v>21</v>
      </c>
      <c r="B22" s="4" t="s">
        <v>39</v>
      </c>
      <c r="C22" s="4" t="s">
        <v>40</v>
      </c>
      <c r="D22" s="4" t="s">
        <v>38</v>
      </c>
      <c r="E22" s="4" t="s">
        <v>25</v>
      </c>
      <c r="F22" s="4" t="s">
        <v>51</v>
      </c>
      <c r="G22" s="4" t="s">
        <v>25</v>
      </c>
      <c r="H22" s="4" t="s">
        <v>35</v>
      </c>
      <c r="I22" s="5">
        <v>44743</v>
      </c>
      <c r="J22" s="6">
        <v>0</v>
      </c>
      <c r="K22" s="6">
        <v>0</v>
      </c>
      <c r="L22" s="6">
        <v>163.56399999999999</v>
      </c>
      <c r="M22" s="6">
        <v>81.781999999999996</v>
      </c>
      <c r="N22" s="6">
        <v>0</v>
      </c>
      <c r="O22" s="6">
        <v>0</v>
      </c>
      <c r="P22" s="6">
        <v>0</v>
      </c>
      <c r="Q22" s="4" t="s">
        <v>52</v>
      </c>
      <c r="R22" s="4">
        <v>0</v>
      </c>
      <c r="S22" s="4">
        <v>0</v>
      </c>
      <c r="T22" s="4">
        <v>6</v>
      </c>
      <c r="U22" s="4">
        <v>0</v>
      </c>
      <c r="V22" s="6">
        <f>IF(ISERROR(VLOOKUP($S$22,'TAR FIN'!$A$1:$O$85,15,0)),0,VLOOKUP($S$22,'TAR FIN'!$A$1:$O$85,15,0))</f>
        <v>0</v>
      </c>
      <c r="W22" s="6">
        <f>IF(ISERROR(VLOOKUP($T$22,'TAR FIN'!$A$1:$O$85,15,0)),0,VLOOKUP($T$22,'TAR FIN'!$A$1:$O$85,15,0))</f>
        <v>67.489999999999995</v>
      </c>
      <c r="X22" s="6">
        <f>IF(ISERROR(VLOOKUP($U$22,'TAR FIN'!$A$1:$O$85,15,0)),0,VLOOKUP($U$22,'TAR FIN'!$A$1:$O$85,15,0))</f>
        <v>0</v>
      </c>
      <c r="Y22" s="6"/>
      <c r="Z22" s="6">
        <f ca="1">('TUSD BE'!$AM$12+'TUSD BF'!$AM$12+'TUSD CVA'!$AM$12)*1</f>
        <v>91.421403244159023</v>
      </c>
      <c r="AA22" s="6"/>
      <c r="AB22" s="6">
        <f t="shared" si="0"/>
        <v>0</v>
      </c>
      <c r="AC22" s="6">
        <f t="shared" si="1"/>
        <v>5519.4671799999996</v>
      </c>
      <c r="AD22" s="6">
        <f t="shared" si="2"/>
        <v>0</v>
      </c>
      <c r="AE22" s="6">
        <f t="shared" ca="1" si="3"/>
        <v>7476.6252001138128</v>
      </c>
      <c r="AF22" s="4" t="s">
        <v>689</v>
      </c>
    </row>
    <row r="23" spans="1:32" ht="11.25" customHeight="1" x14ac:dyDescent="0.3">
      <c r="A23" s="4" t="s">
        <v>27</v>
      </c>
      <c r="B23" s="4" t="s">
        <v>39</v>
      </c>
      <c r="C23" s="4" t="s">
        <v>40</v>
      </c>
      <c r="D23" s="4" t="s">
        <v>38</v>
      </c>
      <c r="E23" s="4" t="s">
        <v>25</v>
      </c>
      <c r="F23" s="4" t="s">
        <v>51</v>
      </c>
      <c r="G23" s="4" t="s">
        <v>25</v>
      </c>
      <c r="H23" s="4" t="s">
        <v>35</v>
      </c>
      <c r="I23" s="5">
        <v>44743</v>
      </c>
      <c r="J23" s="6">
        <v>0</v>
      </c>
      <c r="K23" s="6">
        <v>0</v>
      </c>
      <c r="L23" s="6">
        <v>163.56399999999999</v>
      </c>
      <c r="M23" s="6">
        <v>81.781999999999996</v>
      </c>
      <c r="N23" s="6">
        <v>0</v>
      </c>
      <c r="O23" s="6">
        <v>0</v>
      </c>
      <c r="P23" s="6">
        <v>0</v>
      </c>
      <c r="Q23" s="4" t="s">
        <v>52</v>
      </c>
      <c r="R23" s="4">
        <v>0</v>
      </c>
      <c r="S23" s="4">
        <v>0</v>
      </c>
      <c r="T23" s="4">
        <v>6</v>
      </c>
      <c r="U23" s="4">
        <v>0</v>
      </c>
      <c r="V23" s="6">
        <f>IF(ISERROR(VLOOKUP($S$23,'TAR FIN'!$A$1:$O$85,15,0)),0,VLOOKUP($S$23,'TAR FIN'!$A$1:$O$85,15,0))</f>
        <v>0</v>
      </c>
      <c r="W23" s="6">
        <f>IF(ISERROR(VLOOKUP($T$23,'TAR FIN'!$A$1:$O$85,15,0)),0,VLOOKUP($T$23,'TAR FIN'!$A$1:$O$85,15,0))</f>
        <v>67.489999999999995</v>
      </c>
      <c r="X23" s="6">
        <f>IF(ISERROR(VLOOKUP($U$23,'TAR FIN'!$A$1:$O$85,15,0)),0,VLOOKUP($U$23,'TAR FIN'!$A$1:$O$85,15,0))</f>
        <v>0</v>
      </c>
      <c r="Y23" s="6"/>
      <c r="Z23" s="6">
        <f ca="1">('TUSD BE'!$AM$12+'TUSD BF'!$AM$12+'TUSD CVA'!$AM$12)*1</f>
        <v>91.421403244159023</v>
      </c>
      <c r="AA23" s="6"/>
      <c r="AB23" s="6">
        <f t="shared" si="0"/>
        <v>0</v>
      </c>
      <c r="AC23" s="6">
        <f t="shared" si="1"/>
        <v>5519.4671799999996</v>
      </c>
      <c r="AD23" s="6">
        <f t="shared" si="2"/>
        <v>0</v>
      </c>
      <c r="AE23" s="6">
        <f t="shared" ca="1" si="3"/>
        <v>7476.6252001138128</v>
      </c>
      <c r="AF23" s="4" t="s">
        <v>689</v>
      </c>
    </row>
    <row r="24" spans="1:32" ht="11.25" customHeight="1" x14ac:dyDescent="0.3">
      <c r="A24" s="4" t="s">
        <v>21</v>
      </c>
      <c r="B24" s="4" t="s">
        <v>39</v>
      </c>
      <c r="C24" s="4" t="s">
        <v>40</v>
      </c>
      <c r="D24" s="4" t="s">
        <v>38</v>
      </c>
      <c r="E24" s="4" t="s">
        <v>25</v>
      </c>
      <c r="F24" s="4" t="s">
        <v>51</v>
      </c>
      <c r="G24" s="4" t="s">
        <v>25</v>
      </c>
      <c r="H24" s="4" t="s">
        <v>35</v>
      </c>
      <c r="I24" s="5">
        <v>44774</v>
      </c>
      <c r="J24" s="6">
        <v>0</v>
      </c>
      <c r="K24" s="6">
        <v>0</v>
      </c>
      <c r="L24" s="6">
        <v>155.51400000000001</v>
      </c>
      <c r="M24" s="6">
        <v>80.074158600000004</v>
      </c>
      <c r="N24" s="6">
        <v>0</v>
      </c>
      <c r="O24" s="6">
        <v>0</v>
      </c>
      <c r="P24" s="6">
        <v>0</v>
      </c>
      <c r="Q24" s="4" t="s">
        <v>52</v>
      </c>
      <c r="R24" s="4">
        <v>0</v>
      </c>
      <c r="S24" s="4">
        <v>0</v>
      </c>
      <c r="T24" s="4">
        <v>6</v>
      </c>
      <c r="U24" s="4">
        <v>0</v>
      </c>
      <c r="V24" s="6">
        <f>IF(ISERROR(VLOOKUP($S$24,'TAR FIN'!$A$1:$O$85,15,0)),0,VLOOKUP($S$24,'TAR FIN'!$A$1:$O$85,15,0))</f>
        <v>0</v>
      </c>
      <c r="W24" s="6">
        <f>IF(ISERROR(VLOOKUP($T$24,'TAR FIN'!$A$1:$O$85,15,0)),0,VLOOKUP($T$24,'TAR FIN'!$A$1:$O$85,15,0))</f>
        <v>67.489999999999995</v>
      </c>
      <c r="X24" s="6">
        <f>IF(ISERROR(VLOOKUP($U$24,'TAR FIN'!$A$1:$O$85,15,0)),0,VLOOKUP($U$24,'TAR FIN'!$A$1:$O$85,15,0))</f>
        <v>0</v>
      </c>
      <c r="Y24" s="6"/>
      <c r="Z24" s="6">
        <f ca="1">('TUSD BE'!$AM$12+'TUSD BF'!$AM$12+'TUSD CVA'!$AM$12)*1</f>
        <v>91.421403244159023</v>
      </c>
      <c r="AA24" s="6"/>
      <c r="AB24" s="6">
        <f t="shared" si="0"/>
        <v>0</v>
      </c>
      <c r="AC24" s="6">
        <f t="shared" si="1"/>
        <v>5091.4348960859998</v>
      </c>
      <c r="AD24" s="6">
        <f t="shared" si="2"/>
        <v>0</v>
      </c>
      <c r="AE24" s="6">
        <f t="shared" ca="1" si="3"/>
        <v>6896.8161613048023</v>
      </c>
      <c r="AF24" s="4" t="s">
        <v>689</v>
      </c>
    </row>
    <row r="25" spans="1:32" ht="11.25" customHeight="1" x14ac:dyDescent="0.3">
      <c r="A25" s="4" t="s">
        <v>27</v>
      </c>
      <c r="B25" s="4" t="s">
        <v>39</v>
      </c>
      <c r="C25" s="4" t="s">
        <v>40</v>
      </c>
      <c r="D25" s="4" t="s">
        <v>38</v>
      </c>
      <c r="E25" s="4" t="s">
        <v>25</v>
      </c>
      <c r="F25" s="4" t="s">
        <v>51</v>
      </c>
      <c r="G25" s="4" t="s">
        <v>25</v>
      </c>
      <c r="H25" s="4" t="s">
        <v>35</v>
      </c>
      <c r="I25" s="5">
        <v>44774</v>
      </c>
      <c r="J25" s="6">
        <v>0</v>
      </c>
      <c r="K25" s="6">
        <v>0</v>
      </c>
      <c r="L25" s="6">
        <v>155.51400000000001</v>
      </c>
      <c r="M25" s="6">
        <v>80.074158600000004</v>
      </c>
      <c r="N25" s="6">
        <v>0</v>
      </c>
      <c r="O25" s="6">
        <v>0</v>
      </c>
      <c r="P25" s="6">
        <v>0</v>
      </c>
      <c r="Q25" s="4" t="s">
        <v>52</v>
      </c>
      <c r="R25" s="4">
        <v>0</v>
      </c>
      <c r="S25" s="4">
        <v>0</v>
      </c>
      <c r="T25" s="4">
        <v>6</v>
      </c>
      <c r="U25" s="4">
        <v>0</v>
      </c>
      <c r="V25" s="6">
        <f>IF(ISERROR(VLOOKUP($S$25,'TAR FIN'!$A$1:$O$85,15,0)),0,VLOOKUP($S$25,'TAR FIN'!$A$1:$O$85,15,0))</f>
        <v>0</v>
      </c>
      <c r="W25" s="6">
        <f>IF(ISERROR(VLOOKUP($T$25,'TAR FIN'!$A$1:$O$85,15,0)),0,VLOOKUP($T$25,'TAR FIN'!$A$1:$O$85,15,0))</f>
        <v>67.489999999999995</v>
      </c>
      <c r="X25" s="6">
        <f>IF(ISERROR(VLOOKUP($U$25,'TAR FIN'!$A$1:$O$85,15,0)),0,VLOOKUP($U$25,'TAR FIN'!$A$1:$O$85,15,0))</f>
        <v>0</v>
      </c>
      <c r="Y25" s="6"/>
      <c r="Z25" s="6">
        <f ca="1">('TUSD BE'!$AM$12+'TUSD BF'!$AM$12+'TUSD CVA'!$AM$12)*1</f>
        <v>91.421403244159023</v>
      </c>
      <c r="AA25" s="6"/>
      <c r="AB25" s="6">
        <f t="shared" si="0"/>
        <v>0</v>
      </c>
      <c r="AC25" s="6">
        <f t="shared" si="1"/>
        <v>5091.4348960859998</v>
      </c>
      <c r="AD25" s="6">
        <f t="shared" si="2"/>
        <v>0</v>
      </c>
      <c r="AE25" s="6">
        <f t="shared" ca="1" si="3"/>
        <v>6896.8161613048023</v>
      </c>
      <c r="AF25" s="4" t="s">
        <v>689</v>
      </c>
    </row>
    <row r="26" spans="1:32" ht="11.25" customHeight="1" x14ac:dyDescent="0.3">
      <c r="A26" s="4" t="s">
        <v>21</v>
      </c>
      <c r="B26" s="4" t="s">
        <v>39</v>
      </c>
      <c r="C26" s="4" t="s">
        <v>40</v>
      </c>
      <c r="D26" s="4" t="s">
        <v>38</v>
      </c>
      <c r="E26" s="4" t="s">
        <v>25</v>
      </c>
      <c r="F26" s="4" t="s">
        <v>51</v>
      </c>
      <c r="G26" s="4" t="s">
        <v>25</v>
      </c>
      <c r="H26" s="4" t="s">
        <v>25</v>
      </c>
      <c r="I26" s="5">
        <v>44440</v>
      </c>
      <c r="J26" s="6">
        <v>1050</v>
      </c>
      <c r="K26" s="6">
        <v>525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4" t="s">
        <v>52</v>
      </c>
      <c r="R26" s="4">
        <v>0</v>
      </c>
      <c r="S26" s="4">
        <v>10</v>
      </c>
      <c r="T26" s="4">
        <v>0</v>
      </c>
      <c r="U26" s="4">
        <v>0</v>
      </c>
      <c r="V26" s="6">
        <f>IF(ISERROR(VLOOKUP($S$26,'TAR FIN'!$A$1:$O$85,15,0)),0,VLOOKUP($S$26,'TAR FIN'!$A$1:$O$85,15,0))</f>
        <v>34.08</v>
      </c>
      <c r="W26" s="6">
        <f>IF(ISERROR(VLOOKUP($T$26,'TAR FIN'!$A$1:$O$85,15,0)),0,VLOOKUP($T$26,'TAR FIN'!$A$1:$O$85,15,0))</f>
        <v>0</v>
      </c>
      <c r="X26" s="6">
        <f>IF(ISERROR(VLOOKUP($U$26,'TAR FIN'!$A$1:$O$85,15,0)),0,VLOOKUP($U$26,'TAR FIN'!$A$1:$O$85,15,0))</f>
        <v>0</v>
      </c>
      <c r="Y26" s="6">
        <f ca="1">('TUSD BE'!$AM$10+'TUSD BF'!$AM$10+'TUSD CVA'!$AM$10)*1</f>
        <v>46.049752913094459</v>
      </c>
      <c r="Z26" s="6"/>
      <c r="AA26" s="6"/>
      <c r="AB26" s="6">
        <f t="shared" si="0"/>
        <v>17892</v>
      </c>
      <c r="AC26" s="6">
        <f t="shared" si="1"/>
        <v>0</v>
      </c>
      <c r="AD26" s="6">
        <f t="shared" ca="1" si="2"/>
        <v>24176.120279374591</v>
      </c>
      <c r="AE26" s="6">
        <f t="shared" si="3"/>
        <v>0</v>
      </c>
      <c r="AF26" s="4" t="s">
        <v>689</v>
      </c>
    </row>
    <row r="27" spans="1:32" ht="11.25" customHeight="1" x14ac:dyDescent="0.3">
      <c r="A27" s="4" t="s">
        <v>27</v>
      </c>
      <c r="B27" s="4" t="s">
        <v>39</v>
      </c>
      <c r="C27" s="4" t="s">
        <v>40</v>
      </c>
      <c r="D27" s="4" t="s">
        <v>38</v>
      </c>
      <c r="E27" s="4" t="s">
        <v>25</v>
      </c>
      <c r="F27" s="4" t="s">
        <v>51</v>
      </c>
      <c r="G27" s="4" t="s">
        <v>25</v>
      </c>
      <c r="H27" s="4" t="s">
        <v>25</v>
      </c>
      <c r="I27" s="5">
        <v>44440</v>
      </c>
      <c r="J27" s="6">
        <v>1050</v>
      </c>
      <c r="K27" s="6">
        <v>525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4" t="s">
        <v>52</v>
      </c>
      <c r="R27" s="4">
        <v>0</v>
      </c>
      <c r="S27" s="4">
        <v>10</v>
      </c>
      <c r="T27" s="4">
        <v>0</v>
      </c>
      <c r="U27" s="4">
        <v>0</v>
      </c>
      <c r="V27" s="6">
        <f>IF(ISERROR(VLOOKUP($S$27,'TAR FIN'!$A$1:$O$85,15,0)),0,VLOOKUP($S$27,'TAR FIN'!$A$1:$O$85,15,0))</f>
        <v>34.08</v>
      </c>
      <c r="W27" s="6">
        <f>IF(ISERROR(VLOOKUP($T$27,'TAR FIN'!$A$1:$O$85,15,0)),0,VLOOKUP($T$27,'TAR FIN'!$A$1:$O$85,15,0))</f>
        <v>0</v>
      </c>
      <c r="X27" s="6">
        <f>IF(ISERROR(VLOOKUP($U$27,'TAR FIN'!$A$1:$O$85,15,0)),0,VLOOKUP($U$27,'TAR FIN'!$A$1:$O$85,15,0))</f>
        <v>0</v>
      </c>
      <c r="Y27" s="6">
        <f ca="1">('TUSD BE'!$AM$10+'TUSD BF'!$AM$10+'TUSD CVA'!$AM$10)*1</f>
        <v>46.049752913094459</v>
      </c>
      <c r="Z27" s="6"/>
      <c r="AA27" s="6"/>
      <c r="AB27" s="6">
        <f t="shared" si="0"/>
        <v>17892</v>
      </c>
      <c r="AC27" s="6">
        <f t="shared" si="1"/>
        <v>0</v>
      </c>
      <c r="AD27" s="6">
        <f t="shared" ca="1" si="2"/>
        <v>24176.120279374591</v>
      </c>
      <c r="AE27" s="6">
        <f t="shared" si="3"/>
        <v>0</v>
      </c>
      <c r="AF27" s="4" t="s">
        <v>689</v>
      </c>
    </row>
    <row r="28" spans="1:32" ht="11.25" customHeight="1" x14ac:dyDescent="0.3">
      <c r="A28" s="4" t="s">
        <v>21</v>
      </c>
      <c r="B28" s="4" t="s">
        <v>39</v>
      </c>
      <c r="C28" s="4" t="s">
        <v>40</v>
      </c>
      <c r="D28" s="4" t="s">
        <v>38</v>
      </c>
      <c r="E28" s="4" t="s">
        <v>25</v>
      </c>
      <c r="F28" s="4" t="s">
        <v>51</v>
      </c>
      <c r="G28" s="4" t="s">
        <v>25</v>
      </c>
      <c r="H28" s="4" t="s">
        <v>25</v>
      </c>
      <c r="I28" s="5">
        <v>44470</v>
      </c>
      <c r="J28" s="6">
        <v>1050</v>
      </c>
      <c r="K28" s="6">
        <v>525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4" t="s">
        <v>52</v>
      </c>
      <c r="R28" s="4">
        <v>0</v>
      </c>
      <c r="S28" s="4">
        <v>10</v>
      </c>
      <c r="T28" s="4">
        <v>0</v>
      </c>
      <c r="U28" s="4">
        <v>0</v>
      </c>
      <c r="V28" s="6">
        <f>IF(ISERROR(VLOOKUP($S$28,'TAR FIN'!$A$1:$O$85,15,0)),0,VLOOKUP($S$28,'TAR FIN'!$A$1:$O$85,15,0))</f>
        <v>34.08</v>
      </c>
      <c r="W28" s="6">
        <f>IF(ISERROR(VLOOKUP($T$28,'TAR FIN'!$A$1:$O$85,15,0)),0,VLOOKUP($T$28,'TAR FIN'!$A$1:$O$85,15,0))</f>
        <v>0</v>
      </c>
      <c r="X28" s="6">
        <f>IF(ISERROR(VLOOKUP($U$28,'TAR FIN'!$A$1:$O$85,15,0)),0,VLOOKUP($U$28,'TAR FIN'!$A$1:$O$85,15,0))</f>
        <v>0</v>
      </c>
      <c r="Y28" s="6">
        <f ca="1">('TUSD BE'!$AM$10+'TUSD BF'!$AM$10+'TUSD CVA'!$AM$10)*1</f>
        <v>46.049752913094459</v>
      </c>
      <c r="Z28" s="6"/>
      <c r="AA28" s="6"/>
      <c r="AB28" s="6">
        <f t="shared" si="0"/>
        <v>17892</v>
      </c>
      <c r="AC28" s="6">
        <f t="shared" si="1"/>
        <v>0</v>
      </c>
      <c r="AD28" s="6">
        <f t="shared" ca="1" si="2"/>
        <v>24176.120279374591</v>
      </c>
      <c r="AE28" s="6">
        <f t="shared" si="3"/>
        <v>0</v>
      </c>
      <c r="AF28" s="4" t="s">
        <v>689</v>
      </c>
    </row>
    <row r="29" spans="1:32" ht="11.25" customHeight="1" x14ac:dyDescent="0.3">
      <c r="A29" s="4" t="s">
        <v>27</v>
      </c>
      <c r="B29" s="4" t="s">
        <v>39</v>
      </c>
      <c r="C29" s="4" t="s">
        <v>40</v>
      </c>
      <c r="D29" s="4" t="s">
        <v>38</v>
      </c>
      <c r="E29" s="4" t="s">
        <v>25</v>
      </c>
      <c r="F29" s="4" t="s">
        <v>51</v>
      </c>
      <c r="G29" s="4" t="s">
        <v>25</v>
      </c>
      <c r="H29" s="4" t="s">
        <v>25</v>
      </c>
      <c r="I29" s="5">
        <v>44470</v>
      </c>
      <c r="J29" s="6">
        <v>1050</v>
      </c>
      <c r="K29" s="6">
        <v>525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4" t="s">
        <v>52</v>
      </c>
      <c r="R29" s="4">
        <v>0</v>
      </c>
      <c r="S29" s="4">
        <v>10</v>
      </c>
      <c r="T29" s="4">
        <v>0</v>
      </c>
      <c r="U29" s="4">
        <v>0</v>
      </c>
      <c r="V29" s="6">
        <f>IF(ISERROR(VLOOKUP($S$29,'TAR FIN'!$A$1:$O$85,15,0)),0,VLOOKUP($S$29,'TAR FIN'!$A$1:$O$85,15,0))</f>
        <v>34.08</v>
      </c>
      <c r="W29" s="6">
        <f>IF(ISERROR(VLOOKUP($T$29,'TAR FIN'!$A$1:$O$85,15,0)),0,VLOOKUP($T$29,'TAR FIN'!$A$1:$O$85,15,0))</f>
        <v>0</v>
      </c>
      <c r="X29" s="6">
        <f>IF(ISERROR(VLOOKUP($U$29,'TAR FIN'!$A$1:$O$85,15,0)),0,VLOOKUP($U$29,'TAR FIN'!$A$1:$O$85,15,0))</f>
        <v>0</v>
      </c>
      <c r="Y29" s="6">
        <f ca="1">('TUSD BE'!$AM$10+'TUSD BF'!$AM$10+'TUSD CVA'!$AM$10)*1</f>
        <v>46.049752913094459</v>
      </c>
      <c r="Z29" s="6"/>
      <c r="AA29" s="6"/>
      <c r="AB29" s="6">
        <f t="shared" si="0"/>
        <v>17892</v>
      </c>
      <c r="AC29" s="6">
        <f t="shared" si="1"/>
        <v>0</v>
      </c>
      <c r="AD29" s="6">
        <f t="shared" ca="1" si="2"/>
        <v>24176.120279374591</v>
      </c>
      <c r="AE29" s="6">
        <f t="shared" si="3"/>
        <v>0</v>
      </c>
      <c r="AF29" s="4" t="s">
        <v>689</v>
      </c>
    </row>
    <row r="30" spans="1:32" ht="11.25" customHeight="1" x14ac:dyDescent="0.3">
      <c r="A30" s="4" t="s">
        <v>21</v>
      </c>
      <c r="B30" s="4" t="s">
        <v>39</v>
      </c>
      <c r="C30" s="4" t="s">
        <v>40</v>
      </c>
      <c r="D30" s="4" t="s">
        <v>38</v>
      </c>
      <c r="E30" s="4" t="s">
        <v>25</v>
      </c>
      <c r="F30" s="4" t="s">
        <v>51</v>
      </c>
      <c r="G30" s="4" t="s">
        <v>25</v>
      </c>
      <c r="H30" s="4" t="s">
        <v>25</v>
      </c>
      <c r="I30" s="5">
        <v>44501</v>
      </c>
      <c r="J30" s="6">
        <v>1050</v>
      </c>
      <c r="K30" s="6">
        <v>525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4" t="s">
        <v>52</v>
      </c>
      <c r="R30" s="4">
        <v>0</v>
      </c>
      <c r="S30" s="4">
        <v>10</v>
      </c>
      <c r="T30" s="4">
        <v>0</v>
      </c>
      <c r="U30" s="4">
        <v>0</v>
      </c>
      <c r="V30" s="6">
        <f>IF(ISERROR(VLOOKUP($S$30,'TAR FIN'!$A$1:$O$85,15,0)),0,VLOOKUP($S$30,'TAR FIN'!$A$1:$O$85,15,0))</f>
        <v>34.08</v>
      </c>
      <c r="W30" s="6">
        <f>IF(ISERROR(VLOOKUP($T$30,'TAR FIN'!$A$1:$O$85,15,0)),0,VLOOKUP($T$30,'TAR FIN'!$A$1:$O$85,15,0))</f>
        <v>0</v>
      </c>
      <c r="X30" s="6">
        <f>IF(ISERROR(VLOOKUP($U$30,'TAR FIN'!$A$1:$O$85,15,0)),0,VLOOKUP($U$30,'TAR FIN'!$A$1:$O$85,15,0))</f>
        <v>0</v>
      </c>
      <c r="Y30" s="6">
        <f ca="1">('TUSD BE'!$AM$10+'TUSD BF'!$AM$10+'TUSD CVA'!$AM$10)*1</f>
        <v>46.049752913094459</v>
      </c>
      <c r="Z30" s="6"/>
      <c r="AA30" s="6"/>
      <c r="AB30" s="6">
        <f t="shared" si="0"/>
        <v>17892</v>
      </c>
      <c r="AC30" s="6">
        <f t="shared" si="1"/>
        <v>0</v>
      </c>
      <c r="AD30" s="6">
        <f t="shared" ca="1" si="2"/>
        <v>24176.120279374591</v>
      </c>
      <c r="AE30" s="6">
        <f t="shared" si="3"/>
        <v>0</v>
      </c>
      <c r="AF30" s="4" t="s">
        <v>689</v>
      </c>
    </row>
    <row r="31" spans="1:32" ht="11.25" customHeight="1" x14ac:dyDescent="0.3">
      <c r="A31" s="4" t="s">
        <v>27</v>
      </c>
      <c r="B31" s="4" t="s">
        <v>39</v>
      </c>
      <c r="C31" s="4" t="s">
        <v>40</v>
      </c>
      <c r="D31" s="4" t="s">
        <v>38</v>
      </c>
      <c r="E31" s="4" t="s">
        <v>25</v>
      </c>
      <c r="F31" s="4" t="s">
        <v>51</v>
      </c>
      <c r="G31" s="4" t="s">
        <v>25</v>
      </c>
      <c r="H31" s="4" t="s">
        <v>25</v>
      </c>
      <c r="I31" s="5">
        <v>44501</v>
      </c>
      <c r="J31" s="6">
        <v>1050</v>
      </c>
      <c r="K31" s="6">
        <v>525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4" t="s">
        <v>52</v>
      </c>
      <c r="R31" s="4">
        <v>0</v>
      </c>
      <c r="S31" s="4">
        <v>10</v>
      </c>
      <c r="T31" s="4">
        <v>0</v>
      </c>
      <c r="U31" s="4">
        <v>0</v>
      </c>
      <c r="V31" s="6">
        <f>IF(ISERROR(VLOOKUP($S$31,'TAR FIN'!$A$1:$O$85,15,0)),0,VLOOKUP($S$31,'TAR FIN'!$A$1:$O$85,15,0))</f>
        <v>34.08</v>
      </c>
      <c r="W31" s="6">
        <f>IF(ISERROR(VLOOKUP($T$31,'TAR FIN'!$A$1:$O$85,15,0)),0,VLOOKUP($T$31,'TAR FIN'!$A$1:$O$85,15,0))</f>
        <v>0</v>
      </c>
      <c r="X31" s="6">
        <f>IF(ISERROR(VLOOKUP($U$31,'TAR FIN'!$A$1:$O$85,15,0)),0,VLOOKUP($U$31,'TAR FIN'!$A$1:$O$85,15,0))</f>
        <v>0</v>
      </c>
      <c r="Y31" s="6">
        <f ca="1">('TUSD BE'!$AM$10+'TUSD BF'!$AM$10+'TUSD CVA'!$AM$10)*1</f>
        <v>46.049752913094459</v>
      </c>
      <c r="Z31" s="6"/>
      <c r="AA31" s="6"/>
      <c r="AB31" s="6">
        <f t="shared" si="0"/>
        <v>17892</v>
      </c>
      <c r="AC31" s="6">
        <f t="shared" si="1"/>
        <v>0</v>
      </c>
      <c r="AD31" s="6">
        <f t="shared" ca="1" si="2"/>
        <v>24176.120279374591</v>
      </c>
      <c r="AE31" s="6">
        <f t="shared" si="3"/>
        <v>0</v>
      </c>
      <c r="AF31" s="4" t="s">
        <v>689</v>
      </c>
    </row>
    <row r="32" spans="1:32" ht="11.25" customHeight="1" x14ac:dyDescent="0.3">
      <c r="A32" s="4" t="s">
        <v>21</v>
      </c>
      <c r="B32" s="4" t="s">
        <v>39</v>
      </c>
      <c r="C32" s="4" t="s">
        <v>40</v>
      </c>
      <c r="D32" s="4" t="s">
        <v>38</v>
      </c>
      <c r="E32" s="4" t="s">
        <v>25</v>
      </c>
      <c r="F32" s="4" t="s">
        <v>51</v>
      </c>
      <c r="G32" s="4" t="s">
        <v>25</v>
      </c>
      <c r="H32" s="4" t="s">
        <v>25</v>
      </c>
      <c r="I32" s="5">
        <v>44531</v>
      </c>
      <c r="J32" s="6">
        <v>1050</v>
      </c>
      <c r="K32" s="6">
        <v>525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4" t="s">
        <v>52</v>
      </c>
      <c r="R32" s="4">
        <v>0</v>
      </c>
      <c r="S32" s="4">
        <v>10</v>
      </c>
      <c r="T32" s="4">
        <v>0</v>
      </c>
      <c r="U32" s="4">
        <v>0</v>
      </c>
      <c r="V32" s="6">
        <f>IF(ISERROR(VLOOKUP($S$32,'TAR FIN'!$A$1:$O$85,15,0)),0,VLOOKUP($S$32,'TAR FIN'!$A$1:$O$85,15,0))</f>
        <v>34.08</v>
      </c>
      <c r="W32" s="6">
        <f>IF(ISERROR(VLOOKUP($T$32,'TAR FIN'!$A$1:$O$85,15,0)),0,VLOOKUP($T$32,'TAR FIN'!$A$1:$O$85,15,0))</f>
        <v>0</v>
      </c>
      <c r="X32" s="6">
        <f>IF(ISERROR(VLOOKUP($U$32,'TAR FIN'!$A$1:$O$85,15,0)),0,VLOOKUP($U$32,'TAR FIN'!$A$1:$O$85,15,0))</f>
        <v>0</v>
      </c>
      <c r="Y32" s="6">
        <f ca="1">('TUSD BE'!$AM$10+'TUSD BF'!$AM$10+'TUSD CVA'!$AM$10)*1</f>
        <v>46.049752913094459</v>
      </c>
      <c r="Z32" s="6"/>
      <c r="AA32" s="6"/>
      <c r="AB32" s="6">
        <f t="shared" si="0"/>
        <v>17892</v>
      </c>
      <c r="AC32" s="6">
        <f t="shared" si="1"/>
        <v>0</v>
      </c>
      <c r="AD32" s="6">
        <f t="shared" ca="1" si="2"/>
        <v>24176.120279374591</v>
      </c>
      <c r="AE32" s="6">
        <f t="shared" si="3"/>
        <v>0</v>
      </c>
      <c r="AF32" s="4" t="s">
        <v>689</v>
      </c>
    </row>
    <row r="33" spans="1:32" ht="11.25" customHeight="1" x14ac:dyDescent="0.3">
      <c r="A33" s="4" t="s">
        <v>27</v>
      </c>
      <c r="B33" s="4" t="s">
        <v>39</v>
      </c>
      <c r="C33" s="4" t="s">
        <v>40</v>
      </c>
      <c r="D33" s="4" t="s">
        <v>38</v>
      </c>
      <c r="E33" s="4" t="s">
        <v>25</v>
      </c>
      <c r="F33" s="4" t="s">
        <v>51</v>
      </c>
      <c r="G33" s="4" t="s">
        <v>25</v>
      </c>
      <c r="H33" s="4" t="s">
        <v>25</v>
      </c>
      <c r="I33" s="5">
        <v>44531</v>
      </c>
      <c r="J33" s="6">
        <v>1050</v>
      </c>
      <c r="K33" s="6">
        <v>525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52</v>
      </c>
      <c r="R33" s="4">
        <v>0</v>
      </c>
      <c r="S33" s="4">
        <v>10</v>
      </c>
      <c r="T33" s="4">
        <v>0</v>
      </c>
      <c r="U33" s="4">
        <v>0</v>
      </c>
      <c r="V33" s="6">
        <f>IF(ISERROR(VLOOKUP($S$33,'TAR FIN'!$A$1:$O$85,15,0)),0,VLOOKUP($S$33,'TAR FIN'!$A$1:$O$85,15,0))</f>
        <v>34.08</v>
      </c>
      <c r="W33" s="6">
        <f>IF(ISERROR(VLOOKUP($T$33,'TAR FIN'!$A$1:$O$85,15,0)),0,VLOOKUP($T$33,'TAR FIN'!$A$1:$O$85,15,0))</f>
        <v>0</v>
      </c>
      <c r="X33" s="6">
        <f>IF(ISERROR(VLOOKUP($U$33,'TAR FIN'!$A$1:$O$85,15,0)),0,VLOOKUP($U$33,'TAR FIN'!$A$1:$O$85,15,0))</f>
        <v>0</v>
      </c>
      <c r="Y33" s="6">
        <f ca="1">('TUSD BE'!$AM$10+'TUSD BF'!$AM$10+'TUSD CVA'!$AM$10)*1</f>
        <v>46.049752913094459</v>
      </c>
      <c r="Z33" s="6"/>
      <c r="AA33" s="6"/>
      <c r="AB33" s="6">
        <f t="shared" si="0"/>
        <v>17892</v>
      </c>
      <c r="AC33" s="6">
        <f t="shared" si="1"/>
        <v>0</v>
      </c>
      <c r="AD33" s="6">
        <f t="shared" ca="1" si="2"/>
        <v>24176.120279374591</v>
      </c>
      <c r="AE33" s="6">
        <f t="shared" si="3"/>
        <v>0</v>
      </c>
      <c r="AF33" s="4" t="s">
        <v>689</v>
      </c>
    </row>
    <row r="34" spans="1:32" ht="11.25" customHeight="1" x14ac:dyDescent="0.3">
      <c r="A34" s="4" t="s">
        <v>21</v>
      </c>
      <c r="B34" s="4" t="s">
        <v>39</v>
      </c>
      <c r="C34" s="4" t="s">
        <v>40</v>
      </c>
      <c r="D34" s="4" t="s">
        <v>38</v>
      </c>
      <c r="E34" s="4" t="s">
        <v>25</v>
      </c>
      <c r="F34" s="4" t="s">
        <v>51</v>
      </c>
      <c r="G34" s="4" t="s">
        <v>25</v>
      </c>
      <c r="H34" s="4" t="s">
        <v>25</v>
      </c>
      <c r="I34" s="5">
        <v>44562</v>
      </c>
      <c r="J34" s="6">
        <v>1050</v>
      </c>
      <c r="K34" s="6">
        <v>525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4" t="s">
        <v>52</v>
      </c>
      <c r="R34" s="4">
        <v>0</v>
      </c>
      <c r="S34" s="4">
        <v>10</v>
      </c>
      <c r="T34" s="4">
        <v>0</v>
      </c>
      <c r="U34" s="4">
        <v>0</v>
      </c>
      <c r="V34" s="6">
        <f>IF(ISERROR(VLOOKUP($S$34,'TAR FIN'!$A$1:$O$85,15,0)),0,VLOOKUP($S$34,'TAR FIN'!$A$1:$O$85,15,0))</f>
        <v>34.08</v>
      </c>
      <c r="W34" s="6">
        <f>IF(ISERROR(VLOOKUP($T$34,'TAR FIN'!$A$1:$O$85,15,0)),0,VLOOKUP($T$34,'TAR FIN'!$A$1:$O$85,15,0))</f>
        <v>0</v>
      </c>
      <c r="X34" s="6">
        <f>IF(ISERROR(VLOOKUP($U$34,'TAR FIN'!$A$1:$O$85,15,0)),0,VLOOKUP($U$34,'TAR FIN'!$A$1:$O$85,15,0))</f>
        <v>0</v>
      </c>
      <c r="Y34" s="6">
        <f ca="1">('TUSD BE'!$AM$10+'TUSD BF'!$AM$10+'TUSD CVA'!$AM$10)*1</f>
        <v>46.049752913094459</v>
      </c>
      <c r="Z34" s="6"/>
      <c r="AA34" s="6"/>
      <c r="AB34" s="6">
        <f t="shared" si="0"/>
        <v>17892</v>
      </c>
      <c r="AC34" s="6">
        <f t="shared" ref="AC34:AC65" si="6">(L34-M34)*W34+(N34-O34)*X34</f>
        <v>0</v>
      </c>
      <c r="AD34" s="6">
        <f t="shared" ca="1" si="2"/>
        <v>24176.120279374591</v>
      </c>
      <c r="AE34" s="6">
        <f t="shared" ref="AE34:AE65" si="7">(L34-M34)*Z34+(N34-O34)*AA34</f>
        <v>0</v>
      </c>
      <c r="AF34" s="4" t="s">
        <v>689</v>
      </c>
    </row>
    <row r="35" spans="1:32" ht="11.25" customHeight="1" x14ac:dyDescent="0.3">
      <c r="A35" s="4" t="s">
        <v>27</v>
      </c>
      <c r="B35" s="4" t="s">
        <v>39</v>
      </c>
      <c r="C35" s="4" t="s">
        <v>40</v>
      </c>
      <c r="D35" s="4" t="s">
        <v>38</v>
      </c>
      <c r="E35" s="4" t="s">
        <v>25</v>
      </c>
      <c r="F35" s="4" t="s">
        <v>51</v>
      </c>
      <c r="G35" s="4" t="s">
        <v>25</v>
      </c>
      <c r="H35" s="4" t="s">
        <v>25</v>
      </c>
      <c r="I35" s="5">
        <v>44562</v>
      </c>
      <c r="J35" s="6">
        <v>1050</v>
      </c>
      <c r="K35" s="6">
        <v>525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52</v>
      </c>
      <c r="R35" s="4">
        <v>0</v>
      </c>
      <c r="S35" s="4">
        <v>10</v>
      </c>
      <c r="T35" s="4">
        <v>0</v>
      </c>
      <c r="U35" s="4">
        <v>0</v>
      </c>
      <c r="V35" s="6">
        <f>IF(ISERROR(VLOOKUP($S$35,'TAR FIN'!$A$1:$O$85,15,0)),0,VLOOKUP($S$35,'TAR FIN'!$A$1:$O$85,15,0))</f>
        <v>34.08</v>
      </c>
      <c r="W35" s="6">
        <f>IF(ISERROR(VLOOKUP($T$35,'TAR FIN'!$A$1:$O$85,15,0)),0,VLOOKUP($T$35,'TAR FIN'!$A$1:$O$85,15,0))</f>
        <v>0</v>
      </c>
      <c r="X35" s="6">
        <f>IF(ISERROR(VLOOKUP($U$35,'TAR FIN'!$A$1:$O$85,15,0)),0,VLOOKUP($U$35,'TAR FIN'!$A$1:$O$85,15,0))</f>
        <v>0</v>
      </c>
      <c r="Y35" s="6">
        <f ca="1">('TUSD BE'!$AM$10+'TUSD BF'!$AM$10+'TUSD CVA'!$AM$10)*1</f>
        <v>46.049752913094459</v>
      </c>
      <c r="Z35" s="6"/>
      <c r="AA35" s="6"/>
      <c r="AB35" s="6">
        <f t="shared" si="0"/>
        <v>17892</v>
      </c>
      <c r="AC35" s="6">
        <f t="shared" si="6"/>
        <v>0</v>
      </c>
      <c r="AD35" s="6">
        <f t="shared" ca="1" si="2"/>
        <v>24176.120279374591</v>
      </c>
      <c r="AE35" s="6">
        <f t="shared" si="7"/>
        <v>0</v>
      </c>
      <c r="AF35" s="4" t="s">
        <v>689</v>
      </c>
    </row>
    <row r="36" spans="1:32" ht="11.25" customHeight="1" x14ac:dyDescent="0.3">
      <c r="A36" s="4" t="s">
        <v>21</v>
      </c>
      <c r="B36" s="4" t="s">
        <v>39</v>
      </c>
      <c r="C36" s="4" t="s">
        <v>40</v>
      </c>
      <c r="D36" s="4" t="s">
        <v>38</v>
      </c>
      <c r="E36" s="4" t="s">
        <v>25</v>
      </c>
      <c r="F36" s="4" t="s">
        <v>51</v>
      </c>
      <c r="G36" s="4" t="s">
        <v>25</v>
      </c>
      <c r="H36" s="4" t="s">
        <v>25</v>
      </c>
      <c r="I36" s="5">
        <v>44593</v>
      </c>
      <c r="J36" s="6">
        <v>1050</v>
      </c>
      <c r="K36" s="6">
        <v>525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4" t="s">
        <v>52</v>
      </c>
      <c r="R36" s="4">
        <v>0</v>
      </c>
      <c r="S36" s="4">
        <v>10</v>
      </c>
      <c r="T36" s="4">
        <v>0</v>
      </c>
      <c r="U36" s="4">
        <v>0</v>
      </c>
      <c r="V36" s="6">
        <f>IF(ISERROR(VLOOKUP($S$36,'TAR FIN'!$A$1:$O$85,15,0)),0,VLOOKUP($S$36,'TAR FIN'!$A$1:$O$85,15,0))</f>
        <v>34.08</v>
      </c>
      <c r="W36" s="6">
        <f>IF(ISERROR(VLOOKUP($T$36,'TAR FIN'!$A$1:$O$85,15,0)),0,VLOOKUP($T$36,'TAR FIN'!$A$1:$O$85,15,0))</f>
        <v>0</v>
      </c>
      <c r="X36" s="6">
        <f>IF(ISERROR(VLOOKUP($U$36,'TAR FIN'!$A$1:$O$85,15,0)),0,VLOOKUP($U$36,'TAR FIN'!$A$1:$O$85,15,0))</f>
        <v>0</v>
      </c>
      <c r="Y36" s="6">
        <f ca="1">('TUSD BE'!$AM$10+'TUSD BF'!$AM$10+'TUSD CVA'!$AM$10)*1</f>
        <v>46.049752913094459</v>
      </c>
      <c r="Z36" s="6"/>
      <c r="AA36" s="6"/>
      <c r="AB36" s="6">
        <f t="shared" si="0"/>
        <v>17892</v>
      </c>
      <c r="AC36" s="6">
        <f t="shared" si="6"/>
        <v>0</v>
      </c>
      <c r="AD36" s="6">
        <f t="shared" ca="1" si="2"/>
        <v>24176.120279374591</v>
      </c>
      <c r="AE36" s="6">
        <f t="shared" si="7"/>
        <v>0</v>
      </c>
      <c r="AF36" s="4" t="s">
        <v>689</v>
      </c>
    </row>
    <row r="37" spans="1:32" ht="11.25" customHeight="1" x14ac:dyDescent="0.3">
      <c r="A37" s="4" t="s">
        <v>27</v>
      </c>
      <c r="B37" s="4" t="s">
        <v>39</v>
      </c>
      <c r="C37" s="4" t="s">
        <v>40</v>
      </c>
      <c r="D37" s="4" t="s">
        <v>38</v>
      </c>
      <c r="E37" s="4" t="s">
        <v>25</v>
      </c>
      <c r="F37" s="4" t="s">
        <v>51</v>
      </c>
      <c r="G37" s="4" t="s">
        <v>25</v>
      </c>
      <c r="H37" s="4" t="s">
        <v>25</v>
      </c>
      <c r="I37" s="5">
        <v>44593</v>
      </c>
      <c r="J37" s="6">
        <v>1050</v>
      </c>
      <c r="K37" s="6">
        <v>525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4" t="s">
        <v>52</v>
      </c>
      <c r="R37" s="4">
        <v>0</v>
      </c>
      <c r="S37" s="4">
        <v>10</v>
      </c>
      <c r="T37" s="4">
        <v>0</v>
      </c>
      <c r="U37" s="4">
        <v>0</v>
      </c>
      <c r="V37" s="6">
        <f>IF(ISERROR(VLOOKUP($S$37,'TAR FIN'!$A$1:$O$85,15,0)),0,VLOOKUP($S$37,'TAR FIN'!$A$1:$O$85,15,0))</f>
        <v>34.08</v>
      </c>
      <c r="W37" s="6">
        <f>IF(ISERROR(VLOOKUP($T$37,'TAR FIN'!$A$1:$O$85,15,0)),0,VLOOKUP($T$37,'TAR FIN'!$A$1:$O$85,15,0))</f>
        <v>0</v>
      </c>
      <c r="X37" s="6">
        <f>IF(ISERROR(VLOOKUP($U$37,'TAR FIN'!$A$1:$O$85,15,0)),0,VLOOKUP($U$37,'TAR FIN'!$A$1:$O$85,15,0))</f>
        <v>0</v>
      </c>
      <c r="Y37" s="6">
        <f ca="1">('TUSD BE'!$AM$10+'TUSD BF'!$AM$10+'TUSD CVA'!$AM$10)*1</f>
        <v>46.049752913094459</v>
      </c>
      <c r="Z37" s="6"/>
      <c r="AA37" s="6"/>
      <c r="AB37" s="6">
        <f t="shared" si="0"/>
        <v>17892</v>
      </c>
      <c r="AC37" s="6">
        <f t="shared" si="6"/>
        <v>0</v>
      </c>
      <c r="AD37" s="6">
        <f t="shared" ca="1" si="2"/>
        <v>24176.120279374591</v>
      </c>
      <c r="AE37" s="6">
        <f t="shared" si="7"/>
        <v>0</v>
      </c>
      <c r="AF37" s="4" t="s">
        <v>689</v>
      </c>
    </row>
    <row r="38" spans="1:32" ht="11.25" customHeight="1" x14ac:dyDescent="0.3">
      <c r="A38" s="4" t="s">
        <v>21</v>
      </c>
      <c r="B38" s="4" t="s">
        <v>39</v>
      </c>
      <c r="C38" s="4" t="s">
        <v>40</v>
      </c>
      <c r="D38" s="4" t="s">
        <v>38</v>
      </c>
      <c r="E38" s="4" t="s">
        <v>25</v>
      </c>
      <c r="F38" s="4" t="s">
        <v>51</v>
      </c>
      <c r="G38" s="4" t="s">
        <v>25</v>
      </c>
      <c r="H38" s="4" t="s">
        <v>25</v>
      </c>
      <c r="I38" s="5">
        <v>44621</v>
      </c>
      <c r="J38" s="6">
        <v>1050</v>
      </c>
      <c r="K38" s="6">
        <v>525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4" t="s">
        <v>52</v>
      </c>
      <c r="R38" s="4">
        <v>0</v>
      </c>
      <c r="S38" s="4">
        <v>10</v>
      </c>
      <c r="T38" s="4">
        <v>0</v>
      </c>
      <c r="U38" s="4">
        <v>0</v>
      </c>
      <c r="V38" s="6">
        <f>IF(ISERROR(VLOOKUP($S$38,'TAR FIN'!$A$1:$O$85,15,0)),0,VLOOKUP($S$38,'TAR FIN'!$A$1:$O$85,15,0))</f>
        <v>34.08</v>
      </c>
      <c r="W38" s="6">
        <f>IF(ISERROR(VLOOKUP($T$38,'TAR FIN'!$A$1:$O$85,15,0)),0,VLOOKUP($T$38,'TAR FIN'!$A$1:$O$85,15,0))</f>
        <v>0</v>
      </c>
      <c r="X38" s="6">
        <f>IF(ISERROR(VLOOKUP($U$38,'TAR FIN'!$A$1:$O$85,15,0)),0,VLOOKUP($U$38,'TAR FIN'!$A$1:$O$85,15,0))</f>
        <v>0</v>
      </c>
      <c r="Y38" s="6">
        <f ca="1">('TUSD BE'!$AM$10+'TUSD BF'!$AM$10+'TUSD CVA'!$AM$10)*1</f>
        <v>46.049752913094459</v>
      </c>
      <c r="Z38" s="6"/>
      <c r="AA38" s="6"/>
      <c r="AB38" s="6">
        <f t="shared" si="0"/>
        <v>17892</v>
      </c>
      <c r="AC38" s="6">
        <f t="shared" si="6"/>
        <v>0</v>
      </c>
      <c r="AD38" s="6">
        <f t="shared" ca="1" si="2"/>
        <v>24176.120279374591</v>
      </c>
      <c r="AE38" s="6">
        <f t="shared" si="7"/>
        <v>0</v>
      </c>
      <c r="AF38" s="4" t="s">
        <v>689</v>
      </c>
    </row>
    <row r="39" spans="1:32" ht="11.25" customHeight="1" x14ac:dyDescent="0.3">
      <c r="A39" s="4" t="s">
        <v>27</v>
      </c>
      <c r="B39" s="4" t="s">
        <v>39</v>
      </c>
      <c r="C39" s="4" t="s">
        <v>40</v>
      </c>
      <c r="D39" s="4" t="s">
        <v>38</v>
      </c>
      <c r="E39" s="4" t="s">
        <v>25</v>
      </c>
      <c r="F39" s="4" t="s">
        <v>51</v>
      </c>
      <c r="G39" s="4" t="s">
        <v>25</v>
      </c>
      <c r="H39" s="4" t="s">
        <v>25</v>
      </c>
      <c r="I39" s="5">
        <v>44621</v>
      </c>
      <c r="J39" s="6">
        <v>1050</v>
      </c>
      <c r="K39" s="6">
        <v>525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4" t="s">
        <v>52</v>
      </c>
      <c r="R39" s="4">
        <v>0</v>
      </c>
      <c r="S39" s="4">
        <v>10</v>
      </c>
      <c r="T39" s="4">
        <v>0</v>
      </c>
      <c r="U39" s="4">
        <v>0</v>
      </c>
      <c r="V39" s="6">
        <f>IF(ISERROR(VLOOKUP($S$39,'TAR FIN'!$A$1:$O$85,15,0)),0,VLOOKUP($S$39,'TAR FIN'!$A$1:$O$85,15,0))</f>
        <v>34.08</v>
      </c>
      <c r="W39" s="6">
        <f>IF(ISERROR(VLOOKUP($T$39,'TAR FIN'!$A$1:$O$85,15,0)),0,VLOOKUP($T$39,'TAR FIN'!$A$1:$O$85,15,0))</f>
        <v>0</v>
      </c>
      <c r="X39" s="6">
        <f>IF(ISERROR(VLOOKUP($U$39,'TAR FIN'!$A$1:$O$85,15,0)),0,VLOOKUP($U$39,'TAR FIN'!$A$1:$O$85,15,0))</f>
        <v>0</v>
      </c>
      <c r="Y39" s="6">
        <f ca="1">('TUSD BE'!$AM$10+'TUSD BF'!$AM$10+'TUSD CVA'!$AM$10)*1</f>
        <v>46.049752913094459</v>
      </c>
      <c r="Z39" s="6"/>
      <c r="AA39" s="6"/>
      <c r="AB39" s="6">
        <f t="shared" si="0"/>
        <v>17892</v>
      </c>
      <c r="AC39" s="6">
        <f t="shared" si="6"/>
        <v>0</v>
      </c>
      <c r="AD39" s="6">
        <f t="shared" ca="1" si="2"/>
        <v>24176.120279374591</v>
      </c>
      <c r="AE39" s="6">
        <f t="shared" si="7"/>
        <v>0</v>
      </c>
      <c r="AF39" s="4" t="s">
        <v>689</v>
      </c>
    </row>
    <row r="40" spans="1:32" ht="11.25" customHeight="1" x14ac:dyDescent="0.3">
      <c r="A40" s="4" t="s">
        <v>21</v>
      </c>
      <c r="B40" s="4" t="s">
        <v>39</v>
      </c>
      <c r="C40" s="4" t="s">
        <v>40</v>
      </c>
      <c r="D40" s="4" t="s">
        <v>38</v>
      </c>
      <c r="E40" s="4" t="s">
        <v>25</v>
      </c>
      <c r="F40" s="4" t="s">
        <v>51</v>
      </c>
      <c r="G40" s="4" t="s">
        <v>25</v>
      </c>
      <c r="H40" s="4" t="s">
        <v>25</v>
      </c>
      <c r="I40" s="5">
        <v>44652</v>
      </c>
      <c r="J40" s="6">
        <v>1050</v>
      </c>
      <c r="K40" s="6">
        <v>525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4" t="s">
        <v>52</v>
      </c>
      <c r="R40" s="4">
        <v>0</v>
      </c>
      <c r="S40" s="4">
        <v>10</v>
      </c>
      <c r="T40" s="4">
        <v>0</v>
      </c>
      <c r="U40" s="4">
        <v>0</v>
      </c>
      <c r="V40" s="6">
        <f>IF(ISERROR(VLOOKUP($S$40,'TAR FIN'!$A$1:$O$85,15,0)),0,VLOOKUP($S$40,'TAR FIN'!$A$1:$O$85,15,0))</f>
        <v>34.08</v>
      </c>
      <c r="W40" s="6">
        <f>IF(ISERROR(VLOOKUP($T$40,'TAR FIN'!$A$1:$O$85,15,0)),0,VLOOKUP($T$40,'TAR FIN'!$A$1:$O$85,15,0))</f>
        <v>0</v>
      </c>
      <c r="X40" s="6">
        <f>IF(ISERROR(VLOOKUP($U$40,'TAR FIN'!$A$1:$O$85,15,0)),0,VLOOKUP($U$40,'TAR FIN'!$A$1:$O$85,15,0))</f>
        <v>0</v>
      </c>
      <c r="Y40" s="6">
        <f ca="1">('TUSD BE'!$AM$10+'TUSD BF'!$AM$10+'TUSD CVA'!$AM$10)*1</f>
        <v>46.049752913094459</v>
      </c>
      <c r="Z40" s="6"/>
      <c r="AA40" s="6"/>
      <c r="AB40" s="6">
        <f t="shared" si="0"/>
        <v>17892</v>
      </c>
      <c r="AC40" s="6">
        <f t="shared" si="6"/>
        <v>0</v>
      </c>
      <c r="AD40" s="6">
        <f t="shared" ca="1" si="2"/>
        <v>24176.120279374591</v>
      </c>
      <c r="AE40" s="6">
        <f t="shared" si="7"/>
        <v>0</v>
      </c>
      <c r="AF40" s="4" t="s">
        <v>689</v>
      </c>
    </row>
    <row r="41" spans="1:32" ht="11.25" customHeight="1" x14ac:dyDescent="0.3">
      <c r="A41" s="4" t="s">
        <v>27</v>
      </c>
      <c r="B41" s="4" t="s">
        <v>39</v>
      </c>
      <c r="C41" s="4" t="s">
        <v>40</v>
      </c>
      <c r="D41" s="4" t="s">
        <v>38</v>
      </c>
      <c r="E41" s="4" t="s">
        <v>25</v>
      </c>
      <c r="F41" s="4" t="s">
        <v>51</v>
      </c>
      <c r="G41" s="4" t="s">
        <v>25</v>
      </c>
      <c r="H41" s="4" t="s">
        <v>25</v>
      </c>
      <c r="I41" s="5">
        <v>44652</v>
      </c>
      <c r="J41" s="6">
        <v>1050</v>
      </c>
      <c r="K41" s="6">
        <v>525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4" t="s">
        <v>52</v>
      </c>
      <c r="R41" s="4">
        <v>0</v>
      </c>
      <c r="S41" s="4">
        <v>10</v>
      </c>
      <c r="T41" s="4">
        <v>0</v>
      </c>
      <c r="U41" s="4">
        <v>0</v>
      </c>
      <c r="V41" s="6">
        <f>IF(ISERROR(VLOOKUP($S$41,'TAR FIN'!$A$1:$O$85,15,0)),0,VLOOKUP($S$41,'TAR FIN'!$A$1:$O$85,15,0))</f>
        <v>34.08</v>
      </c>
      <c r="W41" s="6">
        <f>IF(ISERROR(VLOOKUP($T$41,'TAR FIN'!$A$1:$O$85,15,0)),0,VLOOKUP($T$41,'TAR FIN'!$A$1:$O$85,15,0))</f>
        <v>0</v>
      </c>
      <c r="X41" s="6">
        <f>IF(ISERROR(VLOOKUP($U$41,'TAR FIN'!$A$1:$O$85,15,0)),0,VLOOKUP($U$41,'TAR FIN'!$A$1:$O$85,15,0))</f>
        <v>0</v>
      </c>
      <c r="Y41" s="6">
        <f ca="1">('TUSD BE'!$AM$10+'TUSD BF'!$AM$10+'TUSD CVA'!$AM$10)*1</f>
        <v>46.049752913094459</v>
      </c>
      <c r="Z41" s="6"/>
      <c r="AA41" s="6"/>
      <c r="AB41" s="6">
        <f t="shared" si="0"/>
        <v>17892</v>
      </c>
      <c r="AC41" s="6">
        <f t="shared" si="6"/>
        <v>0</v>
      </c>
      <c r="AD41" s="6">
        <f t="shared" ca="1" si="2"/>
        <v>24176.120279374591</v>
      </c>
      <c r="AE41" s="6">
        <f t="shared" si="7"/>
        <v>0</v>
      </c>
      <c r="AF41" s="4" t="s">
        <v>689</v>
      </c>
    </row>
    <row r="42" spans="1:32" ht="11.25" customHeight="1" x14ac:dyDescent="0.3">
      <c r="A42" s="4" t="s">
        <v>21</v>
      </c>
      <c r="B42" s="4" t="s">
        <v>39</v>
      </c>
      <c r="C42" s="4" t="s">
        <v>40</v>
      </c>
      <c r="D42" s="4" t="s">
        <v>38</v>
      </c>
      <c r="E42" s="4" t="s">
        <v>25</v>
      </c>
      <c r="F42" s="4" t="s">
        <v>51</v>
      </c>
      <c r="G42" s="4" t="s">
        <v>25</v>
      </c>
      <c r="H42" s="4" t="s">
        <v>25</v>
      </c>
      <c r="I42" s="5">
        <v>44682</v>
      </c>
      <c r="J42" s="6">
        <v>1050</v>
      </c>
      <c r="K42" s="6">
        <v>525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4" t="s">
        <v>52</v>
      </c>
      <c r="R42" s="4">
        <v>0</v>
      </c>
      <c r="S42" s="4">
        <v>10</v>
      </c>
      <c r="T42" s="4">
        <v>0</v>
      </c>
      <c r="U42" s="4">
        <v>0</v>
      </c>
      <c r="V42" s="6">
        <f>IF(ISERROR(VLOOKUP($S$42,'TAR FIN'!$A$1:$O$85,15,0)),0,VLOOKUP($S$42,'TAR FIN'!$A$1:$O$85,15,0))</f>
        <v>34.08</v>
      </c>
      <c r="W42" s="6">
        <f>IF(ISERROR(VLOOKUP($T$42,'TAR FIN'!$A$1:$O$85,15,0)),0,VLOOKUP($T$42,'TAR FIN'!$A$1:$O$85,15,0))</f>
        <v>0</v>
      </c>
      <c r="X42" s="6">
        <f>IF(ISERROR(VLOOKUP($U$42,'TAR FIN'!$A$1:$O$85,15,0)),0,VLOOKUP($U$42,'TAR FIN'!$A$1:$O$85,15,0))</f>
        <v>0</v>
      </c>
      <c r="Y42" s="6">
        <f ca="1">('TUSD BE'!$AM$10+'TUSD BF'!$AM$10+'TUSD CVA'!$AM$10)*1</f>
        <v>46.049752913094459</v>
      </c>
      <c r="Z42" s="6"/>
      <c r="AA42" s="6"/>
      <c r="AB42" s="6">
        <f t="shared" si="0"/>
        <v>17892</v>
      </c>
      <c r="AC42" s="6">
        <f t="shared" si="6"/>
        <v>0</v>
      </c>
      <c r="AD42" s="6">
        <f t="shared" ca="1" si="2"/>
        <v>24176.120279374591</v>
      </c>
      <c r="AE42" s="6">
        <f t="shared" si="7"/>
        <v>0</v>
      </c>
      <c r="AF42" s="4" t="s">
        <v>689</v>
      </c>
    </row>
    <row r="43" spans="1:32" ht="11.25" customHeight="1" x14ac:dyDescent="0.3">
      <c r="A43" s="4" t="s">
        <v>27</v>
      </c>
      <c r="B43" s="4" t="s">
        <v>39</v>
      </c>
      <c r="C43" s="4" t="s">
        <v>40</v>
      </c>
      <c r="D43" s="4" t="s">
        <v>38</v>
      </c>
      <c r="E43" s="4" t="s">
        <v>25</v>
      </c>
      <c r="F43" s="4" t="s">
        <v>51</v>
      </c>
      <c r="G43" s="4" t="s">
        <v>25</v>
      </c>
      <c r="H43" s="4" t="s">
        <v>25</v>
      </c>
      <c r="I43" s="5">
        <v>44682</v>
      </c>
      <c r="J43" s="6">
        <v>1050</v>
      </c>
      <c r="K43" s="6">
        <v>525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4" t="s">
        <v>52</v>
      </c>
      <c r="R43" s="4">
        <v>0</v>
      </c>
      <c r="S43" s="4">
        <v>10</v>
      </c>
      <c r="T43" s="4">
        <v>0</v>
      </c>
      <c r="U43" s="4">
        <v>0</v>
      </c>
      <c r="V43" s="6">
        <f>IF(ISERROR(VLOOKUP($S$43,'TAR FIN'!$A$1:$O$85,15,0)),0,VLOOKUP($S$43,'TAR FIN'!$A$1:$O$85,15,0))</f>
        <v>34.08</v>
      </c>
      <c r="W43" s="6">
        <f>IF(ISERROR(VLOOKUP($T$43,'TAR FIN'!$A$1:$O$85,15,0)),0,VLOOKUP($T$43,'TAR FIN'!$A$1:$O$85,15,0))</f>
        <v>0</v>
      </c>
      <c r="X43" s="6">
        <f>IF(ISERROR(VLOOKUP($U$43,'TAR FIN'!$A$1:$O$85,15,0)),0,VLOOKUP($U$43,'TAR FIN'!$A$1:$O$85,15,0))</f>
        <v>0</v>
      </c>
      <c r="Y43" s="6">
        <f ca="1">('TUSD BE'!$AM$10+'TUSD BF'!$AM$10+'TUSD CVA'!$AM$10)*1</f>
        <v>46.049752913094459</v>
      </c>
      <c r="Z43" s="6"/>
      <c r="AA43" s="6"/>
      <c r="AB43" s="6">
        <f t="shared" si="0"/>
        <v>17892</v>
      </c>
      <c r="AC43" s="6">
        <f t="shared" si="6"/>
        <v>0</v>
      </c>
      <c r="AD43" s="6">
        <f t="shared" ca="1" si="2"/>
        <v>24176.120279374591</v>
      </c>
      <c r="AE43" s="6">
        <f t="shared" si="7"/>
        <v>0</v>
      </c>
      <c r="AF43" s="4" t="s">
        <v>689</v>
      </c>
    </row>
    <row r="44" spans="1:32" ht="11.25" customHeight="1" x14ac:dyDescent="0.3">
      <c r="A44" s="4" t="s">
        <v>21</v>
      </c>
      <c r="B44" s="4" t="s">
        <v>39</v>
      </c>
      <c r="C44" s="4" t="s">
        <v>40</v>
      </c>
      <c r="D44" s="4" t="s">
        <v>38</v>
      </c>
      <c r="E44" s="4" t="s">
        <v>25</v>
      </c>
      <c r="F44" s="4" t="s">
        <v>51</v>
      </c>
      <c r="G44" s="4" t="s">
        <v>25</v>
      </c>
      <c r="H44" s="4" t="s">
        <v>25</v>
      </c>
      <c r="I44" s="5">
        <v>44713</v>
      </c>
      <c r="J44" s="6">
        <v>1050</v>
      </c>
      <c r="K44" s="6">
        <v>525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4" t="s">
        <v>52</v>
      </c>
      <c r="R44" s="4">
        <v>0</v>
      </c>
      <c r="S44" s="4">
        <v>10</v>
      </c>
      <c r="T44" s="4">
        <v>0</v>
      </c>
      <c r="U44" s="4">
        <v>0</v>
      </c>
      <c r="V44" s="6">
        <f>IF(ISERROR(VLOOKUP($S$44,'TAR FIN'!$A$1:$O$85,15,0)),0,VLOOKUP($S$44,'TAR FIN'!$A$1:$O$85,15,0))</f>
        <v>34.08</v>
      </c>
      <c r="W44" s="6">
        <f>IF(ISERROR(VLOOKUP($T$44,'TAR FIN'!$A$1:$O$85,15,0)),0,VLOOKUP($T$44,'TAR FIN'!$A$1:$O$85,15,0))</f>
        <v>0</v>
      </c>
      <c r="X44" s="6">
        <f>IF(ISERROR(VLOOKUP($U$44,'TAR FIN'!$A$1:$O$85,15,0)),0,VLOOKUP($U$44,'TAR FIN'!$A$1:$O$85,15,0))</f>
        <v>0</v>
      </c>
      <c r="Y44" s="6">
        <f ca="1">('TUSD BE'!$AM$10+'TUSD BF'!$AM$10+'TUSD CVA'!$AM$10)*1</f>
        <v>46.049752913094459</v>
      </c>
      <c r="Z44" s="6"/>
      <c r="AA44" s="6"/>
      <c r="AB44" s="6">
        <f t="shared" si="0"/>
        <v>17892</v>
      </c>
      <c r="AC44" s="6">
        <f t="shared" si="6"/>
        <v>0</v>
      </c>
      <c r="AD44" s="6">
        <f t="shared" ca="1" si="2"/>
        <v>24176.120279374591</v>
      </c>
      <c r="AE44" s="6">
        <f t="shared" si="7"/>
        <v>0</v>
      </c>
      <c r="AF44" s="4" t="s">
        <v>689</v>
      </c>
    </row>
    <row r="45" spans="1:32" ht="11.25" customHeight="1" x14ac:dyDescent="0.3">
      <c r="A45" s="4" t="s">
        <v>27</v>
      </c>
      <c r="B45" s="4" t="s">
        <v>39</v>
      </c>
      <c r="C45" s="4" t="s">
        <v>40</v>
      </c>
      <c r="D45" s="4" t="s">
        <v>38</v>
      </c>
      <c r="E45" s="4" t="s">
        <v>25</v>
      </c>
      <c r="F45" s="4" t="s">
        <v>51</v>
      </c>
      <c r="G45" s="4" t="s">
        <v>25</v>
      </c>
      <c r="H45" s="4" t="s">
        <v>25</v>
      </c>
      <c r="I45" s="5">
        <v>44713</v>
      </c>
      <c r="J45" s="6">
        <v>1050</v>
      </c>
      <c r="K45" s="6">
        <v>525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4" t="s">
        <v>52</v>
      </c>
      <c r="R45" s="4">
        <v>0</v>
      </c>
      <c r="S45" s="4">
        <v>10</v>
      </c>
      <c r="T45" s="4">
        <v>0</v>
      </c>
      <c r="U45" s="4">
        <v>0</v>
      </c>
      <c r="V45" s="6">
        <f>IF(ISERROR(VLOOKUP($S$45,'TAR FIN'!$A$1:$O$85,15,0)),0,VLOOKUP($S$45,'TAR FIN'!$A$1:$O$85,15,0))</f>
        <v>34.08</v>
      </c>
      <c r="W45" s="6">
        <f>IF(ISERROR(VLOOKUP($T$45,'TAR FIN'!$A$1:$O$85,15,0)),0,VLOOKUP($T$45,'TAR FIN'!$A$1:$O$85,15,0))</f>
        <v>0</v>
      </c>
      <c r="X45" s="6">
        <f>IF(ISERROR(VLOOKUP($U$45,'TAR FIN'!$A$1:$O$85,15,0)),0,VLOOKUP($U$45,'TAR FIN'!$A$1:$O$85,15,0))</f>
        <v>0</v>
      </c>
      <c r="Y45" s="6">
        <f ca="1">('TUSD BE'!$AM$10+'TUSD BF'!$AM$10+'TUSD CVA'!$AM$10)*1</f>
        <v>46.049752913094459</v>
      </c>
      <c r="Z45" s="6"/>
      <c r="AA45" s="6"/>
      <c r="AB45" s="6">
        <f t="shared" si="0"/>
        <v>17892</v>
      </c>
      <c r="AC45" s="6">
        <f t="shared" si="6"/>
        <v>0</v>
      </c>
      <c r="AD45" s="6">
        <f t="shared" ca="1" si="2"/>
        <v>24176.120279374591</v>
      </c>
      <c r="AE45" s="6">
        <f t="shared" si="7"/>
        <v>0</v>
      </c>
      <c r="AF45" s="4" t="s">
        <v>689</v>
      </c>
    </row>
    <row r="46" spans="1:32" ht="11.25" customHeight="1" x14ac:dyDescent="0.3">
      <c r="A46" s="4" t="s">
        <v>21</v>
      </c>
      <c r="B46" s="4" t="s">
        <v>39</v>
      </c>
      <c r="C46" s="4" t="s">
        <v>40</v>
      </c>
      <c r="D46" s="4" t="s">
        <v>38</v>
      </c>
      <c r="E46" s="4" t="s">
        <v>25</v>
      </c>
      <c r="F46" s="4" t="s">
        <v>51</v>
      </c>
      <c r="G46" s="4" t="s">
        <v>25</v>
      </c>
      <c r="H46" s="4" t="s">
        <v>25</v>
      </c>
      <c r="I46" s="5">
        <v>44743</v>
      </c>
      <c r="J46" s="6">
        <v>1050</v>
      </c>
      <c r="K46" s="6">
        <v>525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4" t="s">
        <v>52</v>
      </c>
      <c r="R46" s="4">
        <v>0</v>
      </c>
      <c r="S46" s="4">
        <v>10</v>
      </c>
      <c r="T46" s="4">
        <v>0</v>
      </c>
      <c r="U46" s="4">
        <v>0</v>
      </c>
      <c r="V46" s="6">
        <f>IF(ISERROR(VLOOKUP($S$46,'TAR FIN'!$A$1:$O$85,15,0)),0,VLOOKUP($S$46,'TAR FIN'!$A$1:$O$85,15,0))</f>
        <v>34.08</v>
      </c>
      <c r="W46" s="6">
        <f>IF(ISERROR(VLOOKUP($T$46,'TAR FIN'!$A$1:$O$85,15,0)),0,VLOOKUP($T$46,'TAR FIN'!$A$1:$O$85,15,0))</f>
        <v>0</v>
      </c>
      <c r="X46" s="6">
        <f>IF(ISERROR(VLOOKUP($U$46,'TAR FIN'!$A$1:$O$85,15,0)),0,VLOOKUP($U$46,'TAR FIN'!$A$1:$O$85,15,0))</f>
        <v>0</v>
      </c>
      <c r="Y46" s="6">
        <f ca="1">('TUSD BE'!$AM$10+'TUSD BF'!$AM$10+'TUSD CVA'!$AM$10)*1</f>
        <v>46.049752913094459</v>
      </c>
      <c r="Z46" s="6"/>
      <c r="AA46" s="6"/>
      <c r="AB46" s="6">
        <f t="shared" si="0"/>
        <v>17892</v>
      </c>
      <c r="AC46" s="6">
        <f t="shared" si="6"/>
        <v>0</v>
      </c>
      <c r="AD46" s="6">
        <f t="shared" ca="1" si="2"/>
        <v>24176.120279374591</v>
      </c>
      <c r="AE46" s="6">
        <f t="shared" si="7"/>
        <v>0</v>
      </c>
      <c r="AF46" s="4" t="s">
        <v>689</v>
      </c>
    </row>
    <row r="47" spans="1:32" ht="11.25" customHeight="1" x14ac:dyDescent="0.3">
      <c r="A47" s="4" t="s">
        <v>27</v>
      </c>
      <c r="B47" s="4" t="s">
        <v>39</v>
      </c>
      <c r="C47" s="4" t="s">
        <v>40</v>
      </c>
      <c r="D47" s="4" t="s">
        <v>38</v>
      </c>
      <c r="E47" s="4" t="s">
        <v>25</v>
      </c>
      <c r="F47" s="4" t="s">
        <v>51</v>
      </c>
      <c r="G47" s="4" t="s">
        <v>25</v>
      </c>
      <c r="H47" s="4" t="s">
        <v>25</v>
      </c>
      <c r="I47" s="5">
        <v>44743</v>
      </c>
      <c r="J47" s="6">
        <v>1050</v>
      </c>
      <c r="K47" s="6">
        <v>525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4" t="s">
        <v>52</v>
      </c>
      <c r="R47" s="4">
        <v>0</v>
      </c>
      <c r="S47" s="4">
        <v>10</v>
      </c>
      <c r="T47" s="4">
        <v>0</v>
      </c>
      <c r="U47" s="4">
        <v>0</v>
      </c>
      <c r="V47" s="6">
        <f>IF(ISERROR(VLOOKUP($S$47,'TAR FIN'!$A$1:$O$85,15,0)),0,VLOOKUP($S$47,'TAR FIN'!$A$1:$O$85,15,0))</f>
        <v>34.08</v>
      </c>
      <c r="W47" s="6">
        <f>IF(ISERROR(VLOOKUP($T$47,'TAR FIN'!$A$1:$O$85,15,0)),0,VLOOKUP($T$47,'TAR FIN'!$A$1:$O$85,15,0))</f>
        <v>0</v>
      </c>
      <c r="X47" s="6">
        <f>IF(ISERROR(VLOOKUP($U$47,'TAR FIN'!$A$1:$O$85,15,0)),0,VLOOKUP($U$47,'TAR FIN'!$A$1:$O$85,15,0))</f>
        <v>0</v>
      </c>
      <c r="Y47" s="6">
        <f ca="1">('TUSD BE'!$AM$10+'TUSD BF'!$AM$10+'TUSD CVA'!$AM$10)*1</f>
        <v>46.049752913094459</v>
      </c>
      <c r="Z47" s="6"/>
      <c r="AA47" s="6"/>
      <c r="AB47" s="6">
        <f t="shared" si="0"/>
        <v>17892</v>
      </c>
      <c r="AC47" s="6">
        <f t="shared" si="6"/>
        <v>0</v>
      </c>
      <c r="AD47" s="6">
        <f t="shared" ca="1" si="2"/>
        <v>24176.120279374591</v>
      </c>
      <c r="AE47" s="6">
        <f t="shared" si="7"/>
        <v>0</v>
      </c>
      <c r="AF47" s="4" t="s">
        <v>689</v>
      </c>
    </row>
    <row r="48" spans="1:32" ht="11.25" customHeight="1" x14ac:dyDescent="0.3">
      <c r="A48" s="4" t="s">
        <v>21</v>
      </c>
      <c r="B48" s="4" t="s">
        <v>39</v>
      </c>
      <c r="C48" s="4" t="s">
        <v>40</v>
      </c>
      <c r="D48" s="4" t="s">
        <v>38</v>
      </c>
      <c r="E48" s="4" t="s">
        <v>25</v>
      </c>
      <c r="F48" s="4" t="s">
        <v>51</v>
      </c>
      <c r="G48" s="4" t="s">
        <v>25</v>
      </c>
      <c r="H48" s="4" t="s">
        <v>25</v>
      </c>
      <c r="I48" s="5">
        <v>44774</v>
      </c>
      <c r="J48" s="6">
        <v>1050</v>
      </c>
      <c r="K48" s="6">
        <v>540.64499999999998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4" t="s">
        <v>52</v>
      </c>
      <c r="R48" s="4">
        <v>0</v>
      </c>
      <c r="S48" s="4">
        <v>10</v>
      </c>
      <c r="T48" s="4">
        <v>0</v>
      </c>
      <c r="U48" s="4">
        <v>0</v>
      </c>
      <c r="V48" s="6">
        <f>IF(ISERROR(VLOOKUP($S$48,'TAR FIN'!$A$1:$O$85,15,0)),0,VLOOKUP($S$48,'TAR FIN'!$A$1:$O$85,15,0))</f>
        <v>34.08</v>
      </c>
      <c r="W48" s="6">
        <f>IF(ISERROR(VLOOKUP($T$48,'TAR FIN'!$A$1:$O$85,15,0)),0,VLOOKUP($T$48,'TAR FIN'!$A$1:$O$85,15,0))</f>
        <v>0</v>
      </c>
      <c r="X48" s="6">
        <f>IF(ISERROR(VLOOKUP($U$48,'TAR FIN'!$A$1:$O$85,15,0)),0,VLOOKUP($U$48,'TAR FIN'!$A$1:$O$85,15,0))</f>
        <v>0</v>
      </c>
      <c r="Y48" s="6">
        <f ca="1">('TUSD BE'!$AM$10+'TUSD BF'!$AM$10+'TUSD CVA'!$AM$10)*1</f>
        <v>46.049752913094459</v>
      </c>
      <c r="Z48" s="6"/>
      <c r="AA48" s="6"/>
      <c r="AB48" s="6">
        <f t="shared" si="0"/>
        <v>17358.8184</v>
      </c>
      <c r="AC48" s="6">
        <f t="shared" si="6"/>
        <v>0</v>
      </c>
      <c r="AD48" s="6">
        <f t="shared" ca="1" si="2"/>
        <v>23455.671895049229</v>
      </c>
      <c r="AE48" s="6">
        <f t="shared" si="7"/>
        <v>0</v>
      </c>
      <c r="AF48" s="4" t="s">
        <v>689</v>
      </c>
    </row>
    <row r="49" spans="1:32" ht="11.25" customHeight="1" x14ac:dyDescent="0.3">
      <c r="A49" s="4" t="s">
        <v>27</v>
      </c>
      <c r="B49" s="4" t="s">
        <v>39</v>
      </c>
      <c r="C49" s="4" t="s">
        <v>40</v>
      </c>
      <c r="D49" s="4" t="s">
        <v>38</v>
      </c>
      <c r="E49" s="4" t="s">
        <v>25</v>
      </c>
      <c r="F49" s="4" t="s">
        <v>51</v>
      </c>
      <c r="G49" s="4" t="s">
        <v>25</v>
      </c>
      <c r="H49" s="4" t="s">
        <v>25</v>
      </c>
      <c r="I49" s="5">
        <v>44774</v>
      </c>
      <c r="J49" s="6">
        <v>1050</v>
      </c>
      <c r="K49" s="6">
        <v>540.64499999999998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4" t="s">
        <v>52</v>
      </c>
      <c r="R49" s="4">
        <v>0</v>
      </c>
      <c r="S49" s="4">
        <v>10</v>
      </c>
      <c r="T49" s="4">
        <v>0</v>
      </c>
      <c r="U49" s="4">
        <v>0</v>
      </c>
      <c r="V49" s="6">
        <f>IF(ISERROR(VLOOKUP($S$49,'TAR FIN'!$A$1:$O$85,15,0)),0,VLOOKUP($S$49,'TAR FIN'!$A$1:$O$85,15,0))</f>
        <v>34.08</v>
      </c>
      <c r="W49" s="6">
        <f>IF(ISERROR(VLOOKUP($T$49,'TAR FIN'!$A$1:$O$85,15,0)),0,VLOOKUP($T$49,'TAR FIN'!$A$1:$O$85,15,0))</f>
        <v>0</v>
      </c>
      <c r="X49" s="6">
        <f>IF(ISERROR(VLOOKUP($U$49,'TAR FIN'!$A$1:$O$85,15,0)),0,VLOOKUP($U$49,'TAR FIN'!$A$1:$O$85,15,0))</f>
        <v>0</v>
      </c>
      <c r="Y49" s="6">
        <f ca="1">('TUSD BE'!$AM$10+'TUSD BF'!$AM$10+'TUSD CVA'!$AM$10)*1</f>
        <v>46.049752913094459</v>
      </c>
      <c r="Z49" s="6"/>
      <c r="AA49" s="6"/>
      <c r="AB49" s="6">
        <f t="shared" si="0"/>
        <v>17358.8184</v>
      </c>
      <c r="AC49" s="6">
        <f t="shared" si="6"/>
        <v>0</v>
      </c>
      <c r="AD49" s="6">
        <f t="shared" ca="1" si="2"/>
        <v>23455.671895049229</v>
      </c>
      <c r="AE49" s="6">
        <f t="shared" si="7"/>
        <v>0</v>
      </c>
      <c r="AF49" s="4" t="s">
        <v>689</v>
      </c>
    </row>
    <row r="50" spans="1:32" ht="11.25" customHeight="1" x14ac:dyDescent="0.3">
      <c r="A50" s="4" t="s">
        <v>21</v>
      </c>
      <c r="B50" s="4" t="s">
        <v>39</v>
      </c>
      <c r="C50" s="4" t="s">
        <v>40</v>
      </c>
      <c r="D50" s="4" t="s">
        <v>38</v>
      </c>
      <c r="E50" s="4" t="s">
        <v>25</v>
      </c>
      <c r="F50" s="4" t="s">
        <v>51</v>
      </c>
      <c r="G50" s="4" t="s">
        <v>25</v>
      </c>
      <c r="H50" s="4" t="s">
        <v>34</v>
      </c>
      <c r="I50" s="5">
        <v>44440</v>
      </c>
      <c r="J50" s="6">
        <v>0</v>
      </c>
      <c r="K50" s="6">
        <v>0</v>
      </c>
      <c r="L50" s="6">
        <v>0.85099999999999998</v>
      </c>
      <c r="M50" s="6">
        <v>0.42549999999999999</v>
      </c>
      <c r="N50" s="6">
        <v>0</v>
      </c>
      <c r="O50" s="6">
        <v>0</v>
      </c>
      <c r="P50" s="6">
        <v>0</v>
      </c>
      <c r="Q50" s="4" t="s">
        <v>52</v>
      </c>
      <c r="R50" s="4">
        <v>0</v>
      </c>
      <c r="S50" s="4">
        <v>0</v>
      </c>
      <c r="T50" s="4">
        <v>23</v>
      </c>
      <c r="U50" s="4">
        <v>0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2545.94</v>
      </c>
      <c r="X50" s="6">
        <f>IF(ISERROR(VLOOKUP($U$50,'TAR FIN'!$A$1:$O$85,15,0)),0,VLOOKUP($U$50,'TAR FIN'!$A$1:$O$85,15,0))</f>
        <v>0</v>
      </c>
      <c r="Y50" s="6"/>
      <c r="Z50" s="6">
        <f ca="1">('TUSD BE'!$AM$11+'TUSD BF'!$AM$11+'TUSD CVA'!$AM$11)*1</f>
        <v>3597.960494353159</v>
      </c>
      <c r="AA50" s="6"/>
      <c r="AB50" s="6">
        <f t="shared" si="0"/>
        <v>0</v>
      </c>
      <c r="AC50" s="6">
        <f t="shared" si="6"/>
        <v>1083.29747</v>
      </c>
      <c r="AD50" s="6">
        <f t="shared" si="2"/>
        <v>0</v>
      </c>
      <c r="AE50" s="6">
        <f t="shared" ca="1" si="7"/>
        <v>1530.9321903472692</v>
      </c>
      <c r="AF50" s="4" t="s">
        <v>689</v>
      </c>
    </row>
    <row r="51" spans="1:32" ht="11.25" customHeight="1" x14ac:dyDescent="0.3">
      <c r="A51" s="4" t="s">
        <v>27</v>
      </c>
      <c r="B51" s="4" t="s">
        <v>39</v>
      </c>
      <c r="C51" s="4" t="s">
        <v>40</v>
      </c>
      <c r="D51" s="4" t="s">
        <v>38</v>
      </c>
      <c r="E51" s="4" t="s">
        <v>25</v>
      </c>
      <c r="F51" s="4" t="s">
        <v>51</v>
      </c>
      <c r="G51" s="4" t="s">
        <v>25</v>
      </c>
      <c r="H51" s="4" t="s">
        <v>34</v>
      </c>
      <c r="I51" s="5">
        <v>44440</v>
      </c>
      <c r="J51" s="6">
        <v>0</v>
      </c>
      <c r="K51" s="6">
        <v>0</v>
      </c>
      <c r="L51" s="6">
        <v>0.85099999999999998</v>
      </c>
      <c r="M51" s="6">
        <v>0.42549999999999999</v>
      </c>
      <c r="N51" s="6">
        <v>0</v>
      </c>
      <c r="O51" s="6">
        <v>0</v>
      </c>
      <c r="P51" s="6">
        <v>0</v>
      </c>
      <c r="Q51" s="4" t="s">
        <v>52</v>
      </c>
      <c r="R51" s="4">
        <v>0</v>
      </c>
      <c r="S51" s="4">
        <v>0</v>
      </c>
      <c r="T51" s="4">
        <v>23</v>
      </c>
      <c r="U51" s="4">
        <v>0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2545.94</v>
      </c>
      <c r="X51" s="6">
        <f>IF(ISERROR(VLOOKUP($U$51,'TAR FIN'!$A$1:$O$85,15,0)),0,VLOOKUP($U$51,'TAR FIN'!$A$1:$O$85,15,0))</f>
        <v>0</v>
      </c>
      <c r="Y51" s="6"/>
      <c r="Z51" s="6">
        <f ca="1">('TUSD BE'!$AM$11+'TUSD BF'!$AM$11+'TUSD CVA'!$AM$11)*1</f>
        <v>3597.960494353159</v>
      </c>
      <c r="AA51" s="6"/>
      <c r="AB51" s="6">
        <f t="shared" si="0"/>
        <v>0</v>
      </c>
      <c r="AC51" s="6">
        <f t="shared" si="6"/>
        <v>1083.29747</v>
      </c>
      <c r="AD51" s="6">
        <f t="shared" si="2"/>
        <v>0</v>
      </c>
      <c r="AE51" s="6">
        <f t="shared" ca="1" si="7"/>
        <v>1530.9321903472692</v>
      </c>
      <c r="AF51" s="4" t="s">
        <v>689</v>
      </c>
    </row>
    <row r="52" spans="1:32" ht="11.25" customHeight="1" x14ac:dyDescent="0.3">
      <c r="A52" s="4" t="s">
        <v>21</v>
      </c>
      <c r="B52" s="4" t="s">
        <v>39</v>
      </c>
      <c r="C52" s="4" t="s">
        <v>40</v>
      </c>
      <c r="D52" s="4" t="s">
        <v>38</v>
      </c>
      <c r="E52" s="4" t="s">
        <v>25</v>
      </c>
      <c r="F52" s="4" t="s">
        <v>51</v>
      </c>
      <c r="G52" s="4" t="s">
        <v>25</v>
      </c>
      <c r="H52" s="4" t="s">
        <v>34</v>
      </c>
      <c r="I52" s="5">
        <v>44470</v>
      </c>
      <c r="J52" s="6">
        <v>0</v>
      </c>
      <c r="K52" s="6">
        <v>0</v>
      </c>
      <c r="L52" s="6">
        <v>0.93700000000000006</v>
      </c>
      <c r="M52" s="6">
        <v>0.46850000000000003</v>
      </c>
      <c r="N52" s="6">
        <v>0</v>
      </c>
      <c r="O52" s="6">
        <v>0</v>
      </c>
      <c r="P52" s="6">
        <v>0</v>
      </c>
      <c r="Q52" s="4" t="s">
        <v>52</v>
      </c>
      <c r="R52" s="4">
        <v>0</v>
      </c>
      <c r="S52" s="4">
        <v>0</v>
      </c>
      <c r="T52" s="4">
        <v>23</v>
      </c>
      <c r="U52" s="4">
        <v>0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2545.94</v>
      </c>
      <c r="X52" s="6">
        <f>IF(ISERROR(VLOOKUP($U$52,'TAR FIN'!$A$1:$O$85,15,0)),0,VLOOKUP($U$52,'TAR FIN'!$A$1:$O$85,15,0))</f>
        <v>0</v>
      </c>
      <c r="Y52" s="6"/>
      <c r="Z52" s="6">
        <f ca="1">('TUSD BE'!$AM$11+'TUSD BF'!$AM$11+'TUSD CVA'!$AM$11)*1</f>
        <v>3597.960494353159</v>
      </c>
      <c r="AA52" s="6"/>
      <c r="AB52" s="6">
        <f t="shared" si="0"/>
        <v>0</v>
      </c>
      <c r="AC52" s="6">
        <f t="shared" si="6"/>
        <v>1192.7728900000002</v>
      </c>
      <c r="AD52" s="6">
        <f t="shared" si="2"/>
        <v>0</v>
      </c>
      <c r="AE52" s="6">
        <f t="shared" ca="1" si="7"/>
        <v>1685.6444916044552</v>
      </c>
      <c r="AF52" s="4" t="s">
        <v>689</v>
      </c>
    </row>
    <row r="53" spans="1:32" ht="11.25" customHeight="1" x14ac:dyDescent="0.3">
      <c r="A53" s="4" t="s">
        <v>27</v>
      </c>
      <c r="B53" s="4" t="s">
        <v>39</v>
      </c>
      <c r="C53" s="4" t="s">
        <v>40</v>
      </c>
      <c r="D53" s="4" t="s">
        <v>38</v>
      </c>
      <c r="E53" s="4" t="s">
        <v>25</v>
      </c>
      <c r="F53" s="4" t="s">
        <v>51</v>
      </c>
      <c r="G53" s="4" t="s">
        <v>25</v>
      </c>
      <c r="H53" s="4" t="s">
        <v>34</v>
      </c>
      <c r="I53" s="5">
        <v>44470</v>
      </c>
      <c r="J53" s="6">
        <v>0</v>
      </c>
      <c r="K53" s="6">
        <v>0</v>
      </c>
      <c r="L53" s="6">
        <v>0.93700000000000006</v>
      </c>
      <c r="M53" s="6">
        <v>0.46850000000000003</v>
      </c>
      <c r="N53" s="6">
        <v>0</v>
      </c>
      <c r="O53" s="6">
        <v>0</v>
      </c>
      <c r="P53" s="6">
        <v>0</v>
      </c>
      <c r="Q53" s="4" t="s">
        <v>52</v>
      </c>
      <c r="R53" s="4">
        <v>0</v>
      </c>
      <c r="S53" s="4">
        <v>0</v>
      </c>
      <c r="T53" s="4">
        <v>23</v>
      </c>
      <c r="U53" s="4">
        <v>0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2545.94</v>
      </c>
      <c r="X53" s="6">
        <f>IF(ISERROR(VLOOKUP($U$53,'TAR FIN'!$A$1:$O$85,15,0)),0,VLOOKUP($U$53,'TAR FIN'!$A$1:$O$85,15,0))</f>
        <v>0</v>
      </c>
      <c r="Y53" s="6"/>
      <c r="Z53" s="6">
        <f ca="1">('TUSD BE'!$AM$11+'TUSD BF'!$AM$11+'TUSD CVA'!$AM$11)*1</f>
        <v>3597.960494353159</v>
      </c>
      <c r="AA53" s="6"/>
      <c r="AB53" s="6">
        <f t="shared" si="0"/>
        <v>0</v>
      </c>
      <c r="AC53" s="6">
        <f t="shared" si="6"/>
        <v>1192.7728900000002</v>
      </c>
      <c r="AD53" s="6">
        <f t="shared" si="2"/>
        <v>0</v>
      </c>
      <c r="AE53" s="6">
        <f t="shared" ca="1" si="7"/>
        <v>1685.6444916044552</v>
      </c>
      <c r="AF53" s="4" t="s">
        <v>689</v>
      </c>
    </row>
    <row r="54" spans="1:32" ht="11.25" customHeight="1" x14ac:dyDescent="0.3">
      <c r="A54" s="4" t="s">
        <v>21</v>
      </c>
      <c r="B54" s="4" t="s">
        <v>39</v>
      </c>
      <c r="C54" s="4" t="s">
        <v>40</v>
      </c>
      <c r="D54" s="4" t="s">
        <v>38</v>
      </c>
      <c r="E54" s="4" t="s">
        <v>25</v>
      </c>
      <c r="F54" s="4" t="s">
        <v>51</v>
      </c>
      <c r="G54" s="4" t="s">
        <v>25</v>
      </c>
      <c r="H54" s="4" t="s">
        <v>34</v>
      </c>
      <c r="I54" s="5">
        <v>44501</v>
      </c>
      <c r="J54" s="6">
        <v>0</v>
      </c>
      <c r="K54" s="6">
        <v>0</v>
      </c>
      <c r="L54" s="6">
        <v>1.032</v>
      </c>
      <c r="M54" s="6">
        <v>0.51600000000000001</v>
      </c>
      <c r="N54" s="6">
        <v>0</v>
      </c>
      <c r="O54" s="6">
        <v>0</v>
      </c>
      <c r="P54" s="6">
        <v>0</v>
      </c>
      <c r="Q54" s="4" t="s">
        <v>52</v>
      </c>
      <c r="R54" s="4">
        <v>0</v>
      </c>
      <c r="S54" s="4">
        <v>0</v>
      </c>
      <c r="T54" s="4">
        <v>23</v>
      </c>
      <c r="U54" s="4">
        <v>0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2545.94</v>
      </c>
      <c r="X54" s="6">
        <f>IF(ISERROR(VLOOKUP($U$54,'TAR FIN'!$A$1:$O$85,15,0)),0,VLOOKUP($U$54,'TAR FIN'!$A$1:$O$85,15,0))</f>
        <v>0</v>
      </c>
      <c r="Y54" s="6"/>
      <c r="Z54" s="6">
        <f ca="1">('TUSD BE'!$AM$11+'TUSD BF'!$AM$11+'TUSD CVA'!$AM$11)*1</f>
        <v>3597.960494353159</v>
      </c>
      <c r="AA54" s="6"/>
      <c r="AB54" s="6">
        <f t="shared" si="0"/>
        <v>0</v>
      </c>
      <c r="AC54" s="6">
        <f t="shared" si="6"/>
        <v>1313.7050400000001</v>
      </c>
      <c r="AD54" s="6">
        <f t="shared" si="2"/>
        <v>0</v>
      </c>
      <c r="AE54" s="6">
        <f t="shared" ca="1" si="7"/>
        <v>1856.5476150862301</v>
      </c>
      <c r="AF54" s="4" t="s">
        <v>689</v>
      </c>
    </row>
    <row r="55" spans="1:32" ht="11.25" customHeight="1" x14ac:dyDescent="0.3">
      <c r="A55" s="4" t="s">
        <v>27</v>
      </c>
      <c r="B55" s="4" t="s">
        <v>39</v>
      </c>
      <c r="C55" s="4" t="s">
        <v>40</v>
      </c>
      <c r="D55" s="4" t="s">
        <v>38</v>
      </c>
      <c r="E55" s="4" t="s">
        <v>25</v>
      </c>
      <c r="F55" s="4" t="s">
        <v>51</v>
      </c>
      <c r="G55" s="4" t="s">
        <v>25</v>
      </c>
      <c r="H55" s="4" t="s">
        <v>34</v>
      </c>
      <c r="I55" s="5">
        <v>44501</v>
      </c>
      <c r="J55" s="6">
        <v>0</v>
      </c>
      <c r="K55" s="6">
        <v>0</v>
      </c>
      <c r="L55" s="6">
        <v>1.032</v>
      </c>
      <c r="M55" s="6">
        <v>0.51600000000000001</v>
      </c>
      <c r="N55" s="6">
        <v>0</v>
      </c>
      <c r="O55" s="6">
        <v>0</v>
      </c>
      <c r="P55" s="6">
        <v>0</v>
      </c>
      <c r="Q55" s="4" t="s">
        <v>52</v>
      </c>
      <c r="R55" s="4">
        <v>0</v>
      </c>
      <c r="S55" s="4">
        <v>0</v>
      </c>
      <c r="T55" s="4">
        <v>23</v>
      </c>
      <c r="U55" s="4">
        <v>0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2545.94</v>
      </c>
      <c r="X55" s="6">
        <f>IF(ISERROR(VLOOKUP($U$55,'TAR FIN'!$A$1:$O$85,15,0)),0,VLOOKUP($U$55,'TAR FIN'!$A$1:$O$85,15,0))</f>
        <v>0</v>
      </c>
      <c r="Y55" s="6"/>
      <c r="Z55" s="6">
        <f ca="1">('TUSD BE'!$AM$11+'TUSD BF'!$AM$11+'TUSD CVA'!$AM$11)*1</f>
        <v>3597.960494353159</v>
      </c>
      <c r="AA55" s="6"/>
      <c r="AB55" s="6">
        <f t="shared" si="0"/>
        <v>0</v>
      </c>
      <c r="AC55" s="6">
        <f t="shared" si="6"/>
        <v>1313.7050400000001</v>
      </c>
      <c r="AD55" s="6">
        <f t="shared" si="2"/>
        <v>0</v>
      </c>
      <c r="AE55" s="6">
        <f t="shared" ca="1" si="7"/>
        <v>1856.5476150862301</v>
      </c>
      <c r="AF55" s="4" t="s">
        <v>689</v>
      </c>
    </row>
    <row r="56" spans="1:32" ht="11.25" customHeight="1" x14ac:dyDescent="0.3">
      <c r="A56" s="4" t="s">
        <v>21</v>
      </c>
      <c r="B56" s="4" t="s">
        <v>39</v>
      </c>
      <c r="C56" s="4" t="s">
        <v>40</v>
      </c>
      <c r="D56" s="4" t="s">
        <v>38</v>
      </c>
      <c r="E56" s="4" t="s">
        <v>25</v>
      </c>
      <c r="F56" s="4" t="s">
        <v>51</v>
      </c>
      <c r="G56" s="4" t="s">
        <v>25</v>
      </c>
      <c r="H56" s="4" t="s">
        <v>34</v>
      </c>
      <c r="I56" s="5">
        <v>44531</v>
      </c>
      <c r="J56" s="6">
        <v>0</v>
      </c>
      <c r="K56" s="6">
        <v>0</v>
      </c>
      <c r="L56" s="6">
        <v>0.99099999999999999</v>
      </c>
      <c r="M56" s="6">
        <v>0.4955</v>
      </c>
      <c r="N56" s="6">
        <v>0</v>
      </c>
      <c r="O56" s="6">
        <v>0</v>
      </c>
      <c r="P56" s="6">
        <v>0</v>
      </c>
      <c r="Q56" s="4" t="s">
        <v>52</v>
      </c>
      <c r="R56" s="4">
        <v>0</v>
      </c>
      <c r="S56" s="4">
        <v>0</v>
      </c>
      <c r="T56" s="4">
        <v>23</v>
      </c>
      <c r="U56" s="4">
        <v>0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2545.94</v>
      </c>
      <c r="X56" s="6">
        <f>IF(ISERROR(VLOOKUP($U$56,'TAR FIN'!$A$1:$O$85,15,0)),0,VLOOKUP($U$56,'TAR FIN'!$A$1:$O$85,15,0))</f>
        <v>0</v>
      </c>
      <c r="Y56" s="6"/>
      <c r="Z56" s="6">
        <f ca="1">('TUSD BE'!$AM$11+'TUSD BF'!$AM$11+'TUSD CVA'!$AM$11)*1</f>
        <v>3597.960494353159</v>
      </c>
      <c r="AA56" s="6"/>
      <c r="AB56" s="6">
        <f t="shared" si="0"/>
        <v>0</v>
      </c>
      <c r="AC56" s="6">
        <f t="shared" si="6"/>
        <v>1261.5132699999999</v>
      </c>
      <c r="AD56" s="6">
        <f t="shared" si="2"/>
        <v>0</v>
      </c>
      <c r="AE56" s="6">
        <f t="shared" ca="1" si="7"/>
        <v>1782.7894249519902</v>
      </c>
      <c r="AF56" s="4" t="s">
        <v>689</v>
      </c>
    </row>
    <row r="57" spans="1:32" ht="11.25" customHeight="1" x14ac:dyDescent="0.3">
      <c r="A57" s="4" t="s">
        <v>27</v>
      </c>
      <c r="B57" s="4" t="s">
        <v>39</v>
      </c>
      <c r="C57" s="4" t="s">
        <v>40</v>
      </c>
      <c r="D57" s="4" t="s">
        <v>38</v>
      </c>
      <c r="E57" s="4" t="s">
        <v>25</v>
      </c>
      <c r="F57" s="4" t="s">
        <v>51</v>
      </c>
      <c r="G57" s="4" t="s">
        <v>25</v>
      </c>
      <c r="H57" s="4" t="s">
        <v>34</v>
      </c>
      <c r="I57" s="5">
        <v>44531</v>
      </c>
      <c r="J57" s="6">
        <v>0</v>
      </c>
      <c r="K57" s="6">
        <v>0</v>
      </c>
      <c r="L57" s="6">
        <v>0.99099999999999999</v>
      </c>
      <c r="M57" s="6">
        <v>0.4955</v>
      </c>
      <c r="N57" s="6">
        <v>0</v>
      </c>
      <c r="O57" s="6">
        <v>0</v>
      </c>
      <c r="P57" s="6">
        <v>0</v>
      </c>
      <c r="Q57" s="4" t="s">
        <v>52</v>
      </c>
      <c r="R57" s="4">
        <v>0</v>
      </c>
      <c r="S57" s="4">
        <v>0</v>
      </c>
      <c r="T57" s="4">
        <v>23</v>
      </c>
      <c r="U57" s="4">
        <v>0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2545.94</v>
      </c>
      <c r="X57" s="6">
        <f>IF(ISERROR(VLOOKUP($U$57,'TAR FIN'!$A$1:$O$85,15,0)),0,VLOOKUP($U$57,'TAR FIN'!$A$1:$O$85,15,0))</f>
        <v>0</v>
      </c>
      <c r="Y57" s="6"/>
      <c r="Z57" s="6">
        <f ca="1">('TUSD BE'!$AM$11+'TUSD BF'!$AM$11+'TUSD CVA'!$AM$11)*1</f>
        <v>3597.960494353159</v>
      </c>
      <c r="AA57" s="6"/>
      <c r="AB57" s="6">
        <f t="shared" si="0"/>
        <v>0</v>
      </c>
      <c r="AC57" s="6">
        <f t="shared" si="6"/>
        <v>1261.5132699999999</v>
      </c>
      <c r="AD57" s="6">
        <f t="shared" si="2"/>
        <v>0</v>
      </c>
      <c r="AE57" s="6">
        <f t="shared" ca="1" si="7"/>
        <v>1782.7894249519902</v>
      </c>
      <c r="AF57" s="4" t="s">
        <v>689</v>
      </c>
    </row>
    <row r="58" spans="1:32" ht="11.25" customHeight="1" x14ac:dyDescent="0.3">
      <c r="A58" s="4" t="s">
        <v>21</v>
      </c>
      <c r="B58" s="4" t="s">
        <v>39</v>
      </c>
      <c r="C58" s="4" t="s">
        <v>40</v>
      </c>
      <c r="D58" s="4" t="s">
        <v>38</v>
      </c>
      <c r="E58" s="4" t="s">
        <v>25</v>
      </c>
      <c r="F58" s="4" t="s">
        <v>51</v>
      </c>
      <c r="G58" s="4" t="s">
        <v>25</v>
      </c>
      <c r="H58" s="4" t="s">
        <v>34</v>
      </c>
      <c r="I58" s="5">
        <v>44562</v>
      </c>
      <c r="J58" s="6">
        <v>0</v>
      </c>
      <c r="K58" s="6">
        <v>0</v>
      </c>
      <c r="L58" s="6">
        <v>1.056</v>
      </c>
      <c r="M58" s="6">
        <v>0.52800000000000002</v>
      </c>
      <c r="N58" s="6">
        <v>0</v>
      </c>
      <c r="O58" s="6">
        <v>0</v>
      </c>
      <c r="P58" s="6">
        <v>0</v>
      </c>
      <c r="Q58" s="4" t="s">
        <v>52</v>
      </c>
      <c r="R58" s="4">
        <v>0</v>
      </c>
      <c r="S58" s="4">
        <v>0</v>
      </c>
      <c r="T58" s="4">
        <v>23</v>
      </c>
      <c r="U58" s="4">
        <v>0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2545.94</v>
      </c>
      <c r="X58" s="6">
        <f>IF(ISERROR(VLOOKUP($U$58,'TAR FIN'!$A$1:$O$85,15,0)),0,VLOOKUP($U$58,'TAR FIN'!$A$1:$O$85,15,0))</f>
        <v>0</v>
      </c>
      <c r="Y58" s="6"/>
      <c r="Z58" s="6">
        <f ca="1">('TUSD BE'!$AM$11+'TUSD BF'!$AM$11+'TUSD CVA'!$AM$11)*1</f>
        <v>3597.960494353159</v>
      </c>
      <c r="AA58" s="6"/>
      <c r="AB58" s="6">
        <f t="shared" si="0"/>
        <v>0</v>
      </c>
      <c r="AC58" s="6">
        <f t="shared" si="6"/>
        <v>1344.2563200000002</v>
      </c>
      <c r="AD58" s="6">
        <f t="shared" si="2"/>
        <v>0</v>
      </c>
      <c r="AE58" s="6">
        <f t="shared" ca="1" si="7"/>
        <v>1899.7231410184681</v>
      </c>
      <c r="AF58" s="4" t="s">
        <v>689</v>
      </c>
    </row>
    <row r="59" spans="1:32" ht="11.25" customHeight="1" x14ac:dyDescent="0.3">
      <c r="A59" s="4" t="s">
        <v>27</v>
      </c>
      <c r="B59" s="4" t="s">
        <v>39</v>
      </c>
      <c r="C59" s="4" t="s">
        <v>40</v>
      </c>
      <c r="D59" s="4" t="s">
        <v>38</v>
      </c>
      <c r="E59" s="4" t="s">
        <v>25</v>
      </c>
      <c r="F59" s="4" t="s">
        <v>51</v>
      </c>
      <c r="G59" s="4" t="s">
        <v>25</v>
      </c>
      <c r="H59" s="4" t="s">
        <v>34</v>
      </c>
      <c r="I59" s="5">
        <v>44562</v>
      </c>
      <c r="J59" s="6">
        <v>0</v>
      </c>
      <c r="K59" s="6">
        <v>0</v>
      </c>
      <c r="L59" s="6">
        <v>1.056</v>
      </c>
      <c r="M59" s="6">
        <v>0.52800000000000002</v>
      </c>
      <c r="N59" s="6">
        <v>0</v>
      </c>
      <c r="O59" s="6">
        <v>0</v>
      </c>
      <c r="P59" s="6">
        <v>0</v>
      </c>
      <c r="Q59" s="4" t="s">
        <v>52</v>
      </c>
      <c r="R59" s="4">
        <v>0</v>
      </c>
      <c r="S59" s="4">
        <v>0</v>
      </c>
      <c r="T59" s="4">
        <v>23</v>
      </c>
      <c r="U59" s="4">
        <v>0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2545.94</v>
      </c>
      <c r="X59" s="6">
        <f>IF(ISERROR(VLOOKUP($U$59,'TAR FIN'!$A$1:$O$85,15,0)),0,VLOOKUP($U$59,'TAR FIN'!$A$1:$O$85,15,0))</f>
        <v>0</v>
      </c>
      <c r="Y59" s="6"/>
      <c r="Z59" s="6">
        <f ca="1">('TUSD BE'!$AM$11+'TUSD BF'!$AM$11+'TUSD CVA'!$AM$11)*1</f>
        <v>3597.960494353159</v>
      </c>
      <c r="AA59" s="6"/>
      <c r="AB59" s="6">
        <f t="shared" si="0"/>
        <v>0</v>
      </c>
      <c r="AC59" s="6">
        <f t="shared" si="6"/>
        <v>1344.2563200000002</v>
      </c>
      <c r="AD59" s="6">
        <f t="shared" si="2"/>
        <v>0</v>
      </c>
      <c r="AE59" s="6">
        <f t="shared" ca="1" si="7"/>
        <v>1899.7231410184681</v>
      </c>
      <c r="AF59" s="4" t="s">
        <v>689</v>
      </c>
    </row>
    <row r="60" spans="1:32" ht="11.25" customHeight="1" x14ac:dyDescent="0.3">
      <c r="A60" s="4" t="s">
        <v>21</v>
      </c>
      <c r="B60" s="4" t="s">
        <v>39</v>
      </c>
      <c r="C60" s="4" t="s">
        <v>40</v>
      </c>
      <c r="D60" s="4" t="s">
        <v>38</v>
      </c>
      <c r="E60" s="4" t="s">
        <v>25</v>
      </c>
      <c r="F60" s="4" t="s">
        <v>51</v>
      </c>
      <c r="G60" s="4" t="s">
        <v>25</v>
      </c>
      <c r="H60" s="4" t="s">
        <v>34</v>
      </c>
      <c r="I60" s="5">
        <v>44593</v>
      </c>
      <c r="J60" s="6">
        <v>0</v>
      </c>
      <c r="K60" s="6">
        <v>0</v>
      </c>
      <c r="L60" s="6">
        <v>0.85099999999999998</v>
      </c>
      <c r="M60" s="6">
        <v>0.42549999999999999</v>
      </c>
      <c r="N60" s="6">
        <v>0</v>
      </c>
      <c r="O60" s="6">
        <v>0</v>
      </c>
      <c r="P60" s="6">
        <v>0</v>
      </c>
      <c r="Q60" s="4" t="s">
        <v>52</v>
      </c>
      <c r="R60" s="4">
        <v>0</v>
      </c>
      <c r="S60" s="4">
        <v>0</v>
      </c>
      <c r="T60" s="4">
        <v>23</v>
      </c>
      <c r="U60" s="4">
        <v>0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2545.94</v>
      </c>
      <c r="X60" s="6">
        <f>IF(ISERROR(VLOOKUP($U$60,'TAR FIN'!$A$1:$O$85,15,0)),0,VLOOKUP($U$60,'TAR FIN'!$A$1:$O$85,15,0))</f>
        <v>0</v>
      </c>
      <c r="Y60" s="6"/>
      <c r="Z60" s="6">
        <f ca="1">('TUSD BE'!$AM$11+'TUSD BF'!$AM$11+'TUSD CVA'!$AM$11)*1</f>
        <v>3597.960494353159</v>
      </c>
      <c r="AA60" s="6"/>
      <c r="AB60" s="6">
        <f t="shared" si="0"/>
        <v>0</v>
      </c>
      <c r="AC60" s="6">
        <f t="shared" si="6"/>
        <v>1083.29747</v>
      </c>
      <c r="AD60" s="6">
        <f t="shared" si="2"/>
        <v>0</v>
      </c>
      <c r="AE60" s="6">
        <f t="shared" ca="1" si="7"/>
        <v>1530.9321903472692</v>
      </c>
      <c r="AF60" s="4" t="s">
        <v>689</v>
      </c>
    </row>
    <row r="61" spans="1:32" ht="11.25" customHeight="1" x14ac:dyDescent="0.3">
      <c r="A61" s="4" t="s">
        <v>27</v>
      </c>
      <c r="B61" s="4" t="s">
        <v>39</v>
      </c>
      <c r="C61" s="4" t="s">
        <v>40</v>
      </c>
      <c r="D61" s="4" t="s">
        <v>38</v>
      </c>
      <c r="E61" s="4" t="s">
        <v>25</v>
      </c>
      <c r="F61" s="4" t="s">
        <v>51</v>
      </c>
      <c r="G61" s="4" t="s">
        <v>25</v>
      </c>
      <c r="H61" s="4" t="s">
        <v>34</v>
      </c>
      <c r="I61" s="5">
        <v>44593</v>
      </c>
      <c r="J61" s="6">
        <v>0</v>
      </c>
      <c r="K61" s="6">
        <v>0</v>
      </c>
      <c r="L61" s="6">
        <v>0.85099999999999998</v>
      </c>
      <c r="M61" s="6">
        <v>0.42549999999999999</v>
      </c>
      <c r="N61" s="6">
        <v>0</v>
      </c>
      <c r="O61" s="6">
        <v>0</v>
      </c>
      <c r="P61" s="6">
        <v>0</v>
      </c>
      <c r="Q61" s="4" t="s">
        <v>52</v>
      </c>
      <c r="R61" s="4">
        <v>0</v>
      </c>
      <c r="S61" s="4">
        <v>0</v>
      </c>
      <c r="T61" s="4">
        <v>23</v>
      </c>
      <c r="U61" s="4">
        <v>0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2545.94</v>
      </c>
      <c r="X61" s="6">
        <f>IF(ISERROR(VLOOKUP($U$61,'TAR FIN'!$A$1:$O$85,15,0)),0,VLOOKUP($U$61,'TAR FIN'!$A$1:$O$85,15,0))</f>
        <v>0</v>
      </c>
      <c r="Y61" s="6"/>
      <c r="Z61" s="6">
        <f ca="1">('TUSD BE'!$AM$11+'TUSD BF'!$AM$11+'TUSD CVA'!$AM$11)*1</f>
        <v>3597.960494353159</v>
      </c>
      <c r="AA61" s="6"/>
      <c r="AB61" s="6">
        <f t="shared" si="0"/>
        <v>0</v>
      </c>
      <c r="AC61" s="6">
        <f t="shared" si="6"/>
        <v>1083.29747</v>
      </c>
      <c r="AD61" s="6">
        <f t="shared" si="2"/>
        <v>0</v>
      </c>
      <c r="AE61" s="6">
        <f t="shared" ca="1" si="7"/>
        <v>1530.9321903472692</v>
      </c>
      <c r="AF61" s="4" t="s">
        <v>689</v>
      </c>
    </row>
    <row r="62" spans="1:32" ht="11.25" customHeight="1" x14ac:dyDescent="0.3">
      <c r="A62" s="4" t="s">
        <v>21</v>
      </c>
      <c r="B62" s="4" t="s">
        <v>39</v>
      </c>
      <c r="C62" s="4" t="s">
        <v>40</v>
      </c>
      <c r="D62" s="4" t="s">
        <v>38</v>
      </c>
      <c r="E62" s="4" t="s">
        <v>25</v>
      </c>
      <c r="F62" s="4" t="s">
        <v>51</v>
      </c>
      <c r="G62" s="4" t="s">
        <v>25</v>
      </c>
      <c r="H62" s="4" t="s">
        <v>34</v>
      </c>
      <c r="I62" s="5">
        <v>44621</v>
      </c>
      <c r="J62" s="6">
        <v>0</v>
      </c>
      <c r="K62" s="6">
        <v>0</v>
      </c>
      <c r="L62" s="6">
        <v>1.2250000000000001</v>
      </c>
      <c r="M62" s="6">
        <v>0.61250000000000004</v>
      </c>
      <c r="N62" s="6">
        <v>0</v>
      </c>
      <c r="O62" s="6">
        <v>0</v>
      </c>
      <c r="P62" s="6">
        <v>0</v>
      </c>
      <c r="Q62" s="4" t="s">
        <v>52</v>
      </c>
      <c r="R62" s="4">
        <v>0</v>
      </c>
      <c r="S62" s="4">
        <v>0</v>
      </c>
      <c r="T62" s="4">
        <v>23</v>
      </c>
      <c r="U62" s="4">
        <v>0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2545.94</v>
      </c>
      <c r="X62" s="6">
        <f>IF(ISERROR(VLOOKUP($U$62,'TAR FIN'!$A$1:$O$85,15,0)),0,VLOOKUP($U$62,'TAR FIN'!$A$1:$O$85,15,0))</f>
        <v>0</v>
      </c>
      <c r="Y62" s="6"/>
      <c r="Z62" s="6">
        <f ca="1">('TUSD BE'!$AM$11+'TUSD BF'!$AM$11+'TUSD CVA'!$AM$11)*1</f>
        <v>3597.960494353159</v>
      </c>
      <c r="AA62" s="6"/>
      <c r="AB62" s="6">
        <f t="shared" si="0"/>
        <v>0</v>
      </c>
      <c r="AC62" s="6">
        <f t="shared" si="6"/>
        <v>1559.3882500000002</v>
      </c>
      <c r="AD62" s="6">
        <f t="shared" si="2"/>
        <v>0</v>
      </c>
      <c r="AE62" s="6">
        <f t="shared" ca="1" si="7"/>
        <v>2203.75080279131</v>
      </c>
      <c r="AF62" s="4" t="s">
        <v>689</v>
      </c>
    </row>
    <row r="63" spans="1:32" ht="11.25" customHeight="1" x14ac:dyDescent="0.3">
      <c r="A63" s="4" t="s">
        <v>27</v>
      </c>
      <c r="B63" s="4" t="s">
        <v>39</v>
      </c>
      <c r="C63" s="4" t="s">
        <v>40</v>
      </c>
      <c r="D63" s="4" t="s">
        <v>38</v>
      </c>
      <c r="E63" s="4" t="s">
        <v>25</v>
      </c>
      <c r="F63" s="4" t="s">
        <v>51</v>
      </c>
      <c r="G63" s="4" t="s">
        <v>25</v>
      </c>
      <c r="H63" s="4" t="s">
        <v>34</v>
      </c>
      <c r="I63" s="5">
        <v>44621</v>
      </c>
      <c r="J63" s="6">
        <v>0</v>
      </c>
      <c r="K63" s="6">
        <v>0</v>
      </c>
      <c r="L63" s="6">
        <v>1.2250000000000001</v>
      </c>
      <c r="M63" s="6">
        <v>0.61250000000000004</v>
      </c>
      <c r="N63" s="6">
        <v>0</v>
      </c>
      <c r="O63" s="6">
        <v>0</v>
      </c>
      <c r="P63" s="6">
        <v>0</v>
      </c>
      <c r="Q63" s="4" t="s">
        <v>52</v>
      </c>
      <c r="R63" s="4">
        <v>0</v>
      </c>
      <c r="S63" s="4">
        <v>0</v>
      </c>
      <c r="T63" s="4">
        <v>23</v>
      </c>
      <c r="U63" s="4">
        <v>0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2545.94</v>
      </c>
      <c r="X63" s="6">
        <f>IF(ISERROR(VLOOKUP($U$63,'TAR FIN'!$A$1:$O$85,15,0)),0,VLOOKUP($U$63,'TAR FIN'!$A$1:$O$85,15,0))</f>
        <v>0</v>
      </c>
      <c r="Y63" s="6"/>
      <c r="Z63" s="6">
        <f ca="1">('TUSD BE'!$AM$11+'TUSD BF'!$AM$11+'TUSD CVA'!$AM$11)*1</f>
        <v>3597.960494353159</v>
      </c>
      <c r="AA63" s="6"/>
      <c r="AB63" s="6">
        <f t="shared" si="0"/>
        <v>0</v>
      </c>
      <c r="AC63" s="6">
        <f t="shared" si="6"/>
        <v>1559.3882500000002</v>
      </c>
      <c r="AD63" s="6">
        <f t="shared" si="2"/>
        <v>0</v>
      </c>
      <c r="AE63" s="6">
        <f t="shared" ca="1" si="7"/>
        <v>2203.75080279131</v>
      </c>
      <c r="AF63" s="4" t="s">
        <v>689</v>
      </c>
    </row>
    <row r="64" spans="1:32" ht="11.25" customHeight="1" x14ac:dyDescent="0.3">
      <c r="A64" s="4" t="s">
        <v>21</v>
      </c>
      <c r="B64" s="4" t="s">
        <v>39</v>
      </c>
      <c r="C64" s="4" t="s">
        <v>40</v>
      </c>
      <c r="D64" s="4" t="s">
        <v>38</v>
      </c>
      <c r="E64" s="4" t="s">
        <v>25</v>
      </c>
      <c r="F64" s="4" t="s">
        <v>51</v>
      </c>
      <c r="G64" s="4" t="s">
        <v>25</v>
      </c>
      <c r="H64" s="4" t="s">
        <v>34</v>
      </c>
      <c r="I64" s="5">
        <v>44652</v>
      </c>
      <c r="J64" s="6">
        <v>0</v>
      </c>
      <c r="K64" s="6">
        <v>0</v>
      </c>
      <c r="L64" s="6">
        <v>1.232</v>
      </c>
      <c r="M64" s="6">
        <v>0.61599999999999999</v>
      </c>
      <c r="N64" s="6">
        <v>0</v>
      </c>
      <c r="O64" s="6">
        <v>0</v>
      </c>
      <c r="P64" s="6">
        <v>0</v>
      </c>
      <c r="Q64" s="4" t="s">
        <v>52</v>
      </c>
      <c r="R64" s="4">
        <v>0</v>
      </c>
      <c r="S64" s="4">
        <v>0</v>
      </c>
      <c r="T64" s="4">
        <v>23</v>
      </c>
      <c r="U64" s="4">
        <v>0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2545.94</v>
      </c>
      <c r="X64" s="6">
        <f>IF(ISERROR(VLOOKUP($U$64,'TAR FIN'!$A$1:$O$85,15,0)),0,VLOOKUP($U$64,'TAR FIN'!$A$1:$O$85,15,0))</f>
        <v>0</v>
      </c>
      <c r="Y64" s="6"/>
      <c r="Z64" s="6">
        <f ca="1">('TUSD BE'!$AM$11+'TUSD BF'!$AM$11+'TUSD CVA'!$AM$11)*1</f>
        <v>3597.960494353159</v>
      </c>
      <c r="AA64" s="6"/>
      <c r="AB64" s="6">
        <f t="shared" si="0"/>
        <v>0</v>
      </c>
      <c r="AC64" s="6">
        <f t="shared" si="6"/>
        <v>1568.2990400000001</v>
      </c>
      <c r="AD64" s="6">
        <f t="shared" si="2"/>
        <v>0</v>
      </c>
      <c r="AE64" s="6">
        <f t="shared" ca="1" si="7"/>
        <v>2216.3436645215461</v>
      </c>
      <c r="AF64" s="4" t="s">
        <v>689</v>
      </c>
    </row>
    <row r="65" spans="1:32" ht="11.25" customHeight="1" x14ac:dyDescent="0.3">
      <c r="A65" s="4" t="s">
        <v>27</v>
      </c>
      <c r="B65" s="4" t="s">
        <v>39</v>
      </c>
      <c r="C65" s="4" t="s">
        <v>40</v>
      </c>
      <c r="D65" s="4" t="s">
        <v>38</v>
      </c>
      <c r="E65" s="4" t="s">
        <v>25</v>
      </c>
      <c r="F65" s="4" t="s">
        <v>51</v>
      </c>
      <c r="G65" s="4" t="s">
        <v>25</v>
      </c>
      <c r="H65" s="4" t="s">
        <v>34</v>
      </c>
      <c r="I65" s="5">
        <v>44652</v>
      </c>
      <c r="J65" s="6">
        <v>0</v>
      </c>
      <c r="K65" s="6">
        <v>0</v>
      </c>
      <c r="L65" s="6">
        <v>1.232</v>
      </c>
      <c r="M65" s="6">
        <v>0.61599999999999999</v>
      </c>
      <c r="N65" s="6">
        <v>0</v>
      </c>
      <c r="O65" s="6">
        <v>0</v>
      </c>
      <c r="P65" s="6">
        <v>0</v>
      </c>
      <c r="Q65" s="4" t="s">
        <v>52</v>
      </c>
      <c r="R65" s="4">
        <v>0</v>
      </c>
      <c r="S65" s="4">
        <v>0</v>
      </c>
      <c r="T65" s="4">
        <v>23</v>
      </c>
      <c r="U65" s="4">
        <v>0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2545.94</v>
      </c>
      <c r="X65" s="6">
        <f>IF(ISERROR(VLOOKUP($U$65,'TAR FIN'!$A$1:$O$85,15,0)),0,VLOOKUP($U$65,'TAR FIN'!$A$1:$O$85,15,0))</f>
        <v>0</v>
      </c>
      <c r="Y65" s="6"/>
      <c r="Z65" s="6">
        <f ca="1">('TUSD BE'!$AM$11+'TUSD BF'!$AM$11+'TUSD CVA'!$AM$11)*1</f>
        <v>3597.960494353159</v>
      </c>
      <c r="AA65" s="6"/>
      <c r="AB65" s="6">
        <f t="shared" si="0"/>
        <v>0</v>
      </c>
      <c r="AC65" s="6">
        <f t="shared" si="6"/>
        <v>1568.2990400000001</v>
      </c>
      <c r="AD65" s="6">
        <f t="shared" si="2"/>
        <v>0</v>
      </c>
      <c r="AE65" s="6">
        <f t="shared" ca="1" si="7"/>
        <v>2216.3436645215461</v>
      </c>
      <c r="AF65" s="4" t="s">
        <v>689</v>
      </c>
    </row>
    <row r="66" spans="1:32" ht="11.25" customHeight="1" x14ac:dyDescent="0.3">
      <c r="A66" s="4" t="s">
        <v>21</v>
      </c>
      <c r="B66" s="4" t="s">
        <v>39</v>
      </c>
      <c r="C66" s="4" t="s">
        <v>40</v>
      </c>
      <c r="D66" s="4" t="s">
        <v>38</v>
      </c>
      <c r="E66" s="4" t="s">
        <v>25</v>
      </c>
      <c r="F66" s="4" t="s">
        <v>51</v>
      </c>
      <c r="G66" s="4" t="s">
        <v>25</v>
      </c>
      <c r="H66" s="4" t="s">
        <v>34</v>
      </c>
      <c r="I66" s="5">
        <v>44682</v>
      </c>
      <c r="J66" s="6">
        <v>0</v>
      </c>
      <c r="K66" s="6">
        <v>0</v>
      </c>
      <c r="L66" s="6">
        <v>1.4910000000000001</v>
      </c>
      <c r="M66" s="6">
        <v>0.74550000000000005</v>
      </c>
      <c r="N66" s="6">
        <v>0</v>
      </c>
      <c r="O66" s="6">
        <v>0</v>
      </c>
      <c r="P66" s="6">
        <v>0</v>
      </c>
      <c r="Q66" s="4" t="s">
        <v>52</v>
      </c>
      <c r="R66" s="4">
        <v>0</v>
      </c>
      <c r="S66" s="4">
        <v>0</v>
      </c>
      <c r="T66" s="4">
        <v>23</v>
      </c>
      <c r="U66" s="4">
        <v>0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2545.94</v>
      </c>
      <c r="X66" s="6">
        <f>IF(ISERROR(VLOOKUP($U$66,'TAR FIN'!$A$1:$O$85,15,0)),0,VLOOKUP($U$66,'TAR FIN'!$A$1:$O$85,15,0))</f>
        <v>0</v>
      </c>
      <c r="Y66" s="6"/>
      <c r="Z66" s="6">
        <f ca="1">('TUSD BE'!$AM$11+'TUSD BF'!$AM$11+'TUSD CVA'!$AM$11)*1</f>
        <v>3597.960494353159</v>
      </c>
      <c r="AA66" s="6"/>
      <c r="AB66" s="6">
        <f t="shared" ref="AB66:AB73" si="8">(J66-K66)*V66</f>
        <v>0</v>
      </c>
      <c r="AC66" s="6">
        <f t="shared" ref="AC66:AC73" si="9">(L66-M66)*W66+(N66-O66)*X66</f>
        <v>1897.9982700000003</v>
      </c>
      <c r="AD66" s="6">
        <f t="shared" ref="AD66:AD73" si="10">(J66-K66)*Y66</f>
        <v>0</v>
      </c>
      <c r="AE66" s="6">
        <f t="shared" ref="AE66:AE73" ca="1" si="11">(L66-M66)*Z66+(N66-O66)*AA66</f>
        <v>2682.2795485402803</v>
      </c>
      <c r="AF66" s="4" t="s">
        <v>689</v>
      </c>
    </row>
    <row r="67" spans="1:32" ht="11.25" customHeight="1" x14ac:dyDescent="0.3">
      <c r="A67" s="4" t="s">
        <v>27</v>
      </c>
      <c r="B67" s="4" t="s">
        <v>39</v>
      </c>
      <c r="C67" s="4" t="s">
        <v>40</v>
      </c>
      <c r="D67" s="4" t="s">
        <v>38</v>
      </c>
      <c r="E67" s="4" t="s">
        <v>25</v>
      </c>
      <c r="F67" s="4" t="s">
        <v>51</v>
      </c>
      <c r="G67" s="4" t="s">
        <v>25</v>
      </c>
      <c r="H67" s="4" t="s">
        <v>34</v>
      </c>
      <c r="I67" s="5">
        <v>44682</v>
      </c>
      <c r="J67" s="6">
        <v>0</v>
      </c>
      <c r="K67" s="6">
        <v>0</v>
      </c>
      <c r="L67" s="6">
        <v>1.4910000000000001</v>
      </c>
      <c r="M67" s="6">
        <v>0.74550000000000005</v>
      </c>
      <c r="N67" s="6">
        <v>0</v>
      </c>
      <c r="O67" s="6">
        <v>0</v>
      </c>
      <c r="P67" s="6">
        <v>0</v>
      </c>
      <c r="Q67" s="4" t="s">
        <v>52</v>
      </c>
      <c r="R67" s="4">
        <v>0</v>
      </c>
      <c r="S67" s="4">
        <v>0</v>
      </c>
      <c r="T67" s="4">
        <v>23</v>
      </c>
      <c r="U67" s="4">
        <v>0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2545.94</v>
      </c>
      <c r="X67" s="6">
        <f>IF(ISERROR(VLOOKUP($U$67,'TAR FIN'!$A$1:$O$85,15,0)),0,VLOOKUP($U$67,'TAR FIN'!$A$1:$O$85,15,0))</f>
        <v>0</v>
      </c>
      <c r="Y67" s="6"/>
      <c r="Z67" s="6">
        <f ca="1">('TUSD BE'!$AM$11+'TUSD BF'!$AM$11+'TUSD CVA'!$AM$11)*1</f>
        <v>3597.960494353159</v>
      </c>
      <c r="AA67" s="6"/>
      <c r="AB67" s="6">
        <f t="shared" si="8"/>
        <v>0</v>
      </c>
      <c r="AC67" s="6">
        <f t="shared" si="9"/>
        <v>1897.9982700000003</v>
      </c>
      <c r="AD67" s="6">
        <f t="shared" si="10"/>
        <v>0</v>
      </c>
      <c r="AE67" s="6">
        <f t="shared" ca="1" si="11"/>
        <v>2682.2795485402803</v>
      </c>
      <c r="AF67" s="4" t="s">
        <v>689</v>
      </c>
    </row>
    <row r="68" spans="1:32" ht="11.25" customHeight="1" x14ac:dyDescent="0.3">
      <c r="A68" s="4" t="s">
        <v>21</v>
      </c>
      <c r="B68" s="4" t="s">
        <v>39</v>
      </c>
      <c r="C68" s="4" t="s">
        <v>40</v>
      </c>
      <c r="D68" s="4" t="s">
        <v>38</v>
      </c>
      <c r="E68" s="4" t="s">
        <v>25</v>
      </c>
      <c r="F68" s="4" t="s">
        <v>51</v>
      </c>
      <c r="G68" s="4" t="s">
        <v>25</v>
      </c>
      <c r="H68" s="4" t="s">
        <v>34</v>
      </c>
      <c r="I68" s="5">
        <v>44713</v>
      </c>
      <c r="J68" s="6">
        <v>0</v>
      </c>
      <c r="K68" s="6">
        <v>0</v>
      </c>
      <c r="L68" s="6">
        <v>1.47</v>
      </c>
      <c r="M68" s="6">
        <v>0.73499999999999999</v>
      </c>
      <c r="N68" s="6">
        <v>0</v>
      </c>
      <c r="O68" s="6">
        <v>0</v>
      </c>
      <c r="P68" s="6">
        <v>0</v>
      </c>
      <c r="Q68" s="4" t="s">
        <v>52</v>
      </c>
      <c r="R68" s="4">
        <v>0</v>
      </c>
      <c r="S68" s="4">
        <v>0</v>
      </c>
      <c r="T68" s="4">
        <v>23</v>
      </c>
      <c r="U68" s="4">
        <v>0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2545.94</v>
      </c>
      <c r="X68" s="6">
        <f>IF(ISERROR(VLOOKUP($U$68,'TAR FIN'!$A$1:$O$85,15,0)),0,VLOOKUP($U$68,'TAR FIN'!$A$1:$O$85,15,0))</f>
        <v>0</v>
      </c>
      <c r="Y68" s="6"/>
      <c r="Z68" s="6">
        <f ca="1">('TUSD BE'!$AM$11+'TUSD BF'!$AM$11+'TUSD CVA'!$AM$11)*1</f>
        <v>3597.960494353159</v>
      </c>
      <c r="AA68" s="6"/>
      <c r="AB68" s="6">
        <f t="shared" si="8"/>
        <v>0</v>
      </c>
      <c r="AC68" s="6">
        <f t="shared" si="9"/>
        <v>1871.2659000000001</v>
      </c>
      <c r="AD68" s="6">
        <f t="shared" si="10"/>
        <v>0</v>
      </c>
      <c r="AE68" s="6">
        <f t="shared" ca="1" si="11"/>
        <v>2644.500963349572</v>
      </c>
      <c r="AF68" s="4" t="s">
        <v>689</v>
      </c>
    </row>
    <row r="69" spans="1:32" ht="11.25" customHeight="1" x14ac:dyDescent="0.3">
      <c r="A69" s="4" t="s">
        <v>27</v>
      </c>
      <c r="B69" s="4" t="s">
        <v>39</v>
      </c>
      <c r="C69" s="4" t="s">
        <v>40</v>
      </c>
      <c r="D69" s="4" t="s">
        <v>38</v>
      </c>
      <c r="E69" s="4" t="s">
        <v>25</v>
      </c>
      <c r="F69" s="4" t="s">
        <v>51</v>
      </c>
      <c r="G69" s="4" t="s">
        <v>25</v>
      </c>
      <c r="H69" s="4" t="s">
        <v>34</v>
      </c>
      <c r="I69" s="5">
        <v>44713</v>
      </c>
      <c r="J69" s="6">
        <v>0</v>
      </c>
      <c r="K69" s="6">
        <v>0</v>
      </c>
      <c r="L69" s="6">
        <v>1.47</v>
      </c>
      <c r="M69" s="6">
        <v>0.73499999999999999</v>
      </c>
      <c r="N69" s="6">
        <v>0</v>
      </c>
      <c r="O69" s="6">
        <v>0</v>
      </c>
      <c r="P69" s="6">
        <v>0</v>
      </c>
      <c r="Q69" s="4" t="s">
        <v>52</v>
      </c>
      <c r="R69" s="4">
        <v>0</v>
      </c>
      <c r="S69" s="4">
        <v>0</v>
      </c>
      <c r="T69" s="4">
        <v>23</v>
      </c>
      <c r="U69" s="4">
        <v>0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2545.94</v>
      </c>
      <c r="X69" s="6">
        <f>IF(ISERROR(VLOOKUP($U$69,'TAR FIN'!$A$1:$O$85,15,0)),0,VLOOKUP($U$69,'TAR FIN'!$A$1:$O$85,15,0))</f>
        <v>0</v>
      </c>
      <c r="Y69" s="6"/>
      <c r="Z69" s="6">
        <f ca="1">('TUSD BE'!$AM$11+'TUSD BF'!$AM$11+'TUSD CVA'!$AM$11)*1</f>
        <v>3597.960494353159</v>
      </c>
      <c r="AA69" s="6"/>
      <c r="AB69" s="6">
        <f t="shared" si="8"/>
        <v>0</v>
      </c>
      <c r="AC69" s="6">
        <f t="shared" si="9"/>
        <v>1871.2659000000001</v>
      </c>
      <c r="AD69" s="6">
        <f t="shared" si="10"/>
        <v>0</v>
      </c>
      <c r="AE69" s="6">
        <f t="shared" ca="1" si="11"/>
        <v>2644.500963349572</v>
      </c>
      <c r="AF69" s="4" t="s">
        <v>689</v>
      </c>
    </row>
    <row r="70" spans="1:32" ht="11.25" customHeight="1" x14ac:dyDescent="0.3">
      <c r="A70" s="4" t="s">
        <v>21</v>
      </c>
      <c r="B70" s="4" t="s">
        <v>39</v>
      </c>
      <c r="C70" s="4" t="s">
        <v>40</v>
      </c>
      <c r="D70" s="4" t="s">
        <v>38</v>
      </c>
      <c r="E70" s="4" t="s">
        <v>25</v>
      </c>
      <c r="F70" s="4" t="s">
        <v>51</v>
      </c>
      <c r="G70" s="4" t="s">
        <v>25</v>
      </c>
      <c r="H70" s="4" t="s">
        <v>34</v>
      </c>
      <c r="I70" s="5">
        <v>44743</v>
      </c>
      <c r="J70" s="6">
        <v>0</v>
      </c>
      <c r="K70" s="6">
        <v>0</v>
      </c>
      <c r="L70" s="6">
        <v>1.5820000000000001</v>
      </c>
      <c r="M70" s="6">
        <v>0.79100000000000004</v>
      </c>
      <c r="N70" s="6">
        <v>0</v>
      </c>
      <c r="O70" s="6">
        <v>0</v>
      </c>
      <c r="P70" s="6">
        <v>0</v>
      </c>
      <c r="Q70" s="4" t="s">
        <v>52</v>
      </c>
      <c r="R70" s="4">
        <v>0</v>
      </c>
      <c r="S70" s="4">
        <v>0</v>
      </c>
      <c r="T70" s="4">
        <v>23</v>
      </c>
      <c r="U70" s="4">
        <v>0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2545.94</v>
      </c>
      <c r="X70" s="6">
        <f>IF(ISERROR(VLOOKUP($U$70,'TAR FIN'!$A$1:$O$85,15,0)),0,VLOOKUP($U$70,'TAR FIN'!$A$1:$O$85,15,0))</f>
        <v>0</v>
      </c>
      <c r="Y70" s="6"/>
      <c r="Z70" s="6">
        <f ca="1">('TUSD BE'!$AM$11+'TUSD BF'!$AM$11+'TUSD CVA'!$AM$11)*1</f>
        <v>3597.960494353159</v>
      </c>
      <c r="AA70" s="6"/>
      <c r="AB70" s="6">
        <f t="shared" si="8"/>
        <v>0</v>
      </c>
      <c r="AC70" s="6">
        <f t="shared" si="9"/>
        <v>2013.8385400000002</v>
      </c>
      <c r="AD70" s="6">
        <f t="shared" si="10"/>
        <v>0</v>
      </c>
      <c r="AE70" s="6">
        <f t="shared" ca="1" si="11"/>
        <v>2845.9867510333488</v>
      </c>
      <c r="AF70" s="4" t="s">
        <v>689</v>
      </c>
    </row>
    <row r="71" spans="1:32" ht="11.25" customHeight="1" x14ac:dyDescent="0.3">
      <c r="A71" s="4" t="s">
        <v>27</v>
      </c>
      <c r="B71" s="4" t="s">
        <v>39</v>
      </c>
      <c r="C71" s="4" t="s">
        <v>40</v>
      </c>
      <c r="D71" s="4" t="s">
        <v>38</v>
      </c>
      <c r="E71" s="4" t="s">
        <v>25</v>
      </c>
      <c r="F71" s="4" t="s">
        <v>51</v>
      </c>
      <c r="G71" s="4" t="s">
        <v>25</v>
      </c>
      <c r="H71" s="4" t="s">
        <v>34</v>
      </c>
      <c r="I71" s="5">
        <v>44743</v>
      </c>
      <c r="J71" s="6">
        <v>0</v>
      </c>
      <c r="K71" s="6">
        <v>0</v>
      </c>
      <c r="L71" s="6">
        <v>1.5820000000000001</v>
      </c>
      <c r="M71" s="6">
        <v>0.79100000000000004</v>
      </c>
      <c r="N71" s="6">
        <v>0</v>
      </c>
      <c r="O71" s="6">
        <v>0</v>
      </c>
      <c r="P71" s="6">
        <v>0</v>
      </c>
      <c r="Q71" s="4" t="s">
        <v>52</v>
      </c>
      <c r="R71" s="4">
        <v>0</v>
      </c>
      <c r="S71" s="4">
        <v>0</v>
      </c>
      <c r="T71" s="4">
        <v>23</v>
      </c>
      <c r="U71" s="4">
        <v>0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2545.94</v>
      </c>
      <c r="X71" s="6">
        <f>IF(ISERROR(VLOOKUP($U$71,'TAR FIN'!$A$1:$O$85,15,0)),0,VLOOKUP($U$71,'TAR FIN'!$A$1:$O$85,15,0))</f>
        <v>0</v>
      </c>
      <c r="Y71" s="6"/>
      <c r="Z71" s="6">
        <f ca="1">('TUSD BE'!$AM$11+'TUSD BF'!$AM$11+'TUSD CVA'!$AM$11)*1</f>
        <v>3597.960494353159</v>
      </c>
      <c r="AA71" s="6"/>
      <c r="AB71" s="6">
        <f t="shared" si="8"/>
        <v>0</v>
      </c>
      <c r="AC71" s="6">
        <f t="shared" si="9"/>
        <v>2013.8385400000002</v>
      </c>
      <c r="AD71" s="6">
        <f t="shared" si="10"/>
        <v>0</v>
      </c>
      <c r="AE71" s="6">
        <f t="shared" ca="1" si="11"/>
        <v>2845.9867510333488</v>
      </c>
      <c r="AF71" s="4" t="s">
        <v>689</v>
      </c>
    </row>
    <row r="72" spans="1:32" ht="11.25" customHeight="1" x14ac:dyDescent="0.3">
      <c r="A72" s="4" t="s">
        <v>21</v>
      </c>
      <c r="B72" s="4" t="s">
        <v>39</v>
      </c>
      <c r="C72" s="4" t="s">
        <v>40</v>
      </c>
      <c r="D72" s="4" t="s">
        <v>38</v>
      </c>
      <c r="E72" s="4" t="s">
        <v>25</v>
      </c>
      <c r="F72" s="4" t="s">
        <v>51</v>
      </c>
      <c r="G72" s="4" t="s">
        <v>25</v>
      </c>
      <c r="H72" s="4" t="s">
        <v>34</v>
      </c>
      <c r="I72" s="5">
        <v>44774</v>
      </c>
      <c r="J72" s="6">
        <v>0</v>
      </c>
      <c r="K72" s="6">
        <v>0</v>
      </c>
      <c r="L72" s="6">
        <v>1.419</v>
      </c>
      <c r="M72" s="6">
        <v>0.73064309999999999</v>
      </c>
      <c r="N72" s="6">
        <v>0</v>
      </c>
      <c r="O72" s="6">
        <v>0</v>
      </c>
      <c r="P72" s="6">
        <v>0</v>
      </c>
      <c r="Q72" s="4" t="s">
        <v>52</v>
      </c>
      <c r="R72" s="4">
        <v>0</v>
      </c>
      <c r="S72" s="4">
        <v>0</v>
      </c>
      <c r="T72" s="4">
        <v>23</v>
      </c>
      <c r="U72" s="4">
        <v>0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2545.94</v>
      </c>
      <c r="X72" s="6">
        <f>IF(ISERROR(VLOOKUP($U$72,'TAR FIN'!$A$1:$O$85,15,0)),0,VLOOKUP($U$72,'TAR FIN'!$A$1:$O$85,15,0))</f>
        <v>0</v>
      </c>
      <c r="Y72" s="6"/>
      <c r="Z72" s="6">
        <f ca="1">('TUSD BE'!$AM$11+'TUSD BF'!$AM$11+'TUSD CVA'!$AM$11)*1</f>
        <v>3597.960494353159</v>
      </c>
      <c r="AA72" s="6"/>
      <c r="AB72" s="6">
        <f t="shared" si="8"/>
        <v>0</v>
      </c>
      <c r="AC72" s="6">
        <f t="shared" si="9"/>
        <v>1752.5153659860002</v>
      </c>
      <c r="AD72" s="6">
        <f t="shared" si="10"/>
        <v>0</v>
      </c>
      <c r="AE72" s="6">
        <f t="shared" ca="1" si="11"/>
        <v>2476.6809322154081</v>
      </c>
      <c r="AF72" s="4" t="s">
        <v>689</v>
      </c>
    </row>
    <row r="73" spans="1:32" ht="11.25" customHeight="1" x14ac:dyDescent="0.3">
      <c r="A73" s="4" t="s">
        <v>27</v>
      </c>
      <c r="B73" s="4" t="s">
        <v>39</v>
      </c>
      <c r="C73" s="4" t="s">
        <v>40</v>
      </c>
      <c r="D73" s="4" t="s">
        <v>38</v>
      </c>
      <c r="E73" s="4" t="s">
        <v>25</v>
      </c>
      <c r="F73" s="4" t="s">
        <v>51</v>
      </c>
      <c r="G73" s="4" t="s">
        <v>25</v>
      </c>
      <c r="H73" s="4" t="s">
        <v>34</v>
      </c>
      <c r="I73" s="5">
        <v>44774</v>
      </c>
      <c r="J73" s="6">
        <v>0</v>
      </c>
      <c r="K73" s="6">
        <v>0</v>
      </c>
      <c r="L73" s="6">
        <v>1.419</v>
      </c>
      <c r="M73" s="6">
        <v>0.73064309999999999</v>
      </c>
      <c r="N73" s="6">
        <v>0</v>
      </c>
      <c r="O73" s="6">
        <v>0</v>
      </c>
      <c r="P73" s="6">
        <v>0</v>
      </c>
      <c r="Q73" s="4" t="s">
        <v>52</v>
      </c>
      <c r="R73" s="4">
        <v>0</v>
      </c>
      <c r="S73" s="4">
        <v>0</v>
      </c>
      <c r="T73" s="4">
        <v>23</v>
      </c>
      <c r="U73" s="4">
        <v>0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2545.94</v>
      </c>
      <c r="X73" s="6">
        <f>IF(ISERROR(VLOOKUP($U$73,'TAR FIN'!$A$1:$O$85,15,0)),0,VLOOKUP($U$73,'TAR FIN'!$A$1:$O$85,15,0))</f>
        <v>0</v>
      </c>
      <c r="Y73" s="6"/>
      <c r="Z73" s="6">
        <f ca="1">('TUSD BE'!$AM$11+'TUSD BF'!$AM$11+'TUSD CVA'!$AM$11)*1</f>
        <v>3597.960494353159</v>
      </c>
      <c r="AA73" s="6"/>
      <c r="AB73" s="6">
        <f t="shared" si="8"/>
        <v>0</v>
      </c>
      <c r="AC73" s="6">
        <f t="shared" si="9"/>
        <v>1752.5153659860002</v>
      </c>
      <c r="AD73" s="6">
        <f t="shared" si="10"/>
        <v>0</v>
      </c>
      <c r="AE73" s="6">
        <f t="shared" ca="1" si="11"/>
        <v>2476.6809322154081</v>
      </c>
      <c r="AF73" s="4" t="s">
        <v>689</v>
      </c>
    </row>
    <row r="74" spans="1:32" ht="11.25" customHeight="1" x14ac:dyDescent="0.3">
      <c r="A74" s="4" t="s">
        <v>21</v>
      </c>
      <c r="B74" s="4" t="s">
        <v>39</v>
      </c>
      <c r="C74" s="4" t="s">
        <v>40</v>
      </c>
      <c r="D74" s="4" t="s">
        <v>43</v>
      </c>
      <c r="E74" s="4" t="s">
        <v>25</v>
      </c>
      <c r="F74" s="4" t="s">
        <v>25</v>
      </c>
      <c r="G74" s="4" t="s">
        <v>25</v>
      </c>
      <c r="H74" s="4" t="s">
        <v>35</v>
      </c>
      <c r="I74" s="5">
        <v>44440</v>
      </c>
      <c r="J74" s="6">
        <v>0</v>
      </c>
      <c r="K74" s="52">
        <v>0</v>
      </c>
      <c r="L74" s="6">
        <v>1.2929999999999999</v>
      </c>
      <c r="M74" s="52">
        <v>1.2929999999999999</v>
      </c>
      <c r="N74" s="6">
        <v>1.2929999999999999</v>
      </c>
      <c r="O74" s="52">
        <v>1.2929999999999999</v>
      </c>
      <c r="P74" s="6">
        <v>0</v>
      </c>
      <c r="Q74" s="4" t="s">
        <v>26</v>
      </c>
      <c r="R74" s="4">
        <v>0</v>
      </c>
      <c r="S74" s="4">
        <v>0</v>
      </c>
      <c r="T74" s="4">
        <v>6</v>
      </c>
      <c r="U74" s="4">
        <v>50</v>
      </c>
      <c r="V74" s="52">
        <f>IF(ISERROR(VLOOKUP($S$74,'TAR FIN'!$A$1:$O$85,15,0)),0,VLOOKUP($S$74,'TAR FIN'!$A$1:$O$85,15,0))</f>
        <v>0</v>
      </c>
      <c r="W74" s="52">
        <f>IF(ISERROR(VLOOKUP($T$74,'TAR FIN'!$A$1:$O$85,15,0)),0,VLOOKUP($T$74,'TAR FIN'!$A$1:$O$85,15,0))*(1-0.04)</f>
        <v>64.790399999999991</v>
      </c>
      <c r="X74" s="52">
        <f>IF(ISERROR(VLOOKUP($U$74,'TAR FIN'!$A$1:$O$85,15,0)),0,VLOOKUP($U$74,'TAR FIN'!$A$1:$O$85,15,0))*(1-0.04)</f>
        <v>214.1472</v>
      </c>
      <c r="Y74" s="52"/>
      <c r="Z74" s="52">
        <f ca="1">('TUSD BE'!$AM$12+'TUSD BF'!$AM$12+'TUSD CVA'!$AM$12)*1*(1-0.02)</f>
        <v>89.59297517927584</v>
      </c>
      <c r="AA74" s="52">
        <f>('TE BE'!$AB$6+'TE BF'!$AB$6+'TE CVA'!$AB$6)*1*(1-0.02)</f>
        <v>76.399196898794187</v>
      </c>
      <c r="AB74" s="52">
        <f>(SUBSIDIO!$J$74*SUBSIDIO!$V$74)*(0.04)/(1-0.04)</f>
        <v>0</v>
      </c>
      <c r="AC74" s="52">
        <f>((SUBSIDIO!$L$74*SUBSIDIO!$W$74)+(SUBSIDIO!$N$74*SUBSIDIO!$X$74))*(0.04)/(1-0.04)</f>
        <v>15.027763199999999</v>
      </c>
      <c r="AD74" s="52">
        <f>(SUBSIDIO!$J$74*SUBSIDIO!$Y$74)*(0.02)/(1-0.02)</f>
        <v>0</v>
      </c>
      <c r="AE74" s="52">
        <f ca="1">((SUBSIDIO!$L$74*SUBSIDIO!$Z$74)+(SUBSIDIO!$N$74*SUBSIDIO!$AA$74))*(0.02)/(1-0.02)</f>
        <v>4.3801607856519302</v>
      </c>
      <c r="AF74" s="4" t="s">
        <v>690</v>
      </c>
    </row>
    <row r="75" spans="1:32" ht="11.25" customHeight="1" x14ac:dyDescent="0.3">
      <c r="A75" s="4" t="s">
        <v>21</v>
      </c>
      <c r="B75" s="4" t="s">
        <v>39</v>
      </c>
      <c r="C75" s="4" t="s">
        <v>40</v>
      </c>
      <c r="D75" s="4" t="s">
        <v>43</v>
      </c>
      <c r="E75" s="4" t="s">
        <v>25</v>
      </c>
      <c r="F75" s="4" t="s">
        <v>25</v>
      </c>
      <c r="G75" s="4" t="s">
        <v>25</v>
      </c>
      <c r="H75" s="4" t="s">
        <v>35</v>
      </c>
      <c r="I75" s="5">
        <v>44470</v>
      </c>
      <c r="J75" s="6">
        <v>0</v>
      </c>
      <c r="K75" s="52">
        <v>0</v>
      </c>
      <c r="L75" s="6">
        <v>1.663</v>
      </c>
      <c r="M75" s="52">
        <v>1.663</v>
      </c>
      <c r="N75" s="6">
        <v>1.663</v>
      </c>
      <c r="O75" s="52">
        <v>1.663</v>
      </c>
      <c r="P75" s="6">
        <v>0</v>
      </c>
      <c r="Q75" s="4" t="s">
        <v>26</v>
      </c>
      <c r="R75" s="4">
        <v>0</v>
      </c>
      <c r="S75" s="4">
        <v>0</v>
      </c>
      <c r="T75" s="4">
        <v>6</v>
      </c>
      <c r="U75" s="4">
        <v>50</v>
      </c>
      <c r="V75" s="52">
        <f>IF(ISERROR(VLOOKUP($S$75,'TAR FIN'!$A$1:$O$85,15,0)),0,VLOOKUP($S$75,'TAR FIN'!$A$1:$O$85,15,0))</f>
        <v>0</v>
      </c>
      <c r="W75" s="52">
        <f>IF(ISERROR(VLOOKUP($T$75,'TAR FIN'!$A$1:$O$85,15,0)),0,VLOOKUP($T$75,'TAR FIN'!$A$1:$O$85,15,0))*(1-0.04)</f>
        <v>64.790399999999991</v>
      </c>
      <c r="X75" s="52">
        <f>IF(ISERROR(VLOOKUP($U$75,'TAR FIN'!$A$1:$O$85,15,0)),0,VLOOKUP($U$75,'TAR FIN'!$A$1:$O$85,15,0))*(1-0.04)</f>
        <v>214.1472</v>
      </c>
      <c r="Y75" s="52"/>
      <c r="Z75" s="52">
        <f ca="1">('TUSD BE'!$AM$12+'TUSD BF'!$AM$12+'TUSD CVA'!$AM$12)*1*(1-0.02)</f>
        <v>89.59297517927584</v>
      </c>
      <c r="AA75" s="52">
        <f>('TE BE'!$AB$6+'TE BF'!$AB$6+'TE CVA'!$AB$6)*1*(1-0.02)</f>
        <v>76.399196898794187</v>
      </c>
      <c r="AB75" s="52">
        <f>(SUBSIDIO!$J$75*SUBSIDIO!$V$75)*(0.04)/(1-0.04)</f>
        <v>0</v>
      </c>
      <c r="AC75" s="52">
        <f>((SUBSIDIO!$L$75*SUBSIDIO!$W$75)+(SUBSIDIO!$N$75*SUBSIDIO!$X$75))*(0.04)/(1-0.04)</f>
        <v>19.328051200000001</v>
      </c>
      <c r="AD75" s="52">
        <f>(SUBSIDIO!$J$75*SUBSIDIO!$Y$75)*(0.02)/(1-0.02)</f>
        <v>0</v>
      </c>
      <c r="AE75" s="52">
        <f ca="1">((SUBSIDIO!$L$75*SUBSIDIO!$Z$75)+(SUBSIDIO!$N$75*SUBSIDIO!$AA$75))*(0.02)/(1-0.02)</f>
        <v>5.6335710646087849</v>
      </c>
      <c r="AF75" s="4" t="s">
        <v>690</v>
      </c>
    </row>
    <row r="76" spans="1:32" ht="11.25" customHeight="1" x14ac:dyDescent="0.3">
      <c r="A76" s="4" t="s">
        <v>21</v>
      </c>
      <c r="B76" s="4" t="s">
        <v>39</v>
      </c>
      <c r="C76" s="4" t="s">
        <v>40</v>
      </c>
      <c r="D76" s="4" t="s">
        <v>43</v>
      </c>
      <c r="E76" s="4" t="s">
        <v>25</v>
      </c>
      <c r="F76" s="4" t="s">
        <v>25</v>
      </c>
      <c r="G76" s="4" t="s">
        <v>25</v>
      </c>
      <c r="H76" s="4" t="s">
        <v>35</v>
      </c>
      <c r="I76" s="5">
        <v>44501</v>
      </c>
      <c r="J76" s="6">
        <v>0</v>
      </c>
      <c r="K76" s="52">
        <v>0</v>
      </c>
      <c r="L76" s="6">
        <v>2.8610000000000002</v>
      </c>
      <c r="M76" s="52">
        <v>2.8610000000000002</v>
      </c>
      <c r="N76" s="6">
        <v>2.8610000000000002</v>
      </c>
      <c r="O76" s="52">
        <v>2.8610000000000002</v>
      </c>
      <c r="P76" s="6">
        <v>0</v>
      </c>
      <c r="Q76" s="4" t="s">
        <v>26</v>
      </c>
      <c r="R76" s="4">
        <v>0</v>
      </c>
      <c r="S76" s="4">
        <v>0</v>
      </c>
      <c r="T76" s="4">
        <v>6</v>
      </c>
      <c r="U76" s="4">
        <v>50</v>
      </c>
      <c r="V76" s="52">
        <f>IF(ISERROR(VLOOKUP($S$76,'TAR FIN'!$A$1:$O$85,15,0)),0,VLOOKUP($S$76,'TAR FIN'!$A$1:$O$85,15,0))</f>
        <v>0</v>
      </c>
      <c r="W76" s="52">
        <f>IF(ISERROR(VLOOKUP($T$76,'TAR FIN'!$A$1:$O$85,15,0)),0,VLOOKUP($T$76,'TAR FIN'!$A$1:$O$85,15,0))*(1-0.04)</f>
        <v>64.790399999999991</v>
      </c>
      <c r="X76" s="52">
        <f>IF(ISERROR(VLOOKUP($U$76,'TAR FIN'!$A$1:$O$85,15,0)),0,VLOOKUP($U$76,'TAR FIN'!$A$1:$O$85,15,0))*(1-0.04)</f>
        <v>214.1472</v>
      </c>
      <c r="Y76" s="52"/>
      <c r="Z76" s="52">
        <f ca="1">('TUSD BE'!$AM$12+'TUSD BF'!$AM$12+'TUSD CVA'!$AM$12)*1*(1-0.02)</f>
        <v>89.59297517927584</v>
      </c>
      <c r="AA76" s="52">
        <f>('TE BE'!$AB$6+'TE BF'!$AB$6+'TE CVA'!$AB$6)*1*(1-0.02)</f>
        <v>76.399196898794187</v>
      </c>
      <c r="AB76" s="52">
        <f>(SUBSIDIO!$J$76*SUBSIDIO!$V$76)*(0.04)/(1-0.04)</f>
        <v>0</v>
      </c>
      <c r="AC76" s="52">
        <f>((SUBSIDIO!$L$76*SUBSIDIO!$W$76)+(SUBSIDIO!$N$76*SUBSIDIO!$X$76))*(0.04)/(1-0.04)</f>
        <v>33.251686400000004</v>
      </c>
      <c r="AD76" s="52">
        <f>(SUBSIDIO!$J$76*SUBSIDIO!$Y$76)*(0.02)/(1-0.02)</f>
        <v>0</v>
      </c>
      <c r="AE76" s="52">
        <f ca="1">((SUBSIDIO!$L$76*SUBSIDIO!$Z$76)+(SUBSIDIO!$N$76*SUBSIDIO!$AA$76))*(0.02)/(1-0.02)</f>
        <v>9.6919102921501725</v>
      </c>
      <c r="AF76" s="4" t="s">
        <v>690</v>
      </c>
    </row>
    <row r="77" spans="1:32" ht="11.25" customHeight="1" x14ac:dyDescent="0.3">
      <c r="A77" s="4" t="s">
        <v>21</v>
      </c>
      <c r="B77" s="4" t="s">
        <v>39</v>
      </c>
      <c r="C77" s="4" t="s">
        <v>40</v>
      </c>
      <c r="D77" s="4" t="s">
        <v>43</v>
      </c>
      <c r="E77" s="4" t="s">
        <v>25</v>
      </c>
      <c r="F77" s="4" t="s">
        <v>25</v>
      </c>
      <c r="G77" s="4" t="s">
        <v>25</v>
      </c>
      <c r="H77" s="4" t="s">
        <v>35</v>
      </c>
      <c r="I77" s="5">
        <v>44531</v>
      </c>
      <c r="J77" s="6">
        <v>0</v>
      </c>
      <c r="K77" s="52">
        <v>0</v>
      </c>
      <c r="L77" s="6">
        <v>1.603</v>
      </c>
      <c r="M77" s="52">
        <v>1.603</v>
      </c>
      <c r="N77" s="6">
        <v>1.603</v>
      </c>
      <c r="O77" s="52">
        <v>1.603</v>
      </c>
      <c r="P77" s="6">
        <v>0</v>
      </c>
      <c r="Q77" s="4" t="s">
        <v>26</v>
      </c>
      <c r="R77" s="4">
        <v>0</v>
      </c>
      <c r="S77" s="4">
        <v>0</v>
      </c>
      <c r="T77" s="4">
        <v>6</v>
      </c>
      <c r="U77" s="4">
        <v>50</v>
      </c>
      <c r="V77" s="52">
        <f>IF(ISERROR(VLOOKUP($S$77,'TAR FIN'!$A$1:$O$85,15,0)),0,VLOOKUP($S$77,'TAR FIN'!$A$1:$O$85,15,0))</f>
        <v>0</v>
      </c>
      <c r="W77" s="52">
        <f>IF(ISERROR(VLOOKUP($T$77,'TAR FIN'!$A$1:$O$85,15,0)),0,VLOOKUP($T$77,'TAR FIN'!$A$1:$O$85,15,0))*(1-0.04)</f>
        <v>64.790399999999991</v>
      </c>
      <c r="X77" s="52">
        <f>IF(ISERROR(VLOOKUP($U$77,'TAR FIN'!$A$1:$O$85,15,0)),0,VLOOKUP($U$77,'TAR FIN'!$A$1:$O$85,15,0))*(1-0.04)</f>
        <v>214.1472</v>
      </c>
      <c r="Y77" s="52"/>
      <c r="Z77" s="52">
        <f ca="1">('TUSD BE'!$AM$12+'TUSD BF'!$AM$12+'TUSD CVA'!$AM$12)*1*(1-0.02)</f>
        <v>89.59297517927584</v>
      </c>
      <c r="AA77" s="52">
        <f>('TE BE'!$AB$6+'TE BF'!$AB$6+'TE CVA'!$AB$6)*1*(1-0.02)</f>
        <v>76.399196898794187</v>
      </c>
      <c r="AB77" s="52">
        <f>(SUBSIDIO!$J$77*SUBSIDIO!$V$77)*(0.04)/(1-0.04)</f>
        <v>0</v>
      </c>
      <c r="AC77" s="52">
        <f>((SUBSIDIO!$L$77*SUBSIDIO!$W$77)+(SUBSIDIO!$N$77*SUBSIDIO!$X$77))*(0.04)/(1-0.04)</f>
        <v>18.6307072</v>
      </c>
      <c r="AD77" s="52">
        <f>(SUBSIDIO!$J$77*SUBSIDIO!$Y$77)*(0.02)/(1-0.02)</f>
        <v>0</v>
      </c>
      <c r="AE77" s="52">
        <f ca="1">((SUBSIDIO!$L$77*SUBSIDIO!$Z$77)+(SUBSIDIO!$N$77*SUBSIDIO!$AA$77))*(0.02)/(1-0.02)</f>
        <v>5.4303153436968623</v>
      </c>
      <c r="AF77" s="4" t="s">
        <v>690</v>
      </c>
    </row>
    <row r="78" spans="1:32" ht="11.25" customHeight="1" x14ac:dyDescent="0.3">
      <c r="A78" s="4" t="s">
        <v>21</v>
      </c>
      <c r="B78" s="4" t="s">
        <v>39</v>
      </c>
      <c r="C78" s="4" t="s">
        <v>40</v>
      </c>
      <c r="D78" s="4" t="s">
        <v>43</v>
      </c>
      <c r="E78" s="4" t="s">
        <v>25</v>
      </c>
      <c r="F78" s="4" t="s">
        <v>25</v>
      </c>
      <c r="G78" s="4" t="s">
        <v>25</v>
      </c>
      <c r="H78" s="4" t="s">
        <v>35</v>
      </c>
      <c r="I78" s="5">
        <v>44562</v>
      </c>
      <c r="J78" s="6">
        <v>0</v>
      </c>
      <c r="K78" s="52">
        <v>0</v>
      </c>
      <c r="L78" s="6">
        <v>3.4369999999999998</v>
      </c>
      <c r="M78" s="52">
        <v>3.4369999999999998</v>
      </c>
      <c r="N78" s="6">
        <v>3.4369999999999998</v>
      </c>
      <c r="O78" s="52">
        <v>3.4369999999999998</v>
      </c>
      <c r="P78" s="6">
        <v>0</v>
      </c>
      <c r="Q78" s="4" t="s">
        <v>26</v>
      </c>
      <c r="R78" s="4">
        <v>0</v>
      </c>
      <c r="S78" s="4">
        <v>0</v>
      </c>
      <c r="T78" s="4">
        <v>6</v>
      </c>
      <c r="U78" s="4">
        <v>50</v>
      </c>
      <c r="V78" s="52">
        <f>IF(ISERROR(VLOOKUP($S$78,'TAR FIN'!$A$1:$O$85,15,0)),0,VLOOKUP($S$78,'TAR FIN'!$A$1:$O$85,15,0))</f>
        <v>0</v>
      </c>
      <c r="W78" s="52">
        <f>IF(ISERROR(VLOOKUP($T$78,'TAR FIN'!$A$1:$O$85,15,0)),0,VLOOKUP($T$78,'TAR FIN'!$A$1:$O$85,15,0))*(1-0.04)</f>
        <v>64.790399999999991</v>
      </c>
      <c r="X78" s="52">
        <f>IF(ISERROR(VLOOKUP($U$78,'TAR FIN'!$A$1:$O$85,15,0)),0,VLOOKUP($U$78,'TAR FIN'!$A$1:$O$85,15,0))*(1-0.04)</f>
        <v>214.1472</v>
      </c>
      <c r="Y78" s="52"/>
      <c r="Z78" s="52">
        <f ca="1">('TUSD BE'!$AM$12+'TUSD BF'!$AM$12+'TUSD CVA'!$AM$12)*1*(1-0.02)</f>
        <v>89.59297517927584</v>
      </c>
      <c r="AA78" s="52">
        <f>('TE BE'!$AB$6+'TE BF'!$AB$6+'TE CVA'!$AB$6)*1*(1-0.02)</f>
        <v>76.399196898794187</v>
      </c>
      <c r="AB78" s="52">
        <f>(SUBSIDIO!$J$78*SUBSIDIO!$V$78)*(0.04)/(1-0.04)</f>
        <v>0</v>
      </c>
      <c r="AC78" s="52">
        <f>((SUBSIDIO!$L$78*SUBSIDIO!$W$78)+(SUBSIDIO!$N$78*SUBSIDIO!$X$78))*(0.04)/(1-0.04)</f>
        <v>39.946188800000002</v>
      </c>
      <c r="AD78" s="52">
        <f>(SUBSIDIO!$J$78*SUBSIDIO!$Y$78)*(0.02)/(1-0.02)</f>
        <v>0</v>
      </c>
      <c r="AE78" s="52">
        <f ca="1">((SUBSIDIO!$L$78*SUBSIDIO!$Z$78)+(SUBSIDIO!$N$78*SUBSIDIO!$AA$78))*(0.02)/(1-0.02)</f>
        <v>11.643165212904627</v>
      </c>
      <c r="AF78" s="4" t="s">
        <v>690</v>
      </c>
    </row>
    <row r="79" spans="1:32" ht="11.25" customHeight="1" x14ac:dyDescent="0.3">
      <c r="A79" s="4" t="s">
        <v>21</v>
      </c>
      <c r="B79" s="4" t="s">
        <v>39</v>
      </c>
      <c r="C79" s="4" t="s">
        <v>40</v>
      </c>
      <c r="D79" s="4" t="s">
        <v>43</v>
      </c>
      <c r="E79" s="4" t="s">
        <v>25</v>
      </c>
      <c r="F79" s="4" t="s">
        <v>25</v>
      </c>
      <c r="G79" s="4" t="s">
        <v>25</v>
      </c>
      <c r="H79" s="4" t="s">
        <v>35</v>
      </c>
      <c r="I79" s="5">
        <v>44593</v>
      </c>
      <c r="J79" s="6">
        <v>0</v>
      </c>
      <c r="K79" s="52">
        <v>0</v>
      </c>
      <c r="L79" s="6">
        <v>29.199000000000002</v>
      </c>
      <c r="M79" s="52">
        <v>29.199000000000002</v>
      </c>
      <c r="N79" s="6">
        <v>29.199000000000002</v>
      </c>
      <c r="O79" s="52">
        <v>29.199000000000002</v>
      </c>
      <c r="P79" s="6">
        <v>0</v>
      </c>
      <c r="Q79" s="4" t="s">
        <v>26</v>
      </c>
      <c r="R79" s="4">
        <v>0</v>
      </c>
      <c r="S79" s="4">
        <v>0</v>
      </c>
      <c r="T79" s="4">
        <v>6</v>
      </c>
      <c r="U79" s="4">
        <v>50</v>
      </c>
      <c r="V79" s="52">
        <f>IF(ISERROR(VLOOKUP($S$79,'TAR FIN'!$A$1:$O$85,15,0)),0,VLOOKUP($S$79,'TAR FIN'!$A$1:$O$85,15,0))</f>
        <v>0</v>
      </c>
      <c r="W79" s="52">
        <f>IF(ISERROR(VLOOKUP($T$79,'TAR FIN'!$A$1:$O$85,15,0)),0,VLOOKUP($T$79,'TAR FIN'!$A$1:$O$85,15,0))*(1-0.04)</f>
        <v>64.790399999999991</v>
      </c>
      <c r="X79" s="52">
        <f>IF(ISERROR(VLOOKUP($U$79,'TAR FIN'!$A$1:$O$85,15,0)),0,VLOOKUP($U$79,'TAR FIN'!$A$1:$O$85,15,0))*(1-0.04)</f>
        <v>214.1472</v>
      </c>
      <c r="Y79" s="52"/>
      <c r="Z79" s="52">
        <f ca="1">('TUSD BE'!$AM$12+'TUSD BF'!$AM$12+'TUSD CVA'!$AM$12)*1*(1-0.02)</f>
        <v>89.59297517927584</v>
      </c>
      <c r="AA79" s="52">
        <f>('TE BE'!$AB$6+'TE BF'!$AB$6+'TE CVA'!$AB$6)*1*(1-0.02)</f>
        <v>76.399196898794187</v>
      </c>
      <c r="AB79" s="52">
        <f>(SUBSIDIO!$J$79*SUBSIDIO!$V$79)*(0.04)/(1-0.04)</f>
        <v>0</v>
      </c>
      <c r="AC79" s="52">
        <f>((SUBSIDIO!$L$79*SUBSIDIO!$W$79)+(SUBSIDIO!$N$79*SUBSIDIO!$X$79))*(0.04)/(1-0.04)</f>
        <v>339.36245760000003</v>
      </c>
      <c r="AD79" s="52">
        <f>(SUBSIDIO!$J$79*SUBSIDIO!$Y$79)*(0.02)/(1-0.02)</f>
        <v>0</v>
      </c>
      <c r="AE79" s="52">
        <f ca="1">((SUBSIDIO!$L$79*SUBSIDIO!$Z$79)+(SUBSIDIO!$N$79*SUBSIDIO!$AA$79))*(0.02)/(1-0.02)</f>
        <v>98.914396581787074</v>
      </c>
      <c r="AF79" s="4" t="s">
        <v>690</v>
      </c>
    </row>
    <row r="80" spans="1:32" ht="11.25" customHeight="1" x14ac:dyDescent="0.3">
      <c r="A80" s="4" t="s">
        <v>21</v>
      </c>
      <c r="B80" s="4" t="s">
        <v>39</v>
      </c>
      <c r="C80" s="4" t="s">
        <v>40</v>
      </c>
      <c r="D80" s="4" t="s">
        <v>43</v>
      </c>
      <c r="E80" s="4" t="s">
        <v>25</v>
      </c>
      <c r="F80" s="4" t="s">
        <v>25</v>
      </c>
      <c r="G80" s="4" t="s">
        <v>25</v>
      </c>
      <c r="H80" s="4" t="s">
        <v>35</v>
      </c>
      <c r="I80" s="5">
        <v>44621</v>
      </c>
      <c r="J80" s="6">
        <v>0</v>
      </c>
      <c r="K80" s="52">
        <v>0</v>
      </c>
      <c r="L80" s="6">
        <v>53.161000000000001</v>
      </c>
      <c r="M80" s="52">
        <v>53.161000000000001</v>
      </c>
      <c r="N80" s="6">
        <v>53.161000000000001</v>
      </c>
      <c r="O80" s="52">
        <v>53.161000000000001</v>
      </c>
      <c r="P80" s="6">
        <v>0</v>
      </c>
      <c r="Q80" s="4" t="s">
        <v>26</v>
      </c>
      <c r="R80" s="4">
        <v>0</v>
      </c>
      <c r="S80" s="4">
        <v>0</v>
      </c>
      <c r="T80" s="4">
        <v>6</v>
      </c>
      <c r="U80" s="4">
        <v>50</v>
      </c>
      <c r="V80" s="52">
        <f>IF(ISERROR(VLOOKUP($S$80,'TAR FIN'!$A$1:$O$85,15,0)),0,VLOOKUP($S$80,'TAR FIN'!$A$1:$O$85,15,0))</f>
        <v>0</v>
      </c>
      <c r="W80" s="52">
        <f>IF(ISERROR(VLOOKUP($T$80,'TAR FIN'!$A$1:$O$85,15,0)),0,VLOOKUP($T$80,'TAR FIN'!$A$1:$O$85,15,0))*(1-0.04)</f>
        <v>64.790399999999991</v>
      </c>
      <c r="X80" s="52">
        <f>IF(ISERROR(VLOOKUP($U$80,'TAR FIN'!$A$1:$O$85,15,0)),0,VLOOKUP($U$80,'TAR FIN'!$A$1:$O$85,15,0))*(1-0.04)</f>
        <v>214.1472</v>
      </c>
      <c r="Y80" s="52"/>
      <c r="Z80" s="52">
        <f ca="1">('TUSD BE'!$AM$12+'TUSD BF'!$AM$12+'TUSD CVA'!$AM$12)*1*(1-0.02)</f>
        <v>89.59297517927584</v>
      </c>
      <c r="AA80" s="52">
        <f>('TE BE'!$AB$6+'TE BF'!$AB$6+'TE CVA'!$AB$6)*1*(1-0.02)</f>
        <v>76.399196898794187</v>
      </c>
      <c r="AB80" s="52">
        <f>(SUBSIDIO!$J$80*SUBSIDIO!$V$80)*(0.04)/(1-0.04)</f>
        <v>0</v>
      </c>
      <c r="AC80" s="52">
        <f>((SUBSIDIO!$L$80*SUBSIDIO!$W$80)+(SUBSIDIO!$N$80*SUBSIDIO!$X$80))*(0.04)/(1-0.04)</f>
        <v>617.85840640000004</v>
      </c>
      <c r="AD80" s="52">
        <f>(SUBSIDIO!$J$80*SUBSIDIO!$Y$80)*(0.02)/(1-0.02)</f>
        <v>0</v>
      </c>
      <c r="AE80" s="52">
        <f ca="1">((SUBSIDIO!$L$80*SUBSIDIO!$Z$80)+(SUBSIDIO!$N$80*SUBSIDIO!$AA$80))*(0.02)/(1-0.02)</f>
        <v>180.08795632331186</v>
      </c>
      <c r="AF80" s="4" t="s">
        <v>690</v>
      </c>
    </row>
    <row r="81" spans="1:32" ht="11.25" customHeight="1" x14ac:dyDescent="0.3">
      <c r="A81" s="4" t="s">
        <v>21</v>
      </c>
      <c r="B81" s="4" t="s">
        <v>39</v>
      </c>
      <c r="C81" s="4" t="s">
        <v>40</v>
      </c>
      <c r="D81" s="4" t="s">
        <v>43</v>
      </c>
      <c r="E81" s="4" t="s">
        <v>25</v>
      </c>
      <c r="F81" s="4" t="s">
        <v>25</v>
      </c>
      <c r="G81" s="4" t="s">
        <v>25</v>
      </c>
      <c r="H81" s="4" t="s">
        <v>35</v>
      </c>
      <c r="I81" s="5">
        <v>44652</v>
      </c>
      <c r="J81" s="6">
        <v>0</v>
      </c>
      <c r="K81" s="52">
        <v>0</v>
      </c>
      <c r="L81" s="6">
        <v>40.383000000000003</v>
      </c>
      <c r="M81" s="52">
        <v>40.383000000000003</v>
      </c>
      <c r="N81" s="6">
        <v>40.383000000000003</v>
      </c>
      <c r="O81" s="52">
        <v>40.383000000000003</v>
      </c>
      <c r="P81" s="6">
        <v>0</v>
      </c>
      <c r="Q81" s="4" t="s">
        <v>26</v>
      </c>
      <c r="R81" s="4">
        <v>0</v>
      </c>
      <c r="S81" s="4">
        <v>0</v>
      </c>
      <c r="T81" s="4">
        <v>6</v>
      </c>
      <c r="U81" s="4">
        <v>50</v>
      </c>
      <c r="V81" s="52">
        <f>IF(ISERROR(VLOOKUP($S$81,'TAR FIN'!$A$1:$O$85,15,0)),0,VLOOKUP($S$81,'TAR FIN'!$A$1:$O$85,15,0))</f>
        <v>0</v>
      </c>
      <c r="W81" s="52">
        <f>IF(ISERROR(VLOOKUP($T$81,'TAR FIN'!$A$1:$O$85,15,0)),0,VLOOKUP($T$81,'TAR FIN'!$A$1:$O$85,15,0))*(1-0.04)</f>
        <v>64.790399999999991</v>
      </c>
      <c r="X81" s="52">
        <f>IF(ISERROR(VLOOKUP($U$81,'TAR FIN'!$A$1:$O$85,15,0)),0,VLOOKUP($U$81,'TAR FIN'!$A$1:$O$85,15,0))*(1-0.04)</f>
        <v>214.1472</v>
      </c>
      <c r="Y81" s="52"/>
      <c r="Z81" s="52">
        <f ca="1">('TUSD BE'!$AM$12+'TUSD BF'!$AM$12+'TUSD CVA'!$AM$12)*1*(1-0.02)</f>
        <v>89.59297517927584</v>
      </c>
      <c r="AA81" s="52">
        <f>('TE BE'!$AB$6+'TE BF'!$AB$6+'TE CVA'!$AB$6)*1*(1-0.02)</f>
        <v>76.399196898794187</v>
      </c>
      <c r="AB81" s="52">
        <f>(SUBSIDIO!$J$81*SUBSIDIO!$V$81)*(0.04)/(1-0.04)</f>
        <v>0</v>
      </c>
      <c r="AC81" s="52">
        <f>((SUBSIDIO!$L$81*SUBSIDIO!$W$81)+(SUBSIDIO!$N$81*SUBSIDIO!$X$81))*(0.04)/(1-0.04)</f>
        <v>469.34737920000003</v>
      </c>
      <c r="AD81" s="52">
        <f>(SUBSIDIO!$J$81*SUBSIDIO!$Y$81)*(0.02)/(1-0.02)</f>
        <v>0</v>
      </c>
      <c r="AE81" s="52">
        <f ca="1">((SUBSIDIO!$L$81*SUBSIDIO!$Z$81)+(SUBSIDIO!$N$81*SUBSIDIO!$AA$81))*(0.02)/(1-0.02)</f>
        <v>136.80126295976945</v>
      </c>
      <c r="AF81" s="4" t="s">
        <v>690</v>
      </c>
    </row>
    <row r="82" spans="1:32" ht="11.25" customHeight="1" x14ac:dyDescent="0.3">
      <c r="A82" s="4" t="s">
        <v>21</v>
      </c>
      <c r="B82" s="4" t="s">
        <v>39</v>
      </c>
      <c r="C82" s="4" t="s">
        <v>40</v>
      </c>
      <c r="D82" s="4" t="s">
        <v>43</v>
      </c>
      <c r="E82" s="4" t="s">
        <v>25</v>
      </c>
      <c r="F82" s="4" t="s">
        <v>25</v>
      </c>
      <c r="G82" s="4" t="s">
        <v>25</v>
      </c>
      <c r="H82" s="4" t="s">
        <v>35</v>
      </c>
      <c r="I82" s="5">
        <v>44682</v>
      </c>
      <c r="J82" s="6">
        <v>0</v>
      </c>
      <c r="K82" s="52">
        <v>0</v>
      </c>
      <c r="L82" s="6">
        <v>24.954999999999998</v>
      </c>
      <c r="M82" s="52">
        <v>24.954999999999998</v>
      </c>
      <c r="N82" s="6">
        <v>24.954999999999998</v>
      </c>
      <c r="O82" s="52">
        <v>24.954999999999998</v>
      </c>
      <c r="P82" s="6">
        <v>0</v>
      </c>
      <c r="Q82" s="4" t="s">
        <v>26</v>
      </c>
      <c r="R82" s="4">
        <v>0</v>
      </c>
      <c r="S82" s="4">
        <v>0</v>
      </c>
      <c r="T82" s="4">
        <v>6</v>
      </c>
      <c r="U82" s="4">
        <v>50</v>
      </c>
      <c r="V82" s="52">
        <f>IF(ISERROR(VLOOKUP($S$82,'TAR FIN'!$A$1:$O$85,15,0)),0,VLOOKUP($S$82,'TAR FIN'!$A$1:$O$85,15,0))</f>
        <v>0</v>
      </c>
      <c r="W82" s="52">
        <f>IF(ISERROR(VLOOKUP($T$82,'TAR FIN'!$A$1:$O$85,15,0)),0,VLOOKUP($T$82,'TAR FIN'!$A$1:$O$85,15,0))*(1-0.04)</f>
        <v>64.790399999999991</v>
      </c>
      <c r="X82" s="52">
        <f>IF(ISERROR(VLOOKUP($U$82,'TAR FIN'!$A$1:$O$85,15,0)),0,VLOOKUP($U$82,'TAR FIN'!$A$1:$O$85,15,0))*(1-0.04)</f>
        <v>214.1472</v>
      </c>
      <c r="Y82" s="52"/>
      <c r="Z82" s="52">
        <f ca="1">('TUSD BE'!$AM$12+'TUSD BF'!$AM$12+'TUSD CVA'!$AM$12)*1*(1-0.02)</f>
        <v>89.59297517927584</v>
      </c>
      <c r="AA82" s="52">
        <f>('TE BE'!$AB$6+'TE BF'!$AB$6+'TE CVA'!$AB$6)*1*(1-0.02)</f>
        <v>76.399196898794187</v>
      </c>
      <c r="AB82" s="52">
        <f>(SUBSIDIO!$J$82*SUBSIDIO!$V$82)*(0.04)/(1-0.04)</f>
        <v>0</v>
      </c>
      <c r="AC82" s="52">
        <f>((SUBSIDIO!$L$82*SUBSIDIO!$W$82)+(SUBSIDIO!$N$82*SUBSIDIO!$X$82))*(0.04)/(1-0.04)</f>
        <v>290.036992</v>
      </c>
      <c r="AD82" s="52">
        <f>(SUBSIDIO!$J$82*SUBSIDIO!$Y$82)*(0.02)/(1-0.02)</f>
        <v>0</v>
      </c>
      <c r="AE82" s="52">
        <f ca="1">((SUBSIDIO!$L$82*SUBSIDIO!$Z$82)+(SUBSIDIO!$N$82*SUBSIDIO!$AA$82))*(0.02)/(1-0.02)</f>
        <v>84.537441922617077</v>
      </c>
      <c r="AF82" s="4" t="s">
        <v>690</v>
      </c>
    </row>
    <row r="83" spans="1:32" ht="11.25" customHeight="1" x14ac:dyDescent="0.3">
      <c r="A83" s="4" t="s">
        <v>21</v>
      </c>
      <c r="B83" s="4" t="s">
        <v>39</v>
      </c>
      <c r="C83" s="4" t="s">
        <v>40</v>
      </c>
      <c r="D83" s="4" t="s">
        <v>43</v>
      </c>
      <c r="E83" s="4" t="s">
        <v>25</v>
      </c>
      <c r="F83" s="4" t="s">
        <v>25</v>
      </c>
      <c r="G83" s="4" t="s">
        <v>25</v>
      </c>
      <c r="H83" s="4" t="s">
        <v>35</v>
      </c>
      <c r="I83" s="5">
        <v>44713</v>
      </c>
      <c r="J83" s="6">
        <v>0</v>
      </c>
      <c r="K83" s="52">
        <v>0</v>
      </c>
      <c r="L83" s="6">
        <v>8.3390000000000004</v>
      </c>
      <c r="M83" s="52">
        <v>8.3390000000000004</v>
      </c>
      <c r="N83" s="6">
        <v>8.3390000000000004</v>
      </c>
      <c r="O83" s="52">
        <v>8.3390000000000004</v>
      </c>
      <c r="P83" s="6">
        <v>0</v>
      </c>
      <c r="Q83" s="4" t="s">
        <v>26</v>
      </c>
      <c r="R83" s="4">
        <v>0</v>
      </c>
      <c r="S83" s="4">
        <v>0</v>
      </c>
      <c r="T83" s="4">
        <v>6</v>
      </c>
      <c r="U83" s="4">
        <v>50</v>
      </c>
      <c r="V83" s="52">
        <f>IF(ISERROR(VLOOKUP($S$83,'TAR FIN'!$A$1:$O$85,15,0)),0,VLOOKUP($S$83,'TAR FIN'!$A$1:$O$85,15,0))</f>
        <v>0</v>
      </c>
      <c r="W83" s="52">
        <f>IF(ISERROR(VLOOKUP($T$83,'TAR FIN'!$A$1:$O$85,15,0)),0,VLOOKUP($T$83,'TAR FIN'!$A$1:$O$85,15,0))*(1-0.04)</f>
        <v>64.790399999999991</v>
      </c>
      <c r="X83" s="52">
        <f>IF(ISERROR(VLOOKUP($U$83,'TAR FIN'!$A$1:$O$85,15,0)),0,VLOOKUP($U$83,'TAR FIN'!$A$1:$O$85,15,0))*(1-0.04)</f>
        <v>214.1472</v>
      </c>
      <c r="Y83" s="52"/>
      <c r="Z83" s="52">
        <f ca="1">('TUSD BE'!$AM$12+'TUSD BF'!$AM$12+'TUSD CVA'!$AM$12)*1*(1-0.02)</f>
        <v>89.59297517927584</v>
      </c>
      <c r="AA83" s="52">
        <f>('TE BE'!$AB$6+'TE BF'!$AB$6+'TE CVA'!$AB$6)*1*(1-0.02)</f>
        <v>76.399196898794187</v>
      </c>
      <c r="AB83" s="52">
        <f>(SUBSIDIO!$J$83*SUBSIDIO!$V$83)*(0.04)/(1-0.04)</f>
        <v>0</v>
      </c>
      <c r="AC83" s="52">
        <f>((SUBSIDIO!$L$83*SUBSIDIO!$W$83)+(SUBSIDIO!$N$83*SUBSIDIO!$X$83))*(0.04)/(1-0.04)</f>
        <v>96.9191936</v>
      </c>
      <c r="AD83" s="52">
        <f>(SUBSIDIO!$J$83*SUBSIDIO!$Y$83)*(0.02)/(1-0.02)</f>
        <v>0</v>
      </c>
      <c r="AE83" s="52">
        <f ca="1">((SUBSIDIO!$L$83*SUBSIDIO!$Z$83)+(SUBSIDIO!$N$83*SUBSIDIO!$AA$83))*(0.02)/(1-0.02)</f>
        <v>28.249157611408695</v>
      </c>
      <c r="AF83" s="4" t="s">
        <v>690</v>
      </c>
    </row>
    <row r="84" spans="1:32" ht="11.25" customHeight="1" x14ac:dyDescent="0.3">
      <c r="A84" s="4" t="s">
        <v>21</v>
      </c>
      <c r="B84" s="4" t="s">
        <v>39</v>
      </c>
      <c r="C84" s="4" t="s">
        <v>40</v>
      </c>
      <c r="D84" s="4" t="s">
        <v>43</v>
      </c>
      <c r="E84" s="4" t="s">
        <v>25</v>
      </c>
      <c r="F84" s="4" t="s">
        <v>25</v>
      </c>
      <c r="G84" s="4" t="s">
        <v>25</v>
      </c>
      <c r="H84" s="4" t="s">
        <v>35</v>
      </c>
      <c r="I84" s="5">
        <v>44743</v>
      </c>
      <c r="J84" s="6">
        <v>0</v>
      </c>
      <c r="K84" s="52">
        <v>0</v>
      </c>
      <c r="L84" s="6">
        <v>0.99399999999999999</v>
      </c>
      <c r="M84" s="52">
        <v>0.99399999999999999</v>
      </c>
      <c r="N84" s="6">
        <v>0.99399999999999999</v>
      </c>
      <c r="O84" s="52">
        <v>0.99399999999999999</v>
      </c>
      <c r="P84" s="6">
        <v>0</v>
      </c>
      <c r="Q84" s="4" t="s">
        <v>26</v>
      </c>
      <c r="R84" s="4">
        <v>0</v>
      </c>
      <c r="S84" s="4">
        <v>0</v>
      </c>
      <c r="T84" s="4">
        <v>6</v>
      </c>
      <c r="U84" s="4">
        <v>50</v>
      </c>
      <c r="V84" s="52">
        <f>IF(ISERROR(VLOOKUP($S$84,'TAR FIN'!$A$1:$O$85,15,0)),0,VLOOKUP($S$84,'TAR FIN'!$A$1:$O$85,15,0))</f>
        <v>0</v>
      </c>
      <c r="W84" s="52">
        <f>IF(ISERROR(VLOOKUP($T$84,'TAR FIN'!$A$1:$O$85,15,0)),0,VLOOKUP($T$84,'TAR FIN'!$A$1:$O$85,15,0))*(1-0.04)</f>
        <v>64.790399999999991</v>
      </c>
      <c r="X84" s="52">
        <f>IF(ISERROR(VLOOKUP($U$84,'TAR FIN'!$A$1:$O$85,15,0)),0,VLOOKUP($U$84,'TAR FIN'!$A$1:$O$85,15,0))*(1-0.04)</f>
        <v>214.1472</v>
      </c>
      <c r="Y84" s="52"/>
      <c r="Z84" s="52">
        <f ca="1">('TUSD BE'!$AM$12+'TUSD BF'!$AM$12+'TUSD CVA'!$AM$12)*1*(1-0.02)</f>
        <v>89.59297517927584</v>
      </c>
      <c r="AA84" s="52">
        <f>('TE BE'!$AB$6+'TE BF'!$AB$6+'TE CVA'!$AB$6)*1*(1-0.02)</f>
        <v>76.399196898794187</v>
      </c>
      <c r="AB84" s="52">
        <f>(SUBSIDIO!$J$84*SUBSIDIO!$V$84)*(0.04)/(1-0.04)</f>
        <v>0</v>
      </c>
      <c r="AC84" s="52">
        <f>((SUBSIDIO!$L$84*SUBSIDIO!$W$84)+(SUBSIDIO!$N$84*SUBSIDIO!$X$84))*(0.04)/(1-0.04)</f>
        <v>11.552665600000001</v>
      </c>
      <c r="AD84" s="52">
        <f>(SUBSIDIO!$J$84*SUBSIDIO!$Y$84)*(0.02)/(1-0.02)</f>
        <v>0</v>
      </c>
      <c r="AE84" s="52">
        <f ca="1">((SUBSIDIO!$L$84*SUBSIDIO!$Z$84)+(SUBSIDIO!$N$84*SUBSIDIO!$AA$84))*(0.02)/(1-0.02)</f>
        <v>3.3672697764408492</v>
      </c>
      <c r="AF84" s="4" t="s">
        <v>690</v>
      </c>
    </row>
    <row r="85" spans="1:32" ht="11.25" customHeight="1" x14ac:dyDescent="0.3">
      <c r="A85" s="4" t="s">
        <v>21</v>
      </c>
      <c r="B85" s="4" t="s">
        <v>39</v>
      </c>
      <c r="C85" s="4" t="s">
        <v>40</v>
      </c>
      <c r="D85" s="4" t="s">
        <v>43</v>
      </c>
      <c r="E85" s="4" t="s">
        <v>25</v>
      </c>
      <c r="F85" s="4" t="s">
        <v>25</v>
      </c>
      <c r="G85" s="4" t="s">
        <v>25</v>
      </c>
      <c r="H85" s="4" t="s">
        <v>35</v>
      </c>
      <c r="I85" s="5">
        <v>44774</v>
      </c>
      <c r="J85" s="6">
        <v>0</v>
      </c>
      <c r="K85" s="52">
        <v>0</v>
      </c>
      <c r="L85" s="6">
        <v>3.0830000000000002</v>
      </c>
      <c r="M85" s="52">
        <v>3.0830000000000002</v>
      </c>
      <c r="N85" s="6">
        <v>3.0830000000000002</v>
      </c>
      <c r="O85" s="52">
        <v>3.0830000000000002</v>
      </c>
      <c r="P85" s="6">
        <v>0</v>
      </c>
      <c r="Q85" s="4" t="s">
        <v>26</v>
      </c>
      <c r="R85" s="4">
        <v>0</v>
      </c>
      <c r="S85" s="4">
        <v>0</v>
      </c>
      <c r="T85" s="4">
        <v>6</v>
      </c>
      <c r="U85" s="4">
        <v>50</v>
      </c>
      <c r="V85" s="52">
        <f>IF(ISERROR(VLOOKUP($S$85,'TAR FIN'!$A$1:$O$85,15,0)),0,VLOOKUP($S$85,'TAR FIN'!$A$1:$O$85,15,0))</f>
        <v>0</v>
      </c>
      <c r="W85" s="52">
        <f>IF(ISERROR(VLOOKUP($T$85,'TAR FIN'!$A$1:$O$85,15,0)),0,VLOOKUP($T$85,'TAR FIN'!$A$1:$O$85,15,0))*(1-0.04)</f>
        <v>64.790399999999991</v>
      </c>
      <c r="X85" s="52">
        <f>IF(ISERROR(VLOOKUP($U$85,'TAR FIN'!$A$1:$O$85,15,0)),0,VLOOKUP($U$85,'TAR FIN'!$A$1:$O$85,15,0))*(1-0.04)</f>
        <v>214.1472</v>
      </c>
      <c r="Y85" s="52"/>
      <c r="Z85" s="52">
        <f ca="1">('TUSD BE'!$AM$12+'TUSD BF'!$AM$12+'TUSD CVA'!$AM$12)*1*(1-0.02)</f>
        <v>89.59297517927584</v>
      </c>
      <c r="AA85" s="52">
        <f>('TE BE'!$AB$6+'TE BF'!$AB$6+'TE CVA'!$AB$6)*1*(1-0.02)</f>
        <v>76.399196898794187</v>
      </c>
      <c r="AB85" s="52">
        <f>(SUBSIDIO!$J$85*SUBSIDIO!$V$85)*(0.04)/(1-0.04)</f>
        <v>0</v>
      </c>
      <c r="AC85" s="52">
        <f>((SUBSIDIO!$L$85*SUBSIDIO!$W$85)+(SUBSIDIO!$N$85*SUBSIDIO!$X$85))*(0.04)/(1-0.04)</f>
        <v>35.831859200000004</v>
      </c>
      <c r="AD85" s="52">
        <f>(SUBSIDIO!$J$85*SUBSIDIO!$Y$85)*(0.02)/(1-0.02)</f>
        <v>0</v>
      </c>
      <c r="AE85" s="52">
        <f ca="1">((SUBSIDIO!$L$85*SUBSIDIO!$Z$85)+(SUBSIDIO!$N$85*SUBSIDIO!$AA$85))*(0.02)/(1-0.02)</f>
        <v>10.443956459524284</v>
      </c>
      <c r="AF85" s="4" t="s">
        <v>690</v>
      </c>
    </row>
    <row r="86" spans="1:32" ht="11.25" customHeight="1" x14ac:dyDescent="0.3">
      <c r="A86" s="4" t="s">
        <v>21</v>
      </c>
      <c r="B86" s="4" t="s">
        <v>39</v>
      </c>
      <c r="C86" s="4" t="s">
        <v>40</v>
      </c>
      <c r="D86" s="4" t="s">
        <v>43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44440</v>
      </c>
      <c r="J86" s="6">
        <v>21</v>
      </c>
      <c r="K86" s="52">
        <v>21</v>
      </c>
      <c r="L86" s="6">
        <v>0</v>
      </c>
      <c r="M86" s="52">
        <v>0</v>
      </c>
      <c r="N86" s="6">
        <v>0</v>
      </c>
      <c r="O86" s="52">
        <v>0</v>
      </c>
      <c r="P86" s="6">
        <v>1</v>
      </c>
      <c r="Q86" s="4" t="s">
        <v>26</v>
      </c>
      <c r="R86" s="4">
        <v>0</v>
      </c>
      <c r="S86" s="4">
        <v>10</v>
      </c>
      <c r="T86" s="4">
        <v>0</v>
      </c>
      <c r="U86" s="4">
        <v>0</v>
      </c>
      <c r="V86" s="52">
        <f>IF(ISERROR(VLOOKUP($S$86,'TAR FIN'!$A$1:$O$85,15,0)),0,VLOOKUP($S$86,'TAR FIN'!$A$1:$O$85,15,0))*(1-0.04)</f>
        <v>32.716799999999999</v>
      </c>
      <c r="W86" s="52">
        <f>IF(ISERROR(VLOOKUP($T$86,'TAR FIN'!$A$1:$O$85,15,0)),0,VLOOKUP($T$86,'TAR FIN'!$A$1:$O$85,15,0))</f>
        <v>0</v>
      </c>
      <c r="X86" s="52">
        <f>IF(ISERROR(VLOOKUP($U$86,'TAR FIN'!$A$1:$O$85,15,0)),0,VLOOKUP($U$86,'TAR FIN'!$A$1:$O$85,15,0))</f>
        <v>0</v>
      </c>
      <c r="Y86" s="52">
        <f ca="1">('TUSD BE'!$AM$10+'TUSD BF'!$AM$10+'TUSD CVA'!$AM$10)*1*(1-0.02)</f>
        <v>45.128757854832571</v>
      </c>
      <c r="Z86" s="52"/>
      <c r="AA86" s="52"/>
      <c r="AB86" s="52">
        <f>(SUBSIDIO!$J$86*SUBSIDIO!$V$86)*(0.04)/(1-0.04)</f>
        <v>28.627199999999998</v>
      </c>
      <c r="AC86" s="52">
        <f>((SUBSIDIO!$L$86*SUBSIDIO!$W$86)+(SUBSIDIO!$N$86*SUBSIDIO!$X$86))*(0.04)/(1-0.04)</f>
        <v>0</v>
      </c>
      <c r="AD86" s="52">
        <f ca="1">(SUBSIDIO!$J$86*SUBSIDIO!$Y$86)*(0.02)/(1-0.02)</f>
        <v>19.340896223499673</v>
      </c>
      <c r="AE86" s="52">
        <f>((SUBSIDIO!$L$86*SUBSIDIO!$Z$86)+(SUBSIDIO!$N$86*SUBSIDIO!$AA$86))*(0.02)/(1-0.02)</f>
        <v>0</v>
      </c>
      <c r="AF86" s="4" t="s">
        <v>690</v>
      </c>
    </row>
    <row r="87" spans="1:32" ht="11.25" customHeight="1" x14ac:dyDescent="0.3">
      <c r="A87" s="4" t="s">
        <v>21</v>
      </c>
      <c r="B87" s="4" t="s">
        <v>39</v>
      </c>
      <c r="C87" s="4" t="s">
        <v>40</v>
      </c>
      <c r="D87" s="4" t="s">
        <v>43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44470</v>
      </c>
      <c r="J87" s="6">
        <v>62</v>
      </c>
      <c r="K87" s="52">
        <v>62</v>
      </c>
      <c r="L87" s="6">
        <v>0</v>
      </c>
      <c r="M87" s="52">
        <v>0</v>
      </c>
      <c r="N87" s="6">
        <v>0</v>
      </c>
      <c r="O87" s="52">
        <v>0</v>
      </c>
      <c r="P87" s="6">
        <v>1</v>
      </c>
      <c r="Q87" s="4" t="s">
        <v>26</v>
      </c>
      <c r="R87" s="4">
        <v>0</v>
      </c>
      <c r="S87" s="4">
        <v>10</v>
      </c>
      <c r="T87" s="4">
        <v>0</v>
      </c>
      <c r="U87" s="4">
        <v>0</v>
      </c>
      <c r="V87" s="52">
        <f>IF(ISERROR(VLOOKUP($S$87,'TAR FIN'!$A$1:$O$85,15,0)),0,VLOOKUP($S$87,'TAR FIN'!$A$1:$O$85,15,0))*(1-0.04)</f>
        <v>32.716799999999999</v>
      </c>
      <c r="W87" s="52">
        <f>IF(ISERROR(VLOOKUP($T$87,'TAR FIN'!$A$1:$O$85,15,0)),0,VLOOKUP($T$87,'TAR FIN'!$A$1:$O$85,15,0))</f>
        <v>0</v>
      </c>
      <c r="X87" s="52">
        <f>IF(ISERROR(VLOOKUP($U$87,'TAR FIN'!$A$1:$O$85,15,0)),0,VLOOKUP($U$87,'TAR FIN'!$A$1:$O$85,15,0))</f>
        <v>0</v>
      </c>
      <c r="Y87" s="52">
        <f ca="1">('TUSD BE'!$AM$10+'TUSD BF'!$AM$10+'TUSD CVA'!$AM$10)*1*(1-0.02)</f>
        <v>45.128757854832571</v>
      </c>
      <c r="Z87" s="52"/>
      <c r="AA87" s="52"/>
      <c r="AB87" s="52">
        <f>(SUBSIDIO!$J$87*SUBSIDIO!$V$87)*(0.04)/(1-0.04)</f>
        <v>84.5184</v>
      </c>
      <c r="AC87" s="52">
        <f>((SUBSIDIO!$L$87*SUBSIDIO!$W$87)+(SUBSIDIO!$N$87*SUBSIDIO!$X$87))*(0.04)/(1-0.04)</f>
        <v>0</v>
      </c>
      <c r="AD87" s="52">
        <f ca="1">(SUBSIDIO!$J$87*SUBSIDIO!$Y$87)*(0.02)/(1-0.02)</f>
        <v>57.101693612237135</v>
      </c>
      <c r="AE87" s="52">
        <f>((SUBSIDIO!$L$87*SUBSIDIO!$Z$87)+(SUBSIDIO!$N$87*SUBSIDIO!$AA$87))*(0.02)/(1-0.02)</f>
        <v>0</v>
      </c>
      <c r="AF87" s="4" t="s">
        <v>690</v>
      </c>
    </row>
    <row r="88" spans="1:32" ht="11.25" customHeight="1" x14ac:dyDescent="0.3">
      <c r="A88" s="4" t="s">
        <v>21</v>
      </c>
      <c r="B88" s="4" t="s">
        <v>39</v>
      </c>
      <c r="C88" s="4" t="s">
        <v>40</v>
      </c>
      <c r="D88" s="4" t="s">
        <v>43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63</v>
      </c>
      <c r="K88" s="52">
        <v>63</v>
      </c>
      <c r="L88" s="6">
        <v>0</v>
      </c>
      <c r="M88" s="52">
        <v>0</v>
      </c>
      <c r="N88" s="6">
        <v>0</v>
      </c>
      <c r="O88" s="52">
        <v>0</v>
      </c>
      <c r="P88" s="6">
        <v>1</v>
      </c>
      <c r="Q88" s="4" t="s">
        <v>26</v>
      </c>
      <c r="R88" s="4">
        <v>0</v>
      </c>
      <c r="S88" s="4">
        <v>10</v>
      </c>
      <c r="T88" s="4">
        <v>0</v>
      </c>
      <c r="U88" s="4">
        <v>0</v>
      </c>
      <c r="V88" s="52">
        <f>IF(ISERROR(VLOOKUP($S$88,'TAR FIN'!$A$1:$O$85,15,0)),0,VLOOKUP($S$88,'TAR FIN'!$A$1:$O$85,15,0))*(1-0.04)</f>
        <v>32.716799999999999</v>
      </c>
      <c r="W88" s="52">
        <f>IF(ISERROR(VLOOKUP($T$88,'TAR FIN'!$A$1:$O$85,15,0)),0,VLOOKUP($T$88,'TAR FIN'!$A$1:$O$85,15,0))</f>
        <v>0</v>
      </c>
      <c r="X88" s="52">
        <f>IF(ISERROR(VLOOKUP($U$88,'TAR FIN'!$A$1:$O$85,15,0)),0,VLOOKUP($U$88,'TAR FIN'!$A$1:$O$85,15,0))</f>
        <v>0</v>
      </c>
      <c r="Y88" s="52">
        <f ca="1">('TUSD BE'!$AM$10+'TUSD BF'!$AM$10+'TUSD CVA'!$AM$10)*1*(1-0.02)</f>
        <v>45.128757854832571</v>
      </c>
      <c r="Z88" s="52"/>
      <c r="AA88" s="52"/>
      <c r="AB88" s="52">
        <f>(SUBSIDIO!$J$88*SUBSIDIO!$V$88)*(0.04)/(1-0.04)</f>
        <v>85.881599999999992</v>
      </c>
      <c r="AC88" s="52">
        <f>((SUBSIDIO!$L$88*SUBSIDIO!$W$88)+(SUBSIDIO!$N$88*SUBSIDIO!$X$88))*(0.04)/(1-0.04)</f>
        <v>0</v>
      </c>
      <c r="AD88" s="52">
        <f ca="1">(SUBSIDIO!$J$88*SUBSIDIO!$Y$88)*(0.02)/(1-0.02)</f>
        <v>58.022688670499022</v>
      </c>
      <c r="AE88" s="52">
        <f>((SUBSIDIO!$L$88*SUBSIDIO!$Z$88)+(SUBSIDIO!$N$88*SUBSIDIO!$AA$88))*(0.02)/(1-0.02)</f>
        <v>0</v>
      </c>
      <c r="AF88" s="4" t="s">
        <v>690</v>
      </c>
    </row>
    <row r="89" spans="1:32" ht="11.25" customHeight="1" x14ac:dyDescent="0.3">
      <c r="A89" s="4" t="s">
        <v>21</v>
      </c>
      <c r="B89" s="4" t="s">
        <v>39</v>
      </c>
      <c r="C89" s="4" t="s">
        <v>40</v>
      </c>
      <c r="D89" s="4" t="s">
        <v>43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44</v>
      </c>
      <c r="K89" s="52">
        <v>44</v>
      </c>
      <c r="L89" s="6">
        <v>0</v>
      </c>
      <c r="M89" s="52">
        <v>0</v>
      </c>
      <c r="N89" s="6">
        <v>0</v>
      </c>
      <c r="O89" s="52">
        <v>0</v>
      </c>
      <c r="P89" s="6">
        <v>1</v>
      </c>
      <c r="Q89" s="4" t="s">
        <v>26</v>
      </c>
      <c r="R89" s="4">
        <v>0</v>
      </c>
      <c r="S89" s="4">
        <v>10</v>
      </c>
      <c r="T89" s="4">
        <v>0</v>
      </c>
      <c r="U89" s="4">
        <v>0</v>
      </c>
      <c r="V89" s="52">
        <f>IF(ISERROR(VLOOKUP($S$89,'TAR FIN'!$A$1:$O$85,15,0)),0,VLOOKUP($S$89,'TAR FIN'!$A$1:$O$85,15,0))*(1-0.04)</f>
        <v>32.716799999999999</v>
      </c>
      <c r="W89" s="52">
        <f>IF(ISERROR(VLOOKUP($T$89,'TAR FIN'!$A$1:$O$85,15,0)),0,VLOOKUP($T$89,'TAR FIN'!$A$1:$O$85,15,0))</f>
        <v>0</v>
      </c>
      <c r="X89" s="52">
        <f>IF(ISERROR(VLOOKUP($U$89,'TAR FIN'!$A$1:$O$85,15,0)),0,VLOOKUP($U$89,'TAR FIN'!$A$1:$O$85,15,0))</f>
        <v>0</v>
      </c>
      <c r="Y89" s="52">
        <f ca="1">('TUSD BE'!$AM$10+'TUSD BF'!$AM$10+'TUSD CVA'!$AM$10)*1*(1-0.02)</f>
        <v>45.128757854832571</v>
      </c>
      <c r="Z89" s="52"/>
      <c r="AA89" s="52"/>
      <c r="AB89" s="52">
        <f>(SUBSIDIO!$J$89*SUBSIDIO!$V$89)*(0.04)/(1-0.04)</f>
        <v>59.980800000000002</v>
      </c>
      <c r="AC89" s="52">
        <f>((SUBSIDIO!$L$89*SUBSIDIO!$W$89)+(SUBSIDIO!$N$89*SUBSIDIO!$X$89))*(0.04)/(1-0.04)</f>
        <v>0</v>
      </c>
      <c r="AD89" s="52">
        <f ca="1">(SUBSIDIO!$J$89*SUBSIDIO!$Y$89)*(0.02)/(1-0.02)</f>
        <v>40.523782563523135</v>
      </c>
      <c r="AE89" s="52">
        <f>((SUBSIDIO!$L$89*SUBSIDIO!$Z$89)+(SUBSIDIO!$N$89*SUBSIDIO!$AA$89))*(0.02)/(1-0.02)</f>
        <v>0</v>
      </c>
      <c r="AF89" s="4" t="s">
        <v>690</v>
      </c>
    </row>
    <row r="90" spans="1:32" ht="11.25" customHeight="1" x14ac:dyDescent="0.3">
      <c r="A90" s="4" t="s">
        <v>21</v>
      </c>
      <c r="B90" s="4" t="s">
        <v>39</v>
      </c>
      <c r="C90" s="4" t="s">
        <v>40</v>
      </c>
      <c r="D90" s="4" t="s">
        <v>43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99</v>
      </c>
      <c r="K90" s="52">
        <v>99</v>
      </c>
      <c r="L90" s="6">
        <v>0</v>
      </c>
      <c r="M90" s="52">
        <v>0</v>
      </c>
      <c r="N90" s="6">
        <v>0</v>
      </c>
      <c r="O90" s="52">
        <v>0</v>
      </c>
      <c r="P90" s="6">
        <v>1</v>
      </c>
      <c r="Q90" s="4" t="s">
        <v>26</v>
      </c>
      <c r="R90" s="4">
        <v>0</v>
      </c>
      <c r="S90" s="4">
        <v>10</v>
      </c>
      <c r="T90" s="4">
        <v>0</v>
      </c>
      <c r="U90" s="4">
        <v>0</v>
      </c>
      <c r="V90" s="52">
        <f>IF(ISERROR(VLOOKUP($S$90,'TAR FIN'!$A$1:$O$85,15,0)),0,VLOOKUP($S$90,'TAR FIN'!$A$1:$O$85,15,0))*(1-0.04)</f>
        <v>32.716799999999999</v>
      </c>
      <c r="W90" s="52">
        <f>IF(ISERROR(VLOOKUP($T$90,'TAR FIN'!$A$1:$O$85,15,0)),0,VLOOKUP($T$90,'TAR FIN'!$A$1:$O$85,15,0))</f>
        <v>0</v>
      </c>
      <c r="X90" s="52">
        <f>IF(ISERROR(VLOOKUP($U$90,'TAR FIN'!$A$1:$O$85,15,0)),0,VLOOKUP($U$90,'TAR FIN'!$A$1:$O$85,15,0))</f>
        <v>0</v>
      </c>
      <c r="Y90" s="52">
        <f ca="1">('TUSD BE'!$AM$10+'TUSD BF'!$AM$10+'TUSD CVA'!$AM$10)*1*(1-0.02)</f>
        <v>45.128757854832571</v>
      </c>
      <c r="Z90" s="52"/>
      <c r="AA90" s="52"/>
      <c r="AB90" s="52">
        <f>(SUBSIDIO!$J$90*SUBSIDIO!$V$90)*(0.04)/(1-0.04)</f>
        <v>134.95679999999999</v>
      </c>
      <c r="AC90" s="52">
        <f>((SUBSIDIO!$L$90*SUBSIDIO!$W$90)+(SUBSIDIO!$N$90*SUBSIDIO!$X$90))*(0.04)/(1-0.04)</f>
        <v>0</v>
      </c>
      <c r="AD90" s="52">
        <f ca="1">(SUBSIDIO!$J$90*SUBSIDIO!$Y$90)*(0.02)/(1-0.02)</f>
        <v>91.178510767927037</v>
      </c>
      <c r="AE90" s="52">
        <f>((SUBSIDIO!$L$90*SUBSIDIO!$Z$90)+(SUBSIDIO!$N$90*SUBSIDIO!$AA$90))*(0.02)/(1-0.02)</f>
        <v>0</v>
      </c>
      <c r="AF90" s="4" t="s">
        <v>690</v>
      </c>
    </row>
    <row r="91" spans="1:32" ht="11.25" customHeight="1" x14ac:dyDescent="0.3">
      <c r="A91" s="4" t="s">
        <v>21</v>
      </c>
      <c r="B91" s="4" t="s">
        <v>39</v>
      </c>
      <c r="C91" s="4" t="s">
        <v>40</v>
      </c>
      <c r="D91" s="4" t="s">
        <v>43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190</v>
      </c>
      <c r="K91" s="52">
        <v>190</v>
      </c>
      <c r="L91" s="6">
        <v>0</v>
      </c>
      <c r="M91" s="52">
        <v>0</v>
      </c>
      <c r="N91" s="6">
        <v>0</v>
      </c>
      <c r="O91" s="52">
        <v>0</v>
      </c>
      <c r="P91" s="6">
        <v>1</v>
      </c>
      <c r="Q91" s="4" t="s">
        <v>26</v>
      </c>
      <c r="R91" s="4">
        <v>0</v>
      </c>
      <c r="S91" s="4">
        <v>10</v>
      </c>
      <c r="T91" s="4">
        <v>0</v>
      </c>
      <c r="U91" s="4">
        <v>0</v>
      </c>
      <c r="V91" s="52">
        <f>IF(ISERROR(VLOOKUP($S$91,'TAR FIN'!$A$1:$O$85,15,0)),0,VLOOKUP($S$91,'TAR FIN'!$A$1:$O$85,15,0))*(1-0.04)</f>
        <v>32.716799999999999</v>
      </c>
      <c r="W91" s="52">
        <f>IF(ISERROR(VLOOKUP($T$91,'TAR FIN'!$A$1:$O$85,15,0)),0,VLOOKUP($T$91,'TAR FIN'!$A$1:$O$85,15,0))</f>
        <v>0</v>
      </c>
      <c r="X91" s="52">
        <f>IF(ISERROR(VLOOKUP($U$91,'TAR FIN'!$A$1:$O$85,15,0)),0,VLOOKUP($U$91,'TAR FIN'!$A$1:$O$85,15,0))</f>
        <v>0</v>
      </c>
      <c r="Y91" s="52">
        <f ca="1">('TUSD BE'!$AM$10+'TUSD BF'!$AM$10+'TUSD CVA'!$AM$10)*1*(1-0.02)</f>
        <v>45.128757854832571</v>
      </c>
      <c r="Z91" s="52"/>
      <c r="AA91" s="52"/>
      <c r="AB91" s="52">
        <f>(SUBSIDIO!$J$91*SUBSIDIO!$V$91)*(0.04)/(1-0.04)</f>
        <v>259.00800000000004</v>
      </c>
      <c r="AC91" s="52">
        <f>((SUBSIDIO!$L$91*SUBSIDIO!$W$91)+(SUBSIDIO!$N$91*SUBSIDIO!$X$91))*(0.04)/(1-0.04)</f>
        <v>0</v>
      </c>
      <c r="AD91" s="52">
        <f ca="1">(SUBSIDIO!$J$91*SUBSIDIO!$Y$91)*(0.02)/(1-0.02)</f>
        <v>174.98906106975895</v>
      </c>
      <c r="AE91" s="52">
        <f>((SUBSIDIO!$L$91*SUBSIDIO!$Z$91)+(SUBSIDIO!$N$91*SUBSIDIO!$AA$91))*(0.02)/(1-0.02)</f>
        <v>0</v>
      </c>
      <c r="AF91" s="4" t="s">
        <v>690</v>
      </c>
    </row>
    <row r="92" spans="1:32" ht="11.25" customHeight="1" x14ac:dyDescent="0.3">
      <c r="A92" s="4" t="s">
        <v>21</v>
      </c>
      <c r="B92" s="4" t="s">
        <v>39</v>
      </c>
      <c r="C92" s="4" t="s">
        <v>40</v>
      </c>
      <c r="D92" s="4" t="s">
        <v>43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204</v>
      </c>
      <c r="K92" s="52">
        <v>204</v>
      </c>
      <c r="L92" s="6">
        <v>0</v>
      </c>
      <c r="M92" s="52">
        <v>0</v>
      </c>
      <c r="N92" s="6">
        <v>0</v>
      </c>
      <c r="O92" s="52">
        <v>0</v>
      </c>
      <c r="P92" s="6">
        <v>1</v>
      </c>
      <c r="Q92" s="4" t="s">
        <v>26</v>
      </c>
      <c r="R92" s="4">
        <v>0</v>
      </c>
      <c r="S92" s="4">
        <v>10</v>
      </c>
      <c r="T92" s="4">
        <v>0</v>
      </c>
      <c r="U92" s="4">
        <v>0</v>
      </c>
      <c r="V92" s="52">
        <f>IF(ISERROR(VLOOKUP($S$92,'TAR FIN'!$A$1:$O$85,15,0)),0,VLOOKUP($S$92,'TAR FIN'!$A$1:$O$85,15,0))*(1-0.04)</f>
        <v>32.716799999999999</v>
      </c>
      <c r="W92" s="52">
        <f>IF(ISERROR(VLOOKUP($T$92,'TAR FIN'!$A$1:$O$85,15,0)),0,VLOOKUP($T$92,'TAR FIN'!$A$1:$O$85,15,0))</f>
        <v>0</v>
      </c>
      <c r="X92" s="52">
        <f>IF(ISERROR(VLOOKUP($U$92,'TAR FIN'!$A$1:$O$85,15,0)),0,VLOOKUP($U$92,'TAR FIN'!$A$1:$O$85,15,0))</f>
        <v>0</v>
      </c>
      <c r="Y92" s="52">
        <f ca="1">('TUSD BE'!$AM$10+'TUSD BF'!$AM$10+'TUSD CVA'!$AM$10)*1*(1-0.02)</f>
        <v>45.128757854832571</v>
      </c>
      <c r="Z92" s="52"/>
      <c r="AA92" s="52"/>
      <c r="AB92" s="52">
        <f>(SUBSIDIO!$J$92*SUBSIDIO!$V$92)*(0.04)/(1-0.04)</f>
        <v>278.09280000000001</v>
      </c>
      <c r="AC92" s="52">
        <f>((SUBSIDIO!$L$92*SUBSIDIO!$W$92)+(SUBSIDIO!$N$92*SUBSIDIO!$X$92))*(0.04)/(1-0.04)</f>
        <v>0</v>
      </c>
      <c r="AD92" s="52">
        <f ca="1">(SUBSIDIO!$J$92*SUBSIDIO!$Y$92)*(0.02)/(1-0.02)</f>
        <v>187.88299188542538</v>
      </c>
      <c r="AE92" s="52">
        <f>((SUBSIDIO!$L$92*SUBSIDIO!$Z$92)+(SUBSIDIO!$N$92*SUBSIDIO!$AA$92))*(0.02)/(1-0.02)</f>
        <v>0</v>
      </c>
      <c r="AF92" s="4" t="s">
        <v>690</v>
      </c>
    </row>
    <row r="93" spans="1:32" ht="11.25" customHeight="1" x14ac:dyDescent="0.3">
      <c r="A93" s="4" t="s">
        <v>21</v>
      </c>
      <c r="B93" s="4" t="s">
        <v>39</v>
      </c>
      <c r="C93" s="4" t="s">
        <v>40</v>
      </c>
      <c r="D93" s="4" t="s">
        <v>43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198</v>
      </c>
      <c r="K93" s="52">
        <v>198</v>
      </c>
      <c r="L93" s="6">
        <v>0</v>
      </c>
      <c r="M93" s="52">
        <v>0</v>
      </c>
      <c r="N93" s="6">
        <v>0</v>
      </c>
      <c r="O93" s="52">
        <v>0</v>
      </c>
      <c r="P93" s="6">
        <v>1</v>
      </c>
      <c r="Q93" s="4" t="s">
        <v>26</v>
      </c>
      <c r="R93" s="4">
        <v>0</v>
      </c>
      <c r="S93" s="4">
        <v>10</v>
      </c>
      <c r="T93" s="4">
        <v>0</v>
      </c>
      <c r="U93" s="4">
        <v>0</v>
      </c>
      <c r="V93" s="52">
        <f>IF(ISERROR(VLOOKUP($S$93,'TAR FIN'!$A$1:$O$85,15,0)),0,VLOOKUP($S$93,'TAR FIN'!$A$1:$O$85,15,0))*(1-0.04)</f>
        <v>32.716799999999999</v>
      </c>
      <c r="W93" s="52">
        <f>IF(ISERROR(VLOOKUP($T$93,'TAR FIN'!$A$1:$O$85,15,0)),0,VLOOKUP($T$93,'TAR FIN'!$A$1:$O$85,15,0))</f>
        <v>0</v>
      </c>
      <c r="X93" s="52">
        <f>IF(ISERROR(VLOOKUP($U$93,'TAR FIN'!$A$1:$O$85,15,0)),0,VLOOKUP($U$93,'TAR FIN'!$A$1:$O$85,15,0))</f>
        <v>0</v>
      </c>
      <c r="Y93" s="52">
        <f ca="1">('TUSD BE'!$AM$10+'TUSD BF'!$AM$10+'TUSD CVA'!$AM$10)*1*(1-0.02)</f>
        <v>45.128757854832571</v>
      </c>
      <c r="Z93" s="52"/>
      <c r="AA93" s="52"/>
      <c r="AB93" s="52">
        <f>(SUBSIDIO!$J$93*SUBSIDIO!$V$93)*(0.04)/(1-0.04)</f>
        <v>269.91359999999997</v>
      </c>
      <c r="AC93" s="52">
        <f>((SUBSIDIO!$L$93*SUBSIDIO!$W$93)+(SUBSIDIO!$N$93*SUBSIDIO!$X$93))*(0.04)/(1-0.04)</f>
        <v>0</v>
      </c>
      <c r="AD93" s="52">
        <f ca="1">(SUBSIDIO!$J$93*SUBSIDIO!$Y$93)*(0.02)/(1-0.02)</f>
        <v>182.35702153585407</v>
      </c>
      <c r="AE93" s="52">
        <f>((SUBSIDIO!$L$93*SUBSIDIO!$Z$93)+(SUBSIDIO!$N$93*SUBSIDIO!$AA$93))*(0.02)/(1-0.02)</f>
        <v>0</v>
      </c>
      <c r="AF93" s="4" t="s">
        <v>690</v>
      </c>
    </row>
    <row r="94" spans="1:32" ht="11.25" customHeight="1" x14ac:dyDescent="0.3">
      <c r="A94" s="4" t="s">
        <v>21</v>
      </c>
      <c r="B94" s="4" t="s">
        <v>39</v>
      </c>
      <c r="C94" s="4" t="s">
        <v>40</v>
      </c>
      <c r="D94" s="4" t="s">
        <v>43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193</v>
      </c>
      <c r="K94" s="52">
        <v>193</v>
      </c>
      <c r="L94" s="6">
        <v>0</v>
      </c>
      <c r="M94" s="52">
        <v>0</v>
      </c>
      <c r="N94" s="6">
        <v>0</v>
      </c>
      <c r="O94" s="52">
        <v>0</v>
      </c>
      <c r="P94" s="6">
        <v>1</v>
      </c>
      <c r="Q94" s="4" t="s">
        <v>26</v>
      </c>
      <c r="R94" s="4">
        <v>0</v>
      </c>
      <c r="S94" s="4">
        <v>10</v>
      </c>
      <c r="T94" s="4">
        <v>0</v>
      </c>
      <c r="U94" s="4">
        <v>0</v>
      </c>
      <c r="V94" s="52">
        <f>IF(ISERROR(VLOOKUP($S$94,'TAR FIN'!$A$1:$O$85,15,0)),0,VLOOKUP($S$94,'TAR FIN'!$A$1:$O$85,15,0))*(1-0.04)</f>
        <v>32.716799999999999</v>
      </c>
      <c r="W94" s="52">
        <f>IF(ISERROR(VLOOKUP($T$94,'TAR FIN'!$A$1:$O$85,15,0)),0,VLOOKUP($T$94,'TAR FIN'!$A$1:$O$85,15,0))</f>
        <v>0</v>
      </c>
      <c r="X94" s="52">
        <f>IF(ISERROR(VLOOKUP($U$94,'TAR FIN'!$A$1:$O$85,15,0)),0,VLOOKUP($U$94,'TAR FIN'!$A$1:$O$85,15,0))</f>
        <v>0</v>
      </c>
      <c r="Y94" s="52">
        <f ca="1">('TUSD BE'!$AM$10+'TUSD BF'!$AM$10+'TUSD CVA'!$AM$10)*1*(1-0.02)</f>
        <v>45.128757854832571</v>
      </c>
      <c r="Z94" s="52"/>
      <c r="AA94" s="52"/>
      <c r="AB94" s="52">
        <f>(SUBSIDIO!$J$94*SUBSIDIO!$V$94)*(0.04)/(1-0.04)</f>
        <v>263.0976</v>
      </c>
      <c r="AC94" s="52">
        <f>((SUBSIDIO!$L$94*SUBSIDIO!$W$94)+(SUBSIDIO!$N$94*SUBSIDIO!$X$94))*(0.04)/(1-0.04)</f>
        <v>0</v>
      </c>
      <c r="AD94" s="52">
        <f ca="1">(SUBSIDIO!$J$94*SUBSIDIO!$Y$94)*(0.02)/(1-0.02)</f>
        <v>177.75204624454463</v>
      </c>
      <c r="AE94" s="52">
        <f>((SUBSIDIO!$L$94*SUBSIDIO!$Z$94)+(SUBSIDIO!$N$94*SUBSIDIO!$AA$94))*(0.02)/(1-0.02)</f>
        <v>0</v>
      </c>
      <c r="AF94" s="4" t="s">
        <v>690</v>
      </c>
    </row>
    <row r="95" spans="1:32" ht="11.25" customHeight="1" x14ac:dyDescent="0.3">
      <c r="A95" s="4" t="s">
        <v>21</v>
      </c>
      <c r="B95" s="4" t="s">
        <v>39</v>
      </c>
      <c r="C95" s="4" t="s">
        <v>40</v>
      </c>
      <c r="D95" s="4" t="s">
        <v>43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196</v>
      </c>
      <c r="K95" s="52">
        <v>196</v>
      </c>
      <c r="L95" s="6">
        <v>0</v>
      </c>
      <c r="M95" s="52">
        <v>0</v>
      </c>
      <c r="N95" s="6">
        <v>0</v>
      </c>
      <c r="O95" s="52">
        <v>0</v>
      </c>
      <c r="P95" s="6">
        <v>1</v>
      </c>
      <c r="Q95" s="4" t="s">
        <v>26</v>
      </c>
      <c r="R95" s="4">
        <v>0</v>
      </c>
      <c r="S95" s="4">
        <v>10</v>
      </c>
      <c r="T95" s="4">
        <v>0</v>
      </c>
      <c r="U95" s="4">
        <v>0</v>
      </c>
      <c r="V95" s="52">
        <f>IF(ISERROR(VLOOKUP($S$95,'TAR FIN'!$A$1:$O$85,15,0)),0,VLOOKUP($S$95,'TAR FIN'!$A$1:$O$85,15,0))*(1-0.04)</f>
        <v>32.716799999999999</v>
      </c>
      <c r="W95" s="52">
        <f>IF(ISERROR(VLOOKUP($T$95,'TAR FIN'!$A$1:$O$85,15,0)),0,VLOOKUP($T$95,'TAR FIN'!$A$1:$O$85,15,0))</f>
        <v>0</v>
      </c>
      <c r="X95" s="52">
        <f>IF(ISERROR(VLOOKUP($U$95,'TAR FIN'!$A$1:$O$85,15,0)),0,VLOOKUP($U$95,'TAR FIN'!$A$1:$O$85,15,0))</f>
        <v>0</v>
      </c>
      <c r="Y95" s="52">
        <f ca="1">('TUSD BE'!$AM$10+'TUSD BF'!$AM$10+'TUSD CVA'!$AM$10)*1*(1-0.02)</f>
        <v>45.128757854832571</v>
      </c>
      <c r="Z95" s="52"/>
      <c r="AA95" s="52"/>
      <c r="AB95" s="52">
        <f>(SUBSIDIO!$J$95*SUBSIDIO!$V$95)*(0.04)/(1-0.04)</f>
        <v>267.18720000000002</v>
      </c>
      <c r="AC95" s="52">
        <f>((SUBSIDIO!$L$95*SUBSIDIO!$W$95)+(SUBSIDIO!$N$95*SUBSIDIO!$X$95))*(0.04)/(1-0.04)</f>
        <v>0</v>
      </c>
      <c r="AD95" s="52">
        <f ca="1">(SUBSIDIO!$J$95*SUBSIDIO!$Y$95)*(0.02)/(1-0.02)</f>
        <v>180.51503141933028</v>
      </c>
      <c r="AE95" s="52">
        <f>((SUBSIDIO!$L$95*SUBSIDIO!$Z$95)+(SUBSIDIO!$N$95*SUBSIDIO!$AA$95))*(0.02)/(1-0.02)</f>
        <v>0</v>
      </c>
      <c r="AF95" s="4" t="s">
        <v>690</v>
      </c>
    </row>
    <row r="96" spans="1:32" ht="11.25" customHeight="1" x14ac:dyDescent="0.3">
      <c r="A96" s="4" t="s">
        <v>21</v>
      </c>
      <c r="B96" s="4" t="s">
        <v>39</v>
      </c>
      <c r="C96" s="4" t="s">
        <v>40</v>
      </c>
      <c r="D96" s="4" t="s">
        <v>43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44743</v>
      </c>
      <c r="J96" s="6">
        <v>20</v>
      </c>
      <c r="K96" s="52">
        <v>20</v>
      </c>
      <c r="L96" s="6">
        <v>0</v>
      </c>
      <c r="M96" s="52">
        <v>0</v>
      </c>
      <c r="N96" s="6">
        <v>0</v>
      </c>
      <c r="O96" s="52">
        <v>0</v>
      </c>
      <c r="P96" s="6">
        <v>1</v>
      </c>
      <c r="Q96" s="4" t="s">
        <v>26</v>
      </c>
      <c r="R96" s="4">
        <v>0</v>
      </c>
      <c r="S96" s="4">
        <v>10</v>
      </c>
      <c r="T96" s="4">
        <v>0</v>
      </c>
      <c r="U96" s="4">
        <v>0</v>
      </c>
      <c r="V96" s="52">
        <f>IF(ISERROR(VLOOKUP($S$96,'TAR FIN'!$A$1:$O$85,15,0)),0,VLOOKUP($S$96,'TAR FIN'!$A$1:$O$85,15,0))*(1-0.04)</f>
        <v>32.716799999999999</v>
      </c>
      <c r="W96" s="52">
        <f>IF(ISERROR(VLOOKUP($T$96,'TAR FIN'!$A$1:$O$85,15,0)),0,VLOOKUP($T$96,'TAR FIN'!$A$1:$O$85,15,0))</f>
        <v>0</v>
      </c>
      <c r="X96" s="52">
        <f>IF(ISERROR(VLOOKUP($U$96,'TAR FIN'!$A$1:$O$85,15,0)),0,VLOOKUP($U$96,'TAR FIN'!$A$1:$O$85,15,0))</f>
        <v>0</v>
      </c>
      <c r="Y96" s="52">
        <f ca="1">('TUSD BE'!$AM$10+'TUSD BF'!$AM$10+'TUSD CVA'!$AM$10)*1*(1-0.02)</f>
        <v>45.128757854832571</v>
      </c>
      <c r="Z96" s="52"/>
      <c r="AA96" s="52"/>
      <c r="AB96" s="52">
        <f>(SUBSIDIO!$J$96*SUBSIDIO!$V$96)*(0.04)/(1-0.04)</f>
        <v>27.263999999999999</v>
      </c>
      <c r="AC96" s="52">
        <f>((SUBSIDIO!$L$96*SUBSIDIO!$W$96)+(SUBSIDIO!$N$96*SUBSIDIO!$X$96))*(0.04)/(1-0.04)</f>
        <v>0</v>
      </c>
      <c r="AD96" s="52">
        <f ca="1">(SUBSIDIO!$J$96*SUBSIDIO!$Y$96)*(0.02)/(1-0.02)</f>
        <v>18.419901165237786</v>
      </c>
      <c r="AE96" s="52">
        <f>((SUBSIDIO!$L$96*SUBSIDIO!$Z$96)+(SUBSIDIO!$N$96*SUBSIDIO!$AA$96))*(0.02)/(1-0.02)</f>
        <v>0</v>
      </c>
      <c r="AF96" s="4" t="s">
        <v>690</v>
      </c>
    </row>
    <row r="97" spans="1:32" ht="11.25" customHeight="1" x14ac:dyDescent="0.3">
      <c r="A97" s="4" t="s">
        <v>21</v>
      </c>
      <c r="B97" s="4" t="s">
        <v>39</v>
      </c>
      <c r="C97" s="4" t="s">
        <v>40</v>
      </c>
      <c r="D97" s="4" t="s">
        <v>43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198</v>
      </c>
      <c r="K97" s="52">
        <v>198</v>
      </c>
      <c r="L97" s="6">
        <v>0</v>
      </c>
      <c r="M97" s="52">
        <v>0</v>
      </c>
      <c r="N97" s="6">
        <v>0</v>
      </c>
      <c r="O97" s="52">
        <v>0</v>
      </c>
      <c r="P97" s="6">
        <v>1</v>
      </c>
      <c r="Q97" s="4" t="s">
        <v>26</v>
      </c>
      <c r="R97" s="4">
        <v>0</v>
      </c>
      <c r="S97" s="4">
        <v>10</v>
      </c>
      <c r="T97" s="4">
        <v>0</v>
      </c>
      <c r="U97" s="4">
        <v>0</v>
      </c>
      <c r="V97" s="52">
        <f>IF(ISERROR(VLOOKUP($S$97,'TAR FIN'!$A$1:$O$85,15,0)),0,VLOOKUP($S$97,'TAR FIN'!$A$1:$O$85,15,0))*(1-0.04)</f>
        <v>32.716799999999999</v>
      </c>
      <c r="W97" s="52">
        <f>IF(ISERROR(VLOOKUP($T$97,'TAR FIN'!$A$1:$O$85,15,0)),0,VLOOKUP($T$97,'TAR FIN'!$A$1:$O$85,15,0))</f>
        <v>0</v>
      </c>
      <c r="X97" s="52">
        <f>IF(ISERROR(VLOOKUP($U$97,'TAR FIN'!$A$1:$O$85,15,0)),0,VLOOKUP($U$97,'TAR FIN'!$A$1:$O$85,15,0))</f>
        <v>0</v>
      </c>
      <c r="Y97" s="52">
        <f ca="1">('TUSD BE'!$AM$10+'TUSD BF'!$AM$10+'TUSD CVA'!$AM$10)*1*(1-0.02)</f>
        <v>45.128757854832571</v>
      </c>
      <c r="Z97" s="52"/>
      <c r="AA97" s="52"/>
      <c r="AB97" s="52">
        <f>(SUBSIDIO!$J$97*SUBSIDIO!$V$97)*(0.04)/(1-0.04)</f>
        <v>269.91359999999997</v>
      </c>
      <c r="AC97" s="52">
        <f>((SUBSIDIO!$L$97*SUBSIDIO!$W$97)+(SUBSIDIO!$N$97*SUBSIDIO!$X$97))*(0.04)/(1-0.04)</f>
        <v>0</v>
      </c>
      <c r="AD97" s="52">
        <f ca="1">(SUBSIDIO!$J$97*SUBSIDIO!$Y$97)*(0.02)/(1-0.02)</f>
        <v>182.35702153585407</v>
      </c>
      <c r="AE97" s="52">
        <f>((SUBSIDIO!$L$97*SUBSIDIO!$Z$97)+(SUBSIDIO!$N$97*SUBSIDIO!$AA$97))*(0.02)/(1-0.02)</f>
        <v>0</v>
      </c>
      <c r="AF97" s="4" t="s">
        <v>690</v>
      </c>
    </row>
    <row r="98" spans="1:32" ht="11.25" customHeight="1" x14ac:dyDescent="0.3">
      <c r="A98" s="4" t="s">
        <v>21</v>
      </c>
      <c r="B98" s="4" t="s">
        <v>39</v>
      </c>
      <c r="C98" s="4" t="s">
        <v>40</v>
      </c>
      <c r="D98" s="4" t="s">
        <v>43</v>
      </c>
      <c r="E98" s="4" t="s">
        <v>25</v>
      </c>
      <c r="F98" s="4" t="s">
        <v>25</v>
      </c>
      <c r="G98" s="4" t="s">
        <v>25</v>
      </c>
      <c r="H98" s="4" t="s">
        <v>34</v>
      </c>
      <c r="I98" s="5">
        <v>44440</v>
      </c>
      <c r="J98" s="6">
        <v>0</v>
      </c>
      <c r="K98" s="52">
        <v>0</v>
      </c>
      <c r="L98" s="6">
        <v>0.20100000000000001</v>
      </c>
      <c r="M98" s="52">
        <v>0.20100000000000001</v>
      </c>
      <c r="N98" s="6">
        <v>0.20100000000000001</v>
      </c>
      <c r="O98" s="52">
        <v>0.20100000000000001</v>
      </c>
      <c r="P98" s="6">
        <v>0</v>
      </c>
      <c r="Q98" s="4" t="s">
        <v>26</v>
      </c>
      <c r="R98" s="4">
        <v>0</v>
      </c>
      <c r="S98" s="4">
        <v>0</v>
      </c>
      <c r="T98" s="4">
        <v>23</v>
      </c>
      <c r="U98" s="4">
        <v>25</v>
      </c>
      <c r="V98" s="52">
        <f>IF(ISERROR(VLOOKUP($S$98,'TAR FIN'!$A$1:$O$85,15,0)),0,VLOOKUP($S$98,'TAR FIN'!$A$1:$O$85,15,0))</f>
        <v>0</v>
      </c>
      <c r="W98" s="52">
        <f>IF(ISERROR(VLOOKUP($T$98,'TAR FIN'!$A$1:$O$85,15,0)),0,VLOOKUP($T$98,'TAR FIN'!$A$1:$O$85,15,0))*(1-0.04)</f>
        <v>2444.1023999999998</v>
      </c>
      <c r="X98" s="52">
        <f>IF(ISERROR(VLOOKUP($U$98,'TAR FIN'!$A$1:$O$85,15,0)),0,VLOOKUP($U$98,'TAR FIN'!$A$1:$O$85,15,0))*(1-0.04)</f>
        <v>214.1472</v>
      </c>
      <c r="Y98" s="52"/>
      <c r="Z98" s="52">
        <f ca="1">('TUSD BE'!$AM$11+'TUSD BF'!$AM$11+'TUSD CVA'!$AM$11)*1*(1-0.02)</f>
        <v>3526.001284466096</v>
      </c>
      <c r="AA98" s="52">
        <f>('TE BE'!$AB$5+'TE BF'!$AB$5+'TE CVA'!$AB$5)*1*(1-0.02)</f>
        <v>76.399196898794187</v>
      </c>
      <c r="AB98" s="52">
        <f>(SUBSIDIO!$J$98*SUBSIDIO!$V$98)*(0.04)/(1-0.04)</f>
        <v>0</v>
      </c>
      <c r="AC98" s="52">
        <f>((SUBSIDIO!$L$98*SUBSIDIO!$W$98)+(SUBSIDIO!$N$98*SUBSIDIO!$X$98))*(0.04)/(1-0.04)</f>
        <v>22.262840400000002</v>
      </c>
      <c r="AD98" s="52">
        <f>(SUBSIDIO!$J$98*SUBSIDIO!$Y$98)*(0.02)/(1-0.02)</f>
        <v>0</v>
      </c>
      <c r="AE98" s="52">
        <f ca="1">((SUBSIDIO!$L$98*SUBSIDIO!$Z$98)+(SUBSIDIO!$N$98*SUBSIDIO!$AA$98))*(0.02)/(1-0.02)</f>
        <v>14.777193811313124</v>
      </c>
      <c r="AF98" s="4" t="s">
        <v>690</v>
      </c>
    </row>
    <row r="99" spans="1:32" ht="11.25" customHeight="1" x14ac:dyDescent="0.3">
      <c r="A99" s="4" t="s">
        <v>21</v>
      </c>
      <c r="B99" s="4" t="s">
        <v>39</v>
      </c>
      <c r="C99" s="4" t="s">
        <v>40</v>
      </c>
      <c r="D99" s="4" t="s">
        <v>43</v>
      </c>
      <c r="E99" s="4" t="s">
        <v>25</v>
      </c>
      <c r="F99" s="4" t="s">
        <v>25</v>
      </c>
      <c r="G99" s="4" t="s">
        <v>25</v>
      </c>
      <c r="H99" s="4" t="s">
        <v>34</v>
      </c>
      <c r="I99" s="5">
        <v>44470</v>
      </c>
      <c r="J99" s="6">
        <v>0</v>
      </c>
      <c r="K99" s="52">
        <v>0</v>
      </c>
      <c r="L99" s="6">
        <v>0.20799999999999999</v>
      </c>
      <c r="M99" s="52">
        <v>0.20799999999999999</v>
      </c>
      <c r="N99" s="6">
        <v>0.20799999999999999</v>
      </c>
      <c r="O99" s="52">
        <v>0.20799999999999999</v>
      </c>
      <c r="P99" s="6">
        <v>0</v>
      </c>
      <c r="Q99" s="4" t="s">
        <v>26</v>
      </c>
      <c r="R99" s="4">
        <v>0</v>
      </c>
      <c r="S99" s="4">
        <v>0</v>
      </c>
      <c r="T99" s="4">
        <v>23</v>
      </c>
      <c r="U99" s="4">
        <v>25</v>
      </c>
      <c r="V99" s="52">
        <f>IF(ISERROR(VLOOKUP($S$99,'TAR FIN'!$A$1:$O$85,15,0)),0,VLOOKUP($S$99,'TAR FIN'!$A$1:$O$85,15,0))</f>
        <v>0</v>
      </c>
      <c r="W99" s="52">
        <f>IF(ISERROR(VLOOKUP($T$99,'TAR FIN'!$A$1:$O$85,15,0)),0,VLOOKUP($T$99,'TAR FIN'!$A$1:$O$85,15,0))*(1-0.04)</f>
        <v>2444.1023999999998</v>
      </c>
      <c r="X99" s="52">
        <f>IF(ISERROR(VLOOKUP($U$99,'TAR FIN'!$A$1:$O$85,15,0)),0,VLOOKUP($U$99,'TAR FIN'!$A$1:$O$85,15,0))*(1-0.04)</f>
        <v>214.1472</v>
      </c>
      <c r="Y99" s="52"/>
      <c r="Z99" s="52">
        <f ca="1">('TUSD BE'!$AM$11+'TUSD BF'!$AM$11+'TUSD CVA'!$AM$11)*1*(1-0.02)</f>
        <v>3526.001284466096</v>
      </c>
      <c r="AA99" s="52">
        <f>('TE BE'!$AB$5+'TE BF'!$AB$5+'TE CVA'!$AB$5)*1*(1-0.02)</f>
        <v>76.399196898794187</v>
      </c>
      <c r="AB99" s="52">
        <f>(SUBSIDIO!$J$99*SUBSIDIO!$V$99)*(0.04)/(1-0.04)</f>
        <v>0</v>
      </c>
      <c r="AC99" s="52">
        <f>((SUBSIDIO!$L$99*SUBSIDIO!$W$99)+(SUBSIDIO!$N$99*SUBSIDIO!$X$99))*(0.04)/(1-0.04)</f>
        <v>23.038163199999996</v>
      </c>
      <c r="AD99" s="52">
        <f>(SUBSIDIO!$J$99*SUBSIDIO!$Y$99)*(0.02)/(1-0.02)</f>
        <v>0</v>
      </c>
      <c r="AE99" s="52">
        <f ca="1">((SUBSIDIO!$L$99*SUBSIDIO!$Z$99)+(SUBSIDIO!$N$99*SUBSIDIO!$AA$99))*(0.02)/(1-0.02)</f>
        <v>15.291822451508104</v>
      </c>
      <c r="AF99" s="4" t="s">
        <v>690</v>
      </c>
    </row>
    <row r="100" spans="1:32" ht="11.25" customHeight="1" x14ac:dyDescent="0.3">
      <c r="A100" s="4" t="s">
        <v>21</v>
      </c>
      <c r="B100" s="4" t="s">
        <v>39</v>
      </c>
      <c r="C100" s="4" t="s">
        <v>40</v>
      </c>
      <c r="D100" s="4" t="s">
        <v>43</v>
      </c>
      <c r="E100" s="4" t="s">
        <v>25</v>
      </c>
      <c r="F100" s="4" t="s">
        <v>25</v>
      </c>
      <c r="G100" s="4" t="s">
        <v>25</v>
      </c>
      <c r="H100" s="4" t="s">
        <v>34</v>
      </c>
      <c r="I100" s="5">
        <v>44501</v>
      </c>
      <c r="J100" s="6">
        <v>0</v>
      </c>
      <c r="K100" s="52">
        <v>0</v>
      </c>
      <c r="L100" s="6">
        <v>0.245</v>
      </c>
      <c r="M100" s="52">
        <v>0.245</v>
      </c>
      <c r="N100" s="6">
        <v>0.245</v>
      </c>
      <c r="O100" s="52">
        <v>0.245</v>
      </c>
      <c r="P100" s="6">
        <v>0</v>
      </c>
      <c r="Q100" s="4" t="s">
        <v>26</v>
      </c>
      <c r="R100" s="4">
        <v>0</v>
      </c>
      <c r="S100" s="4">
        <v>0</v>
      </c>
      <c r="T100" s="4">
        <v>23</v>
      </c>
      <c r="U100" s="4">
        <v>25</v>
      </c>
      <c r="V100" s="52">
        <f>IF(ISERROR(VLOOKUP($S$100,'TAR FIN'!$A$1:$O$85,15,0)),0,VLOOKUP($S$100,'TAR FIN'!$A$1:$O$85,15,0))</f>
        <v>0</v>
      </c>
      <c r="W100" s="52">
        <f>IF(ISERROR(VLOOKUP($T$100,'TAR FIN'!$A$1:$O$85,15,0)),0,VLOOKUP($T$100,'TAR FIN'!$A$1:$O$85,15,0))*(1-0.04)</f>
        <v>2444.1023999999998</v>
      </c>
      <c r="X100" s="52">
        <f>IF(ISERROR(VLOOKUP($U$100,'TAR FIN'!$A$1:$O$85,15,0)),0,VLOOKUP($U$100,'TAR FIN'!$A$1:$O$85,15,0))*(1-0.04)</f>
        <v>214.1472</v>
      </c>
      <c r="Y100" s="52"/>
      <c r="Z100" s="52">
        <f ca="1">('TUSD BE'!$AM$11+'TUSD BF'!$AM$11+'TUSD CVA'!$AM$11)*1*(1-0.02)</f>
        <v>3526.001284466096</v>
      </c>
      <c r="AA100" s="52">
        <f>('TE BE'!$AB$5+'TE BF'!$AB$5+'TE CVA'!$AB$5)*1*(1-0.02)</f>
        <v>76.399196898794187</v>
      </c>
      <c r="AB100" s="52">
        <f>(SUBSIDIO!$J$100*SUBSIDIO!$V$100)*(0.04)/(1-0.04)</f>
        <v>0</v>
      </c>
      <c r="AC100" s="52">
        <f>((SUBSIDIO!$L$100*SUBSIDIO!$W$100)+(SUBSIDIO!$N$100*SUBSIDIO!$X$100))*(0.04)/(1-0.04)</f>
        <v>27.136297999999996</v>
      </c>
      <c r="AD100" s="52">
        <f>(SUBSIDIO!$J$100*SUBSIDIO!$Y$100)*(0.02)/(1-0.02)</f>
        <v>0</v>
      </c>
      <c r="AE100" s="52">
        <f ca="1">((SUBSIDIO!$L$100*SUBSIDIO!$Z$100)+(SUBSIDIO!$N$100*SUBSIDIO!$AA$100))*(0.02)/(1-0.02)</f>
        <v>18.012002406824454</v>
      </c>
      <c r="AF100" s="4" t="s">
        <v>690</v>
      </c>
    </row>
    <row r="101" spans="1:32" ht="11.25" customHeight="1" x14ac:dyDescent="0.3">
      <c r="A101" s="4" t="s">
        <v>21</v>
      </c>
      <c r="B101" s="4" t="s">
        <v>39</v>
      </c>
      <c r="C101" s="4" t="s">
        <v>40</v>
      </c>
      <c r="D101" s="4" t="s">
        <v>43</v>
      </c>
      <c r="E101" s="4" t="s">
        <v>25</v>
      </c>
      <c r="F101" s="4" t="s">
        <v>25</v>
      </c>
      <c r="G101" s="4" t="s">
        <v>25</v>
      </c>
      <c r="H101" s="4" t="s">
        <v>34</v>
      </c>
      <c r="I101" s="5">
        <v>44531</v>
      </c>
      <c r="J101" s="6">
        <v>0</v>
      </c>
      <c r="K101" s="52">
        <v>0</v>
      </c>
      <c r="L101" s="6">
        <v>0.20300000000000001</v>
      </c>
      <c r="M101" s="52">
        <v>0.20300000000000001</v>
      </c>
      <c r="N101" s="6">
        <v>0.20300000000000001</v>
      </c>
      <c r="O101" s="52">
        <v>0.20300000000000001</v>
      </c>
      <c r="P101" s="6">
        <v>0</v>
      </c>
      <c r="Q101" s="4" t="s">
        <v>26</v>
      </c>
      <c r="R101" s="4">
        <v>0</v>
      </c>
      <c r="S101" s="4">
        <v>0</v>
      </c>
      <c r="T101" s="4">
        <v>23</v>
      </c>
      <c r="U101" s="4">
        <v>25</v>
      </c>
      <c r="V101" s="52">
        <f>IF(ISERROR(VLOOKUP($S$101,'TAR FIN'!$A$1:$O$85,15,0)),0,VLOOKUP($S$101,'TAR FIN'!$A$1:$O$85,15,0))</f>
        <v>0</v>
      </c>
      <c r="W101" s="52">
        <f>IF(ISERROR(VLOOKUP($T$101,'TAR FIN'!$A$1:$O$85,15,0)),0,VLOOKUP($T$101,'TAR FIN'!$A$1:$O$85,15,0))*(1-0.04)</f>
        <v>2444.1023999999998</v>
      </c>
      <c r="X101" s="52">
        <f>IF(ISERROR(VLOOKUP($U$101,'TAR FIN'!$A$1:$O$85,15,0)),0,VLOOKUP($U$101,'TAR FIN'!$A$1:$O$85,15,0))*(1-0.04)</f>
        <v>214.1472</v>
      </c>
      <c r="Y101" s="52"/>
      <c r="Z101" s="52">
        <f ca="1">('TUSD BE'!$AM$11+'TUSD BF'!$AM$11+'TUSD CVA'!$AM$11)*1*(1-0.02)</f>
        <v>3526.001284466096</v>
      </c>
      <c r="AA101" s="52">
        <f>('TE BE'!$AB$5+'TE BF'!$AB$5+'TE CVA'!$AB$5)*1*(1-0.02)</f>
        <v>76.399196898794187</v>
      </c>
      <c r="AB101" s="52">
        <f>(SUBSIDIO!$J$101*SUBSIDIO!$V$101)*(0.04)/(1-0.04)</f>
        <v>0</v>
      </c>
      <c r="AC101" s="52">
        <f>((SUBSIDIO!$L$101*SUBSIDIO!$W$101)+(SUBSIDIO!$N$101*SUBSIDIO!$X$101))*(0.04)/(1-0.04)</f>
        <v>22.484361199999999</v>
      </c>
      <c r="AD101" s="52">
        <f>(SUBSIDIO!$J$101*SUBSIDIO!$Y$101)*(0.02)/(1-0.02)</f>
        <v>0</v>
      </c>
      <c r="AE101" s="52">
        <f ca="1">((SUBSIDIO!$L$101*SUBSIDIO!$Z$101)+(SUBSIDIO!$N$101*SUBSIDIO!$AA$101))*(0.02)/(1-0.02)</f>
        <v>14.924230565654547</v>
      </c>
      <c r="AF101" s="4" t="s">
        <v>690</v>
      </c>
    </row>
    <row r="102" spans="1:32" ht="11.25" customHeight="1" x14ac:dyDescent="0.3">
      <c r="A102" s="4" t="s">
        <v>21</v>
      </c>
      <c r="B102" s="4" t="s">
        <v>39</v>
      </c>
      <c r="C102" s="4" t="s">
        <v>40</v>
      </c>
      <c r="D102" s="4" t="s">
        <v>43</v>
      </c>
      <c r="E102" s="4" t="s">
        <v>25</v>
      </c>
      <c r="F102" s="4" t="s">
        <v>25</v>
      </c>
      <c r="G102" s="4" t="s">
        <v>25</v>
      </c>
      <c r="H102" s="4" t="s">
        <v>34</v>
      </c>
      <c r="I102" s="5">
        <v>44562</v>
      </c>
      <c r="J102" s="6">
        <v>0</v>
      </c>
      <c r="K102" s="52">
        <v>0</v>
      </c>
      <c r="L102" s="6">
        <v>0.16</v>
      </c>
      <c r="M102" s="52">
        <v>0.16</v>
      </c>
      <c r="N102" s="6">
        <v>0.16</v>
      </c>
      <c r="O102" s="52">
        <v>0.16</v>
      </c>
      <c r="P102" s="6">
        <v>0</v>
      </c>
      <c r="Q102" s="4" t="s">
        <v>26</v>
      </c>
      <c r="R102" s="4">
        <v>0</v>
      </c>
      <c r="S102" s="4">
        <v>0</v>
      </c>
      <c r="T102" s="4">
        <v>23</v>
      </c>
      <c r="U102" s="4">
        <v>25</v>
      </c>
      <c r="V102" s="52">
        <f>IF(ISERROR(VLOOKUP($S$102,'TAR FIN'!$A$1:$O$85,15,0)),0,VLOOKUP($S$102,'TAR FIN'!$A$1:$O$85,15,0))</f>
        <v>0</v>
      </c>
      <c r="W102" s="52">
        <f>IF(ISERROR(VLOOKUP($T$102,'TAR FIN'!$A$1:$O$85,15,0)),0,VLOOKUP($T$102,'TAR FIN'!$A$1:$O$85,15,0))*(1-0.04)</f>
        <v>2444.1023999999998</v>
      </c>
      <c r="X102" s="52">
        <f>IF(ISERROR(VLOOKUP($U$102,'TAR FIN'!$A$1:$O$85,15,0)),0,VLOOKUP($U$102,'TAR FIN'!$A$1:$O$85,15,0))*(1-0.04)</f>
        <v>214.1472</v>
      </c>
      <c r="Y102" s="52"/>
      <c r="Z102" s="52">
        <f ca="1">('TUSD BE'!$AM$11+'TUSD BF'!$AM$11+'TUSD CVA'!$AM$11)*1*(1-0.02)</f>
        <v>3526.001284466096</v>
      </c>
      <c r="AA102" s="52">
        <f>('TE BE'!$AB$5+'TE BF'!$AB$5+'TE CVA'!$AB$5)*1*(1-0.02)</f>
        <v>76.399196898794187</v>
      </c>
      <c r="AB102" s="52">
        <f>(SUBSIDIO!$J$102*SUBSIDIO!$V$102)*(0.04)/(1-0.04)</f>
        <v>0</v>
      </c>
      <c r="AC102" s="52">
        <f>((SUBSIDIO!$L$102*SUBSIDIO!$W$102)+(SUBSIDIO!$N$102*SUBSIDIO!$X$102))*(0.04)/(1-0.04)</f>
        <v>17.721664000000001</v>
      </c>
      <c r="AD102" s="52">
        <f>(SUBSIDIO!$J$102*SUBSIDIO!$Y$102)*(0.02)/(1-0.02)</f>
        <v>0</v>
      </c>
      <c r="AE102" s="52">
        <f ca="1">((SUBSIDIO!$L$102*SUBSIDIO!$Z$102)+(SUBSIDIO!$N$102*SUBSIDIO!$AA$102))*(0.02)/(1-0.02)</f>
        <v>11.762940347313929</v>
      </c>
      <c r="AF102" s="4" t="s">
        <v>690</v>
      </c>
    </row>
    <row r="103" spans="1:32" ht="11.25" customHeight="1" x14ac:dyDescent="0.3">
      <c r="A103" s="4" t="s">
        <v>21</v>
      </c>
      <c r="B103" s="4" t="s">
        <v>39</v>
      </c>
      <c r="C103" s="4" t="s">
        <v>40</v>
      </c>
      <c r="D103" s="4" t="s">
        <v>43</v>
      </c>
      <c r="E103" s="4" t="s">
        <v>25</v>
      </c>
      <c r="F103" s="4" t="s">
        <v>25</v>
      </c>
      <c r="G103" s="4" t="s">
        <v>25</v>
      </c>
      <c r="H103" s="4" t="s">
        <v>34</v>
      </c>
      <c r="I103" s="5">
        <v>44593</v>
      </c>
      <c r="J103" s="6">
        <v>0</v>
      </c>
      <c r="K103" s="52">
        <v>0</v>
      </c>
      <c r="L103" s="6">
        <v>0.64700000000000002</v>
      </c>
      <c r="M103" s="52">
        <v>0.64700000000000002</v>
      </c>
      <c r="N103" s="6">
        <v>0.64700000000000002</v>
      </c>
      <c r="O103" s="52">
        <v>0.64700000000000002</v>
      </c>
      <c r="P103" s="6">
        <v>0</v>
      </c>
      <c r="Q103" s="4" t="s">
        <v>26</v>
      </c>
      <c r="R103" s="4">
        <v>0</v>
      </c>
      <c r="S103" s="4">
        <v>0</v>
      </c>
      <c r="T103" s="4">
        <v>23</v>
      </c>
      <c r="U103" s="4">
        <v>25</v>
      </c>
      <c r="V103" s="52">
        <f>IF(ISERROR(VLOOKUP($S$103,'TAR FIN'!$A$1:$O$85,15,0)),0,VLOOKUP($S$103,'TAR FIN'!$A$1:$O$85,15,0))</f>
        <v>0</v>
      </c>
      <c r="W103" s="52">
        <f>IF(ISERROR(VLOOKUP($T$103,'TAR FIN'!$A$1:$O$85,15,0)),0,VLOOKUP($T$103,'TAR FIN'!$A$1:$O$85,15,0))*(1-0.04)</f>
        <v>2444.1023999999998</v>
      </c>
      <c r="X103" s="52">
        <f>IF(ISERROR(VLOOKUP($U$103,'TAR FIN'!$A$1:$O$85,15,0)),0,VLOOKUP($U$103,'TAR FIN'!$A$1:$O$85,15,0))*(1-0.04)</f>
        <v>214.1472</v>
      </c>
      <c r="Y103" s="52"/>
      <c r="Z103" s="52">
        <f ca="1">('TUSD BE'!$AM$11+'TUSD BF'!$AM$11+'TUSD CVA'!$AM$11)*1*(1-0.02)</f>
        <v>3526.001284466096</v>
      </c>
      <c r="AA103" s="52">
        <f>('TE BE'!$AB$5+'TE BF'!$AB$5+'TE CVA'!$AB$5)*1*(1-0.02)</f>
        <v>76.399196898794187</v>
      </c>
      <c r="AB103" s="52">
        <f>(SUBSIDIO!$J$103*SUBSIDIO!$V$103)*(0.04)/(1-0.04)</f>
        <v>0</v>
      </c>
      <c r="AC103" s="52">
        <f>((SUBSIDIO!$L$103*SUBSIDIO!$W$103)+(SUBSIDIO!$N$103*SUBSIDIO!$X$103))*(0.04)/(1-0.04)</f>
        <v>71.6619788</v>
      </c>
      <c r="AD103" s="52">
        <f>(SUBSIDIO!$J$103*SUBSIDIO!$Y$103)*(0.02)/(1-0.02)</f>
        <v>0</v>
      </c>
      <c r="AE103" s="52">
        <f ca="1">((SUBSIDIO!$L$103*SUBSIDIO!$Z$103)+(SUBSIDIO!$N$103*SUBSIDIO!$AA$103))*(0.02)/(1-0.02)</f>
        <v>47.566390029450694</v>
      </c>
      <c r="AF103" s="4" t="s">
        <v>690</v>
      </c>
    </row>
    <row r="104" spans="1:32" ht="11.25" customHeight="1" x14ac:dyDescent="0.3">
      <c r="A104" s="4" t="s">
        <v>21</v>
      </c>
      <c r="B104" s="4" t="s">
        <v>39</v>
      </c>
      <c r="C104" s="4" t="s">
        <v>40</v>
      </c>
      <c r="D104" s="4" t="s">
        <v>43</v>
      </c>
      <c r="E104" s="4" t="s">
        <v>25</v>
      </c>
      <c r="F104" s="4" t="s">
        <v>25</v>
      </c>
      <c r="G104" s="4" t="s">
        <v>25</v>
      </c>
      <c r="H104" s="4" t="s">
        <v>34</v>
      </c>
      <c r="I104" s="5">
        <v>44621</v>
      </c>
      <c r="J104" s="6">
        <v>0</v>
      </c>
      <c r="K104" s="52">
        <v>0</v>
      </c>
      <c r="L104" s="6">
        <v>0.501</v>
      </c>
      <c r="M104" s="52">
        <v>0.501</v>
      </c>
      <c r="N104" s="6">
        <v>0.501</v>
      </c>
      <c r="O104" s="52">
        <v>0.501</v>
      </c>
      <c r="P104" s="6">
        <v>0</v>
      </c>
      <c r="Q104" s="4" t="s">
        <v>26</v>
      </c>
      <c r="R104" s="4">
        <v>0</v>
      </c>
      <c r="S104" s="4">
        <v>0</v>
      </c>
      <c r="T104" s="4">
        <v>23</v>
      </c>
      <c r="U104" s="4">
        <v>25</v>
      </c>
      <c r="V104" s="52">
        <f>IF(ISERROR(VLOOKUP($S$104,'TAR FIN'!$A$1:$O$85,15,0)),0,VLOOKUP($S$104,'TAR FIN'!$A$1:$O$85,15,0))</f>
        <v>0</v>
      </c>
      <c r="W104" s="52">
        <f>IF(ISERROR(VLOOKUP($T$104,'TAR FIN'!$A$1:$O$85,15,0)),0,VLOOKUP($T$104,'TAR FIN'!$A$1:$O$85,15,0))*(1-0.04)</f>
        <v>2444.1023999999998</v>
      </c>
      <c r="X104" s="52">
        <f>IF(ISERROR(VLOOKUP($U$104,'TAR FIN'!$A$1:$O$85,15,0)),0,VLOOKUP($U$104,'TAR FIN'!$A$1:$O$85,15,0))*(1-0.04)</f>
        <v>214.1472</v>
      </c>
      <c r="Y104" s="52"/>
      <c r="Z104" s="52">
        <f ca="1">('TUSD BE'!$AM$11+'TUSD BF'!$AM$11+'TUSD CVA'!$AM$11)*1*(1-0.02)</f>
        <v>3526.001284466096</v>
      </c>
      <c r="AA104" s="52">
        <f>('TE BE'!$AB$5+'TE BF'!$AB$5+'TE CVA'!$AB$5)*1*(1-0.02)</f>
        <v>76.399196898794187</v>
      </c>
      <c r="AB104" s="52">
        <f>(SUBSIDIO!$J$104*SUBSIDIO!$V$104)*(0.04)/(1-0.04)</f>
        <v>0</v>
      </c>
      <c r="AC104" s="52">
        <f>((SUBSIDIO!$L$104*SUBSIDIO!$W$104)+(SUBSIDIO!$N$104*SUBSIDIO!$X$104))*(0.04)/(1-0.04)</f>
        <v>55.490960399999999</v>
      </c>
      <c r="AD104" s="52">
        <f>(SUBSIDIO!$J$104*SUBSIDIO!$Y$104)*(0.02)/(1-0.02)</f>
        <v>0</v>
      </c>
      <c r="AE104" s="52">
        <f ca="1">((SUBSIDIO!$L$104*SUBSIDIO!$Z$104)+(SUBSIDIO!$N$104*SUBSIDIO!$AA$104))*(0.02)/(1-0.02)</f>
        <v>36.832706962526736</v>
      </c>
      <c r="AF104" s="4" t="s">
        <v>690</v>
      </c>
    </row>
    <row r="105" spans="1:32" ht="11.25" customHeight="1" x14ac:dyDescent="0.3">
      <c r="A105" s="4" t="s">
        <v>21</v>
      </c>
      <c r="B105" s="4" t="s">
        <v>39</v>
      </c>
      <c r="C105" s="4" t="s">
        <v>40</v>
      </c>
      <c r="D105" s="4" t="s">
        <v>43</v>
      </c>
      <c r="E105" s="4" t="s">
        <v>25</v>
      </c>
      <c r="F105" s="4" t="s">
        <v>25</v>
      </c>
      <c r="G105" s="4" t="s">
        <v>25</v>
      </c>
      <c r="H105" s="4" t="s">
        <v>34</v>
      </c>
      <c r="I105" s="5">
        <v>44652</v>
      </c>
      <c r="J105" s="6">
        <v>0</v>
      </c>
      <c r="K105" s="52">
        <v>0</v>
      </c>
      <c r="L105" s="6">
        <v>0.442</v>
      </c>
      <c r="M105" s="52">
        <v>0.442</v>
      </c>
      <c r="N105" s="6">
        <v>0.442</v>
      </c>
      <c r="O105" s="52">
        <v>0.442</v>
      </c>
      <c r="P105" s="6">
        <v>0</v>
      </c>
      <c r="Q105" s="4" t="s">
        <v>26</v>
      </c>
      <c r="R105" s="4">
        <v>0</v>
      </c>
      <c r="S105" s="4">
        <v>0</v>
      </c>
      <c r="T105" s="4">
        <v>23</v>
      </c>
      <c r="U105" s="4">
        <v>25</v>
      </c>
      <c r="V105" s="52">
        <f>IF(ISERROR(VLOOKUP($S$105,'TAR FIN'!$A$1:$O$85,15,0)),0,VLOOKUP($S$105,'TAR FIN'!$A$1:$O$85,15,0))</f>
        <v>0</v>
      </c>
      <c r="W105" s="52">
        <f>IF(ISERROR(VLOOKUP($T$105,'TAR FIN'!$A$1:$O$85,15,0)),0,VLOOKUP($T$105,'TAR FIN'!$A$1:$O$85,15,0))*(1-0.04)</f>
        <v>2444.1023999999998</v>
      </c>
      <c r="X105" s="52">
        <f>IF(ISERROR(VLOOKUP($U$105,'TAR FIN'!$A$1:$O$85,15,0)),0,VLOOKUP($U$105,'TAR FIN'!$A$1:$O$85,15,0))*(1-0.04)</f>
        <v>214.1472</v>
      </c>
      <c r="Y105" s="52"/>
      <c r="Z105" s="52">
        <f ca="1">('TUSD BE'!$AM$11+'TUSD BF'!$AM$11+'TUSD CVA'!$AM$11)*1*(1-0.02)</f>
        <v>3526.001284466096</v>
      </c>
      <c r="AA105" s="52">
        <f>('TE BE'!$AB$5+'TE BF'!$AB$5+'TE CVA'!$AB$5)*1*(1-0.02)</f>
        <v>76.399196898794187</v>
      </c>
      <c r="AB105" s="52">
        <f>(SUBSIDIO!$J$105*SUBSIDIO!$V$105)*(0.04)/(1-0.04)</f>
        <v>0</v>
      </c>
      <c r="AC105" s="52">
        <f>((SUBSIDIO!$L$105*SUBSIDIO!$W$105)+(SUBSIDIO!$N$105*SUBSIDIO!$X$105))*(0.04)/(1-0.04)</f>
        <v>48.956096799999997</v>
      </c>
      <c r="AD105" s="52">
        <f>(SUBSIDIO!$J$105*SUBSIDIO!$Y$105)*(0.02)/(1-0.02)</f>
        <v>0</v>
      </c>
      <c r="AE105" s="52">
        <f ca="1">((SUBSIDIO!$L$105*SUBSIDIO!$Z$105)+(SUBSIDIO!$N$105*SUBSIDIO!$AA$105))*(0.02)/(1-0.02)</f>
        <v>32.495122709454726</v>
      </c>
      <c r="AF105" s="4" t="s">
        <v>690</v>
      </c>
    </row>
    <row r="106" spans="1:32" ht="11.25" customHeight="1" x14ac:dyDescent="0.3">
      <c r="A106" s="4" t="s">
        <v>21</v>
      </c>
      <c r="B106" s="4" t="s">
        <v>39</v>
      </c>
      <c r="C106" s="4" t="s">
        <v>40</v>
      </c>
      <c r="D106" s="4" t="s">
        <v>43</v>
      </c>
      <c r="E106" s="4" t="s">
        <v>25</v>
      </c>
      <c r="F106" s="4" t="s">
        <v>25</v>
      </c>
      <c r="G106" s="4" t="s">
        <v>25</v>
      </c>
      <c r="H106" s="4" t="s">
        <v>34</v>
      </c>
      <c r="I106" s="5">
        <v>44682</v>
      </c>
      <c r="J106" s="6">
        <v>0</v>
      </c>
      <c r="K106" s="52">
        <v>0</v>
      </c>
      <c r="L106" s="6">
        <v>0.17</v>
      </c>
      <c r="M106" s="52">
        <v>0.17</v>
      </c>
      <c r="N106" s="6">
        <v>0.17</v>
      </c>
      <c r="O106" s="52">
        <v>0.17</v>
      </c>
      <c r="P106" s="6">
        <v>0</v>
      </c>
      <c r="Q106" s="4" t="s">
        <v>26</v>
      </c>
      <c r="R106" s="4">
        <v>0</v>
      </c>
      <c r="S106" s="4">
        <v>0</v>
      </c>
      <c r="T106" s="4">
        <v>23</v>
      </c>
      <c r="U106" s="4">
        <v>25</v>
      </c>
      <c r="V106" s="52">
        <f>IF(ISERROR(VLOOKUP($S$106,'TAR FIN'!$A$1:$O$85,15,0)),0,VLOOKUP($S$106,'TAR FIN'!$A$1:$O$85,15,0))</f>
        <v>0</v>
      </c>
      <c r="W106" s="52">
        <f>IF(ISERROR(VLOOKUP($T$106,'TAR FIN'!$A$1:$O$85,15,0)),0,VLOOKUP($T$106,'TAR FIN'!$A$1:$O$85,15,0))*(1-0.04)</f>
        <v>2444.1023999999998</v>
      </c>
      <c r="X106" s="52">
        <f>IF(ISERROR(VLOOKUP($U$106,'TAR FIN'!$A$1:$O$85,15,0)),0,VLOOKUP($U$106,'TAR FIN'!$A$1:$O$85,15,0))*(1-0.04)</f>
        <v>214.1472</v>
      </c>
      <c r="Y106" s="52"/>
      <c r="Z106" s="52">
        <f ca="1">('TUSD BE'!$AM$11+'TUSD BF'!$AM$11+'TUSD CVA'!$AM$11)*1*(1-0.02)</f>
        <v>3526.001284466096</v>
      </c>
      <c r="AA106" s="52">
        <f>('TE BE'!$AB$5+'TE BF'!$AB$5+'TE CVA'!$AB$5)*1*(1-0.02)</f>
        <v>76.399196898794187</v>
      </c>
      <c r="AB106" s="52">
        <f>(SUBSIDIO!$J$106*SUBSIDIO!$V$106)*(0.04)/(1-0.04)</f>
        <v>0</v>
      </c>
      <c r="AC106" s="52">
        <f>((SUBSIDIO!$L$106*SUBSIDIO!$W$106)+(SUBSIDIO!$N$106*SUBSIDIO!$X$106))*(0.04)/(1-0.04)</f>
        <v>18.829268000000003</v>
      </c>
      <c r="AD106" s="52">
        <f>(SUBSIDIO!$J$106*SUBSIDIO!$Y$106)*(0.02)/(1-0.02)</f>
        <v>0</v>
      </c>
      <c r="AE106" s="52">
        <f ca="1">((SUBSIDIO!$L$106*SUBSIDIO!$Z$106)+(SUBSIDIO!$N$106*SUBSIDIO!$AA$106))*(0.02)/(1-0.02)</f>
        <v>12.49812411902105</v>
      </c>
      <c r="AF106" s="4" t="s">
        <v>690</v>
      </c>
    </row>
    <row r="107" spans="1:32" ht="11.25" customHeight="1" x14ac:dyDescent="0.3">
      <c r="A107" s="4" t="s">
        <v>21</v>
      </c>
      <c r="B107" s="4" t="s">
        <v>39</v>
      </c>
      <c r="C107" s="4" t="s">
        <v>40</v>
      </c>
      <c r="D107" s="4" t="s">
        <v>43</v>
      </c>
      <c r="E107" s="4" t="s">
        <v>25</v>
      </c>
      <c r="F107" s="4" t="s">
        <v>25</v>
      </c>
      <c r="G107" s="4" t="s">
        <v>25</v>
      </c>
      <c r="H107" s="4" t="s">
        <v>34</v>
      </c>
      <c r="I107" s="5">
        <v>44713</v>
      </c>
      <c r="J107" s="6">
        <v>0</v>
      </c>
      <c r="K107" s="52">
        <v>0</v>
      </c>
      <c r="L107" s="6">
        <v>0.159</v>
      </c>
      <c r="M107" s="52">
        <v>0.159</v>
      </c>
      <c r="N107" s="6">
        <v>0.159</v>
      </c>
      <c r="O107" s="52">
        <v>0.159</v>
      </c>
      <c r="P107" s="6">
        <v>0</v>
      </c>
      <c r="Q107" s="4" t="s">
        <v>26</v>
      </c>
      <c r="R107" s="4">
        <v>0</v>
      </c>
      <c r="S107" s="4">
        <v>0</v>
      </c>
      <c r="T107" s="4">
        <v>23</v>
      </c>
      <c r="U107" s="4">
        <v>25</v>
      </c>
      <c r="V107" s="52">
        <f>IF(ISERROR(VLOOKUP($S$107,'TAR FIN'!$A$1:$O$85,15,0)),0,VLOOKUP($S$107,'TAR FIN'!$A$1:$O$85,15,0))</f>
        <v>0</v>
      </c>
      <c r="W107" s="52">
        <f>IF(ISERROR(VLOOKUP($T$107,'TAR FIN'!$A$1:$O$85,15,0)),0,VLOOKUP($T$107,'TAR FIN'!$A$1:$O$85,15,0))*(1-0.04)</f>
        <v>2444.1023999999998</v>
      </c>
      <c r="X107" s="52">
        <f>IF(ISERROR(VLOOKUP($U$107,'TAR FIN'!$A$1:$O$85,15,0)),0,VLOOKUP($U$107,'TAR FIN'!$A$1:$O$85,15,0))*(1-0.04)</f>
        <v>214.1472</v>
      </c>
      <c r="Y107" s="52"/>
      <c r="Z107" s="52">
        <f ca="1">('TUSD BE'!$AM$11+'TUSD BF'!$AM$11+'TUSD CVA'!$AM$11)*1*(1-0.02)</f>
        <v>3526.001284466096</v>
      </c>
      <c r="AA107" s="52">
        <f>('TE BE'!$AB$5+'TE BF'!$AB$5+'TE CVA'!$AB$5)*1*(1-0.02)</f>
        <v>76.399196898794187</v>
      </c>
      <c r="AB107" s="52">
        <f>(SUBSIDIO!$J$107*SUBSIDIO!$V$107)*(0.04)/(1-0.04)</f>
        <v>0</v>
      </c>
      <c r="AC107" s="52">
        <f>((SUBSIDIO!$L$107*SUBSIDIO!$W$107)+(SUBSIDIO!$N$107*SUBSIDIO!$X$107))*(0.04)/(1-0.04)</f>
        <v>17.610903599999997</v>
      </c>
      <c r="AD107" s="52">
        <f>(SUBSIDIO!$J$107*SUBSIDIO!$Y$107)*(0.02)/(1-0.02)</f>
        <v>0</v>
      </c>
      <c r="AE107" s="52">
        <f ca="1">((SUBSIDIO!$L$107*SUBSIDIO!$Z$107)+(SUBSIDIO!$N$107*SUBSIDIO!$AA$107))*(0.02)/(1-0.02)</f>
        <v>11.689421970143217</v>
      </c>
      <c r="AF107" s="4" t="s">
        <v>690</v>
      </c>
    </row>
    <row r="108" spans="1:32" ht="11.25" customHeight="1" x14ac:dyDescent="0.3">
      <c r="A108" s="4" t="s">
        <v>21</v>
      </c>
      <c r="B108" s="4" t="s">
        <v>39</v>
      </c>
      <c r="C108" s="4" t="s">
        <v>40</v>
      </c>
      <c r="D108" s="4" t="s">
        <v>43</v>
      </c>
      <c r="E108" s="4" t="s">
        <v>25</v>
      </c>
      <c r="F108" s="4" t="s">
        <v>25</v>
      </c>
      <c r="G108" s="4" t="s">
        <v>25</v>
      </c>
      <c r="H108" s="4" t="s">
        <v>34</v>
      </c>
      <c r="I108" s="5">
        <v>44743</v>
      </c>
      <c r="J108" s="6">
        <v>0</v>
      </c>
      <c r="K108" s="52">
        <v>0</v>
      </c>
      <c r="L108" s="6">
        <v>0.14599999999999999</v>
      </c>
      <c r="M108" s="52">
        <v>0.14599999999999999</v>
      </c>
      <c r="N108" s="6">
        <v>0.14599999999999999</v>
      </c>
      <c r="O108" s="52">
        <v>0.14599999999999999</v>
      </c>
      <c r="P108" s="6">
        <v>0</v>
      </c>
      <c r="Q108" s="4" t="s">
        <v>26</v>
      </c>
      <c r="R108" s="4">
        <v>0</v>
      </c>
      <c r="S108" s="4">
        <v>0</v>
      </c>
      <c r="T108" s="4">
        <v>23</v>
      </c>
      <c r="U108" s="4">
        <v>25</v>
      </c>
      <c r="V108" s="52">
        <f>IF(ISERROR(VLOOKUP($S$108,'TAR FIN'!$A$1:$O$85,15,0)),0,VLOOKUP($S$108,'TAR FIN'!$A$1:$O$85,15,0))</f>
        <v>0</v>
      </c>
      <c r="W108" s="52">
        <f>IF(ISERROR(VLOOKUP($T$108,'TAR FIN'!$A$1:$O$85,15,0)),0,VLOOKUP($T$108,'TAR FIN'!$A$1:$O$85,15,0))*(1-0.04)</f>
        <v>2444.1023999999998</v>
      </c>
      <c r="X108" s="52">
        <f>IF(ISERROR(VLOOKUP($U$108,'TAR FIN'!$A$1:$O$85,15,0)),0,VLOOKUP($U$108,'TAR FIN'!$A$1:$O$85,15,0))*(1-0.04)</f>
        <v>214.1472</v>
      </c>
      <c r="Y108" s="52"/>
      <c r="Z108" s="52">
        <f ca="1">('TUSD BE'!$AM$11+'TUSD BF'!$AM$11+'TUSD CVA'!$AM$11)*1*(1-0.02)</f>
        <v>3526.001284466096</v>
      </c>
      <c r="AA108" s="52">
        <f>('TE BE'!$AB$5+'TE BF'!$AB$5+'TE CVA'!$AB$5)*1*(1-0.02)</f>
        <v>76.399196898794187</v>
      </c>
      <c r="AB108" s="52">
        <f>(SUBSIDIO!$J$108*SUBSIDIO!$V$108)*(0.04)/(1-0.04)</f>
        <v>0</v>
      </c>
      <c r="AC108" s="52">
        <f>((SUBSIDIO!$L$108*SUBSIDIO!$W$108)+(SUBSIDIO!$N$108*SUBSIDIO!$X$108))*(0.04)/(1-0.04)</f>
        <v>16.171018399999998</v>
      </c>
      <c r="AD108" s="52">
        <f>(SUBSIDIO!$J$108*SUBSIDIO!$Y$108)*(0.02)/(1-0.02)</f>
        <v>0</v>
      </c>
      <c r="AE108" s="52">
        <f ca="1">((SUBSIDIO!$L$108*SUBSIDIO!$Z$108)+(SUBSIDIO!$N$108*SUBSIDIO!$AA$108))*(0.02)/(1-0.02)</f>
        <v>10.733683066923959</v>
      </c>
      <c r="AF108" s="4" t="s">
        <v>690</v>
      </c>
    </row>
    <row r="109" spans="1:32" ht="11.25" customHeight="1" x14ac:dyDescent="0.3">
      <c r="A109" s="4" t="s">
        <v>21</v>
      </c>
      <c r="B109" s="4" t="s">
        <v>39</v>
      </c>
      <c r="C109" s="4" t="s">
        <v>40</v>
      </c>
      <c r="D109" s="4" t="s">
        <v>43</v>
      </c>
      <c r="E109" s="4" t="s">
        <v>25</v>
      </c>
      <c r="F109" s="4" t="s">
        <v>25</v>
      </c>
      <c r="G109" s="4" t="s">
        <v>25</v>
      </c>
      <c r="H109" s="4" t="s">
        <v>34</v>
      </c>
      <c r="I109" s="5">
        <v>44774</v>
      </c>
      <c r="J109" s="6">
        <v>0</v>
      </c>
      <c r="K109" s="52">
        <v>0</v>
      </c>
      <c r="L109" s="6">
        <v>0.14099999999999999</v>
      </c>
      <c r="M109" s="52">
        <v>0.14099999999999999</v>
      </c>
      <c r="N109" s="6">
        <v>0.14099999999999999</v>
      </c>
      <c r="O109" s="52">
        <v>0.14099999999999999</v>
      </c>
      <c r="P109" s="6">
        <v>0</v>
      </c>
      <c r="Q109" s="4" t="s">
        <v>26</v>
      </c>
      <c r="R109" s="4">
        <v>0</v>
      </c>
      <c r="S109" s="4">
        <v>0</v>
      </c>
      <c r="T109" s="4">
        <v>23</v>
      </c>
      <c r="U109" s="4">
        <v>25</v>
      </c>
      <c r="V109" s="52">
        <f>IF(ISERROR(VLOOKUP($S$109,'TAR FIN'!$A$1:$O$85,15,0)),0,VLOOKUP($S$109,'TAR FIN'!$A$1:$O$85,15,0))</f>
        <v>0</v>
      </c>
      <c r="W109" s="52">
        <f>IF(ISERROR(VLOOKUP($T$109,'TAR FIN'!$A$1:$O$85,15,0)),0,VLOOKUP($T$109,'TAR FIN'!$A$1:$O$85,15,0))*(1-0.04)</f>
        <v>2444.1023999999998</v>
      </c>
      <c r="X109" s="52">
        <f>IF(ISERROR(VLOOKUP($U$109,'TAR FIN'!$A$1:$O$85,15,0)),0,VLOOKUP($U$109,'TAR FIN'!$A$1:$O$85,15,0))*(1-0.04)</f>
        <v>214.1472</v>
      </c>
      <c r="Y109" s="52"/>
      <c r="Z109" s="52">
        <f ca="1">('TUSD BE'!$AM$11+'TUSD BF'!$AM$11+'TUSD CVA'!$AM$11)*1*(1-0.02)</f>
        <v>3526.001284466096</v>
      </c>
      <c r="AA109" s="52">
        <f>('TE BE'!$AB$5+'TE BF'!$AB$5+'TE CVA'!$AB$5)*1*(1-0.02)</f>
        <v>76.399196898794187</v>
      </c>
      <c r="AB109" s="52">
        <f>(SUBSIDIO!$J$109*SUBSIDIO!$V$109)*(0.04)/(1-0.04)</f>
        <v>0</v>
      </c>
      <c r="AC109" s="52">
        <f>((SUBSIDIO!$L$109*SUBSIDIO!$W$109)+(SUBSIDIO!$N$109*SUBSIDIO!$X$109))*(0.04)/(1-0.04)</f>
        <v>15.617216399999997</v>
      </c>
      <c r="AD109" s="52">
        <f>(SUBSIDIO!$J$109*SUBSIDIO!$Y$109)*(0.02)/(1-0.02)</f>
        <v>0</v>
      </c>
      <c r="AE109" s="52">
        <f ca="1">((SUBSIDIO!$L$109*SUBSIDIO!$Z$109)+(SUBSIDIO!$N$109*SUBSIDIO!$AA$109))*(0.02)/(1-0.02)</f>
        <v>10.366091181070399</v>
      </c>
      <c r="AF109" s="4" t="s">
        <v>690</v>
      </c>
    </row>
    <row r="110" spans="1:32" ht="11.25" customHeight="1" x14ac:dyDescent="0.3">
      <c r="A110" s="4" t="s">
        <v>21</v>
      </c>
      <c r="B110" s="4" t="s">
        <v>39</v>
      </c>
      <c r="C110" s="4" t="s">
        <v>40</v>
      </c>
      <c r="D110" s="4" t="s">
        <v>48</v>
      </c>
      <c r="E110" s="4" t="s">
        <v>49</v>
      </c>
      <c r="F110" s="4" t="s">
        <v>25</v>
      </c>
      <c r="G110" s="4" t="s">
        <v>25</v>
      </c>
      <c r="H110" s="4" t="s">
        <v>35</v>
      </c>
      <c r="I110" s="5">
        <v>44440</v>
      </c>
      <c r="J110" s="6">
        <v>0</v>
      </c>
      <c r="K110" s="52">
        <v>0</v>
      </c>
      <c r="L110" s="6">
        <v>138.11699999999999</v>
      </c>
      <c r="M110" s="52">
        <v>138.11699999999999</v>
      </c>
      <c r="N110" s="6">
        <v>138.11699999999999</v>
      </c>
      <c r="O110" s="52">
        <v>138.11699999999999</v>
      </c>
      <c r="P110" s="6">
        <v>0</v>
      </c>
      <c r="Q110" s="4" t="s">
        <v>26</v>
      </c>
      <c r="R110" s="4">
        <v>0</v>
      </c>
      <c r="S110" s="4">
        <v>0</v>
      </c>
      <c r="T110" s="4">
        <v>6</v>
      </c>
      <c r="U110" s="4">
        <v>50</v>
      </c>
      <c r="V110" s="52">
        <f>IF(ISERROR(VLOOKUP($S$110,'TAR FIN'!$A$1:$O$85,15,0)),0,VLOOKUP($S$110,'TAR FIN'!$A$1:$O$85,15,0))</f>
        <v>0</v>
      </c>
      <c r="W110" s="52">
        <f>IF(ISERROR(VLOOKUP($T$110,'TAR FIN'!$A$1:$O$85,15,0)),0,VLOOKUP($T$110,'TAR FIN'!$A$1:$O$85,15,0))*(1-0.06)</f>
        <v>63.440599999999989</v>
      </c>
      <c r="X110" s="52">
        <f>IF(ISERROR(VLOOKUP($U$110,'TAR FIN'!$A$1:$O$85,15,0)),0,VLOOKUP($U$110,'TAR FIN'!$A$1:$O$85,15,0))*(1-0.06)</f>
        <v>209.68579999999997</v>
      </c>
      <c r="Y110" s="52"/>
      <c r="Z110" s="52">
        <f ca="1">('TUSD BE'!$AM$12+'TUSD BF'!$AM$12+'TUSD CVA'!$AM$12)*1*(1-0.03)</f>
        <v>88.678761146834248</v>
      </c>
      <c r="AA110" s="52">
        <f>('TE BE'!$AB$6+'TE BF'!$AB$6+'TE CVA'!$AB$6)*1*(1-0.03)</f>
        <v>75.619613256969757</v>
      </c>
      <c r="AB110" s="52">
        <f>(SUBSIDIO!$J$110*SUBSIDIO!$V$110)*(0.06)/(1-0.06)</f>
        <v>0</v>
      </c>
      <c r="AC110" s="52">
        <f>((SUBSIDIO!$L$110*SUBSIDIO!$W$110)+(SUBSIDIO!$N$110*SUBSIDIO!$X$110))*(0.06)/(1-0.06)</f>
        <v>2407.8765311999996</v>
      </c>
      <c r="AD110" s="52">
        <f>(SUBSIDIO!$J$110*SUBSIDIO!$Y$110)*(0.03)/(1-0.03)</f>
        <v>0</v>
      </c>
      <c r="AE110" s="52">
        <f ca="1">((SUBSIDIO!$L$110*SUBSIDIO!$Z$110)+(SUBSIDIO!$N$110*SUBSIDIO!$AA$110))*(0.03)/(1-0.03)</f>
        <v>701.82676012979994</v>
      </c>
      <c r="AF110" s="4" t="s">
        <v>691</v>
      </c>
    </row>
    <row r="111" spans="1:32" ht="11.25" customHeight="1" x14ac:dyDescent="0.3">
      <c r="A111" s="4" t="s">
        <v>21</v>
      </c>
      <c r="B111" s="4" t="s">
        <v>39</v>
      </c>
      <c r="C111" s="4" t="s">
        <v>40</v>
      </c>
      <c r="D111" s="4" t="s">
        <v>48</v>
      </c>
      <c r="E111" s="4" t="s">
        <v>49</v>
      </c>
      <c r="F111" s="4" t="s">
        <v>25</v>
      </c>
      <c r="G111" s="4" t="s">
        <v>25</v>
      </c>
      <c r="H111" s="4" t="s">
        <v>35</v>
      </c>
      <c r="I111" s="5">
        <v>44470</v>
      </c>
      <c r="J111" s="6">
        <v>0</v>
      </c>
      <c r="K111" s="52">
        <v>0</v>
      </c>
      <c r="L111" s="6">
        <v>152.06100000000001</v>
      </c>
      <c r="M111" s="52">
        <v>152.06100000000001</v>
      </c>
      <c r="N111" s="6">
        <v>152.06100000000001</v>
      </c>
      <c r="O111" s="52">
        <v>152.06100000000001</v>
      </c>
      <c r="P111" s="6">
        <v>0</v>
      </c>
      <c r="Q111" s="4" t="s">
        <v>26</v>
      </c>
      <c r="R111" s="4">
        <v>0</v>
      </c>
      <c r="S111" s="4">
        <v>0</v>
      </c>
      <c r="T111" s="4">
        <v>6</v>
      </c>
      <c r="U111" s="4">
        <v>50</v>
      </c>
      <c r="V111" s="52">
        <f>IF(ISERROR(VLOOKUP($S$111,'TAR FIN'!$A$1:$O$85,15,0)),0,VLOOKUP($S$111,'TAR FIN'!$A$1:$O$85,15,0))</f>
        <v>0</v>
      </c>
      <c r="W111" s="52">
        <f>IF(ISERROR(VLOOKUP($T$111,'TAR FIN'!$A$1:$O$85,15,0)),0,VLOOKUP($T$111,'TAR FIN'!$A$1:$O$85,15,0))*(1-0.06)</f>
        <v>63.440599999999989</v>
      </c>
      <c r="X111" s="52">
        <f>IF(ISERROR(VLOOKUP($U$111,'TAR FIN'!$A$1:$O$85,15,0)),0,VLOOKUP($U$111,'TAR FIN'!$A$1:$O$85,15,0))*(1-0.06)</f>
        <v>209.68579999999997</v>
      </c>
      <c r="Y111" s="52"/>
      <c r="Z111" s="52">
        <f ca="1">('TUSD BE'!$AM$12+'TUSD BF'!$AM$12+'TUSD CVA'!$AM$12)*1*(1-0.03)</f>
        <v>88.678761146834248</v>
      </c>
      <c r="AA111" s="52">
        <f>('TE BE'!$AB$6+'TE BF'!$AB$6+'TE CVA'!$AB$6)*1*(1-0.03)</f>
        <v>75.619613256969757</v>
      </c>
      <c r="AB111" s="52">
        <f>(SUBSIDIO!$J$111*SUBSIDIO!$V$111)*(0.06)/(1-0.06)</f>
        <v>0</v>
      </c>
      <c r="AC111" s="52">
        <f>((SUBSIDIO!$L$111*SUBSIDIO!$W$111)+(SUBSIDIO!$N$111*SUBSIDIO!$X$111))*(0.06)/(1-0.06)</f>
        <v>2650.9706495999999</v>
      </c>
      <c r="AD111" s="52">
        <f>(SUBSIDIO!$J$111*SUBSIDIO!$Y$111)*(0.03)/(1-0.03)</f>
        <v>0</v>
      </c>
      <c r="AE111" s="52">
        <f ca="1">((SUBSIDIO!$L$111*SUBSIDIO!$Z$111)+(SUBSIDIO!$N$111*SUBSIDIO!$AA$111))*(0.03)/(1-0.03)</f>
        <v>772.6817044396962</v>
      </c>
      <c r="AF111" s="4" t="s">
        <v>691</v>
      </c>
    </row>
    <row r="112" spans="1:32" ht="11.25" customHeight="1" x14ac:dyDescent="0.3">
      <c r="A112" s="4" t="s">
        <v>21</v>
      </c>
      <c r="B112" s="4" t="s">
        <v>39</v>
      </c>
      <c r="C112" s="4" t="s">
        <v>40</v>
      </c>
      <c r="D112" s="4" t="s">
        <v>48</v>
      </c>
      <c r="E112" s="4" t="s">
        <v>49</v>
      </c>
      <c r="F112" s="4" t="s">
        <v>25</v>
      </c>
      <c r="G112" s="4" t="s">
        <v>25</v>
      </c>
      <c r="H112" s="4" t="s">
        <v>35</v>
      </c>
      <c r="I112" s="5">
        <v>44501</v>
      </c>
      <c r="J112" s="6">
        <v>0</v>
      </c>
      <c r="K112" s="52">
        <v>0</v>
      </c>
      <c r="L112" s="6">
        <v>155.066</v>
      </c>
      <c r="M112" s="52">
        <v>155.066</v>
      </c>
      <c r="N112" s="6">
        <v>155.066</v>
      </c>
      <c r="O112" s="52">
        <v>155.066</v>
      </c>
      <c r="P112" s="6">
        <v>0</v>
      </c>
      <c r="Q112" s="4" t="s">
        <v>26</v>
      </c>
      <c r="R112" s="4">
        <v>0</v>
      </c>
      <c r="S112" s="4">
        <v>0</v>
      </c>
      <c r="T112" s="4">
        <v>6</v>
      </c>
      <c r="U112" s="4">
        <v>50</v>
      </c>
      <c r="V112" s="52">
        <f>IF(ISERROR(VLOOKUP($S$112,'TAR FIN'!$A$1:$O$85,15,0)),0,VLOOKUP($S$112,'TAR FIN'!$A$1:$O$85,15,0))</f>
        <v>0</v>
      </c>
      <c r="W112" s="52">
        <f>IF(ISERROR(VLOOKUP($T$112,'TAR FIN'!$A$1:$O$85,15,0)),0,VLOOKUP($T$112,'TAR FIN'!$A$1:$O$85,15,0))*(1-0.06)</f>
        <v>63.440599999999989</v>
      </c>
      <c r="X112" s="52">
        <f>IF(ISERROR(VLOOKUP($U$112,'TAR FIN'!$A$1:$O$85,15,0)),0,VLOOKUP($U$112,'TAR FIN'!$A$1:$O$85,15,0))*(1-0.06)</f>
        <v>209.68579999999997</v>
      </c>
      <c r="Y112" s="52"/>
      <c r="Z112" s="52">
        <f ca="1">('TUSD BE'!$AM$12+'TUSD BF'!$AM$12+'TUSD CVA'!$AM$12)*1*(1-0.03)</f>
        <v>88.678761146834248</v>
      </c>
      <c r="AA112" s="52">
        <f>('TE BE'!$AB$6+'TE BF'!$AB$6+'TE CVA'!$AB$6)*1*(1-0.03)</f>
        <v>75.619613256969757</v>
      </c>
      <c r="AB112" s="52">
        <f>(SUBSIDIO!$J$112*SUBSIDIO!$V$112)*(0.06)/(1-0.06)</f>
        <v>0</v>
      </c>
      <c r="AC112" s="52">
        <f>((SUBSIDIO!$L$112*SUBSIDIO!$W$112)+(SUBSIDIO!$N$112*SUBSIDIO!$X$112))*(0.06)/(1-0.06)</f>
        <v>2703.3586175999994</v>
      </c>
      <c r="AD112" s="52">
        <f>(SUBSIDIO!$J$112*SUBSIDIO!$Y$112)*(0.03)/(1-0.03)</f>
        <v>0</v>
      </c>
      <c r="AE112" s="52">
        <f ca="1">((SUBSIDIO!$L$112*SUBSIDIO!$Z$112)+(SUBSIDIO!$N$112*SUBSIDIO!$AA$112))*(0.03)/(1-0.03)</f>
        <v>787.95129047320415</v>
      </c>
      <c r="AF112" s="4" t="s">
        <v>691</v>
      </c>
    </row>
    <row r="113" spans="1:32" ht="11.25" customHeight="1" x14ac:dyDescent="0.3">
      <c r="A113" s="4" t="s">
        <v>21</v>
      </c>
      <c r="B113" s="4" t="s">
        <v>39</v>
      </c>
      <c r="C113" s="4" t="s">
        <v>40</v>
      </c>
      <c r="D113" s="4" t="s">
        <v>48</v>
      </c>
      <c r="E113" s="4" t="s">
        <v>49</v>
      </c>
      <c r="F113" s="4" t="s">
        <v>25</v>
      </c>
      <c r="G113" s="4" t="s">
        <v>25</v>
      </c>
      <c r="H113" s="4" t="s">
        <v>35</v>
      </c>
      <c r="I113" s="5">
        <v>44531</v>
      </c>
      <c r="J113" s="6">
        <v>0</v>
      </c>
      <c r="K113" s="52">
        <v>0</v>
      </c>
      <c r="L113" s="6">
        <v>180.202</v>
      </c>
      <c r="M113" s="52">
        <v>180.202</v>
      </c>
      <c r="N113" s="6">
        <v>180.202</v>
      </c>
      <c r="O113" s="52">
        <v>180.202</v>
      </c>
      <c r="P113" s="6">
        <v>0</v>
      </c>
      <c r="Q113" s="4" t="s">
        <v>26</v>
      </c>
      <c r="R113" s="4">
        <v>0</v>
      </c>
      <c r="S113" s="4">
        <v>0</v>
      </c>
      <c r="T113" s="4">
        <v>6</v>
      </c>
      <c r="U113" s="4">
        <v>50</v>
      </c>
      <c r="V113" s="52">
        <f>IF(ISERROR(VLOOKUP($S$113,'TAR FIN'!$A$1:$O$85,15,0)),0,VLOOKUP($S$113,'TAR FIN'!$A$1:$O$85,15,0))</f>
        <v>0</v>
      </c>
      <c r="W113" s="52">
        <f>IF(ISERROR(VLOOKUP($T$113,'TAR FIN'!$A$1:$O$85,15,0)),0,VLOOKUP($T$113,'TAR FIN'!$A$1:$O$85,15,0))*(1-0.06)</f>
        <v>63.440599999999989</v>
      </c>
      <c r="X113" s="52">
        <f>IF(ISERROR(VLOOKUP($U$113,'TAR FIN'!$A$1:$O$85,15,0)),0,VLOOKUP($U$113,'TAR FIN'!$A$1:$O$85,15,0))*(1-0.06)</f>
        <v>209.68579999999997</v>
      </c>
      <c r="Y113" s="52"/>
      <c r="Z113" s="52">
        <f ca="1">('TUSD BE'!$AM$12+'TUSD BF'!$AM$12+'TUSD CVA'!$AM$12)*1*(1-0.03)</f>
        <v>88.678761146834248</v>
      </c>
      <c r="AA113" s="52">
        <f>('TE BE'!$AB$6+'TE BF'!$AB$6+'TE CVA'!$AB$6)*1*(1-0.03)</f>
        <v>75.619613256969757</v>
      </c>
      <c r="AB113" s="52">
        <f>(SUBSIDIO!$J$113*SUBSIDIO!$V$113)*(0.06)/(1-0.06)</f>
        <v>0</v>
      </c>
      <c r="AC113" s="52">
        <f>((SUBSIDIO!$L$113*SUBSIDIO!$W$113)+(SUBSIDIO!$N$113*SUBSIDIO!$X$113))*(0.06)/(1-0.06)</f>
        <v>3141.5695871999997</v>
      </c>
      <c r="AD113" s="52">
        <f>(SUBSIDIO!$J$113*SUBSIDIO!$Y$113)*(0.03)/(1-0.03)</f>
        <v>0</v>
      </c>
      <c r="AE113" s="52">
        <f ca="1">((SUBSIDIO!$L$113*SUBSIDIO!$Z$113)+(SUBSIDIO!$N$113*SUBSIDIO!$AA$113))*(0.03)/(1-0.03)</f>
        <v>915.67718549425638</v>
      </c>
      <c r="AF113" s="4" t="s">
        <v>691</v>
      </c>
    </row>
    <row r="114" spans="1:32" ht="11.25" customHeight="1" x14ac:dyDescent="0.3">
      <c r="A114" s="4" t="s">
        <v>21</v>
      </c>
      <c r="B114" s="4" t="s">
        <v>39</v>
      </c>
      <c r="C114" s="4" t="s">
        <v>40</v>
      </c>
      <c r="D114" s="4" t="s">
        <v>48</v>
      </c>
      <c r="E114" s="4" t="s">
        <v>49</v>
      </c>
      <c r="F114" s="4" t="s">
        <v>25</v>
      </c>
      <c r="G114" s="4" t="s">
        <v>25</v>
      </c>
      <c r="H114" s="4" t="s">
        <v>35</v>
      </c>
      <c r="I114" s="5">
        <v>44562</v>
      </c>
      <c r="J114" s="6">
        <v>0</v>
      </c>
      <c r="K114" s="52">
        <v>0</v>
      </c>
      <c r="L114" s="6">
        <v>222.1</v>
      </c>
      <c r="M114" s="52">
        <v>222.1</v>
      </c>
      <c r="N114" s="6">
        <v>222.1</v>
      </c>
      <c r="O114" s="52">
        <v>222.1</v>
      </c>
      <c r="P114" s="6">
        <v>0</v>
      </c>
      <c r="Q114" s="4" t="s">
        <v>26</v>
      </c>
      <c r="R114" s="4">
        <v>0</v>
      </c>
      <c r="S114" s="4">
        <v>0</v>
      </c>
      <c r="T114" s="4">
        <v>6</v>
      </c>
      <c r="U114" s="4">
        <v>50</v>
      </c>
      <c r="V114" s="52">
        <f>IF(ISERROR(VLOOKUP($S$114,'TAR FIN'!$A$1:$O$85,15,0)),0,VLOOKUP($S$114,'TAR FIN'!$A$1:$O$85,15,0))</f>
        <v>0</v>
      </c>
      <c r="W114" s="52">
        <f>IF(ISERROR(VLOOKUP($T$114,'TAR FIN'!$A$1:$O$85,15,0)),0,VLOOKUP($T$114,'TAR FIN'!$A$1:$O$85,15,0))*(1-0.06)</f>
        <v>63.440599999999989</v>
      </c>
      <c r="X114" s="52">
        <f>IF(ISERROR(VLOOKUP($U$114,'TAR FIN'!$A$1:$O$85,15,0)),0,VLOOKUP($U$114,'TAR FIN'!$A$1:$O$85,15,0))*(1-0.06)</f>
        <v>209.68579999999997</v>
      </c>
      <c r="Y114" s="52"/>
      <c r="Z114" s="52">
        <f ca="1">('TUSD BE'!$AM$12+'TUSD BF'!$AM$12+'TUSD CVA'!$AM$12)*1*(1-0.03)</f>
        <v>88.678761146834248</v>
      </c>
      <c r="AA114" s="52">
        <f>('TE BE'!$AB$6+'TE BF'!$AB$6+'TE CVA'!$AB$6)*1*(1-0.03)</f>
        <v>75.619613256969757</v>
      </c>
      <c r="AB114" s="52">
        <f>(SUBSIDIO!$J$114*SUBSIDIO!$V$114)*(0.06)/(1-0.06)</f>
        <v>0</v>
      </c>
      <c r="AC114" s="52">
        <f>((SUBSIDIO!$L$114*SUBSIDIO!$W$114)+(SUBSIDIO!$N$114*SUBSIDIO!$X$114))*(0.06)/(1-0.06)</f>
        <v>3872.0025599999999</v>
      </c>
      <c r="AD114" s="52">
        <f>(SUBSIDIO!$J$114*SUBSIDIO!$Y$114)*(0.03)/(1-0.03)</f>
        <v>0</v>
      </c>
      <c r="AE114" s="52">
        <f ca="1">((SUBSIDIO!$L$114*SUBSIDIO!$Z$114)+(SUBSIDIO!$N$114*SUBSIDIO!$AA$114))*(0.03)/(1-0.03)</f>
        <v>1128.5773903634495</v>
      </c>
      <c r="AF114" s="4" t="s">
        <v>691</v>
      </c>
    </row>
    <row r="115" spans="1:32" ht="11.25" customHeight="1" x14ac:dyDescent="0.3">
      <c r="A115" s="4" t="s">
        <v>21</v>
      </c>
      <c r="B115" s="4" t="s">
        <v>39</v>
      </c>
      <c r="C115" s="4" t="s">
        <v>40</v>
      </c>
      <c r="D115" s="4" t="s">
        <v>48</v>
      </c>
      <c r="E115" s="4" t="s">
        <v>49</v>
      </c>
      <c r="F115" s="4" t="s">
        <v>25</v>
      </c>
      <c r="G115" s="4" t="s">
        <v>25</v>
      </c>
      <c r="H115" s="4" t="s">
        <v>35</v>
      </c>
      <c r="I115" s="5">
        <v>44593</v>
      </c>
      <c r="J115" s="6">
        <v>0</v>
      </c>
      <c r="K115" s="52">
        <v>0</v>
      </c>
      <c r="L115" s="6">
        <v>190.614</v>
      </c>
      <c r="M115" s="52">
        <v>190.614</v>
      </c>
      <c r="N115" s="6">
        <v>190.614</v>
      </c>
      <c r="O115" s="52">
        <v>190.614</v>
      </c>
      <c r="P115" s="6">
        <v>0</v>
      </c>
      <c r="Q115" s="4" t="s">
        <v>26</v>
      </c>
      <c r="R115" s="4">
        <v>0</v>
      </c>
      <c r="S115" s="4">
        <v>0</v>
      </c>
      <c r="T115" s="4">
        <v>6</v>
      </c>
      <c r="U115" s="4">
        <v>50</v>
      </c>
      <c r="V115" s="52">
        <f>IF(ISERROR(VLOOKUP($S$115,'TAR FIN'!$A$1:$O$85,15,0)),0,VLOOKUP($S$115,'TAR FIN'!$A$1:$O$85,15,0))</f>
        <v>0</v>
      </c>
      <c r="W115" s="52">
        <f>IF(ISERROR(VLOOKUP($T$115,'TAR FIN'!$A$1:$O$85,15,0)),0,VLOOKUP($T$115,'TAR FIN'!$A$1:$O$85,15,0))*(1-0.06)</f>
        <v>63.440599999999989</v>
      </c>
      <c r="X115" s="52">
        <f>IF(ISERROR(VLOOKUP($U$115,'TAR FIN'!$A$1:$O$85,15,0)),0,VLOOKUP($U$115,'TAR FIN'!$A$1:$O$85,15,0))*(1-0.06)</f>
        <v>209.68579999999997</v>
      </c>
      <c r="Y115" s="52"/>
      <c r="Z115" s="52">
        <f ca="1">('TUSD BE'!$AM$12+'TUSD BF'!$AM$12+'TUSD CVA'!$AM$12)*1*(1-0.03)</f>
        <v>88.678761146834248</v>
      </c>
      <c r="AA115" s="52">
        <f>('TE BE'!$AB$6+'TE BF'!$AB$6+'TE CVA'!$AB$6)*1*(1-0.03)</f>
        <v>75.619613256969757</v>
      </c>
      <c r="AB115" s="52">
        <f>(SUBSIDIO!$J$115*SUBSIDIO!$V$115)*(0.06)/(1-0.06)</f>
        <v>0</v>
      </c>
      <c r="AC115" s="52">
        <f>((SUBSIDIO!$L$115*SUBSIDIO!$W$115)+(SUBSIDIO!$N$115*SUBSIDIO!$X$115))*(0.06)/(1-0.06)</f>
        <v>3323.0882303999997</v>
      </c>
      <c r="AD115" s="52">
        <f>(SUBSIDIO!$J$115*SUBSIDIO!$Y$115)*(0.03)/(1-0.03)</f>
        <v>0</v>
      </c>
      <c r="AE115" s="52">
        <f ca="1">((SUBSIDIO!$L$115*SUBSIDIO!$Z$115)+(SUBSIDIO!$N$115*SUBSIDIO!$AA$115))*(0.03)/(1-0.03)</f>
        <v>968.5846496476297</v>
      </c>
      <c r="AF115" s="4" t="s">
        <v>691</v>
      </c>
    </row>
    <row r="116" spans="1:32" ht="11.25" customHeight="1" x14ac:dyDescent="0.3">
      <c r="A116" s="4" t="s">
        <v>21</v>
      </c>
      <c r="B116" s="4" t="s">
        <v>39</v>
      </c>
      <c r="C116" s="4" t="s">
        <v>40</v>
      </c>
      <c r="D116" s="4" t="s">
        <v>48</v>
      </c>
      <c r="E116" s="4" t="s">
        <v>49</v>
      </c>
      <c r="F116" s="4" t="s">
        <v>25</v>
      </c>
      <c r="G116" s="4" t="s">
        <v>25</v>
      </c>
      <c r="H116" s="4" t="s">
        <v>35</v>
      </c>
      <c r="I116" s="5">
        <v>44621</v>
      </c>
      <c r="J116" s="6">
        <v>0</v>
      </c>
      <c r="K116" s="52">
        <v>0</v>
      </c>
      <c r="L116" s="6">
        <v>182.78899999999999</v>
      </c>
      <c r="M116" s="52">
        <v>182.78899999999999</v>
      </c>
      <c r="N116" s="6">
        <v>182.78899999999999</v>
      </c>
      <c r="O116" s="52">
        <v>182.78899999999999</v>
      </c>
      <c r="P116" s="6">
        <v>0</v>
      </c>
      <c r="Q116" s="4" t="s">
        <v>26</v>
      </c>
      <c r="R116" s="4">
        <v>0</v>
      </c>
      <c r="S116" s="4">
        <v>0</v>
      </c>
      <c r="T116" s="4">
        <v>6</v>
      </c>
      <c r="U116" s="4">
        <v>50</v>
      </c>
      <c r="V116" s="52">
        <f>IF(ISERROR(VLOOKUP($S$116,'TAR FIN'!$A$1:$O$85,15,0)),0,VLOOKUP($S$116,'TAR FIN'!$A$1:$O$85,15,0))</f>
        <v>0</v>
      </c>
      <c r="W116" s="52">
        <f>IF(ISERROR(VLOOKUP($T$116,'TAR FIN'!$A$1:$O$85,15,0)),0,VLOOKUP($T$116,'TAR FIN'!$A$1:$O$85,15,0))*(1-0.06)</f>
        <v>63.440599999999989</v>
      </c>
      <c r="X116" s="52">
        <f>IF(ISERROR(VLOOKUP($U$116,'TAR FIN'!$A$1:$O$85,15,0)),0,VLOOKUP($U$116,'TAR FIN'!$A$1:$O$85,15,0))*(1-0.06)</f>
        <v>209.68579999999997</v>
      </c>
      <c r="Y116" s="52"/>
      <c r="Z116" s="52">
        <f ca="1">('TUSD BE'!$AM$12+'TUSD BF'!$AM$12+'TUSD CVA'!$AM$12)*1*(1-0.03)</f>
        <v>88.678761146834248</v>
      </c>
      <c r="AA116" s="52">
        <f>('TE BE'!$AB$6+'TE BF'!$AB$6+'TE CVA'!$AB$6)*1*(1-0.03)</f>
        <v>75.619613256969757</v>
      </c>
      <c r="AB116" s="52">
        <f>(SUBSIDIO!$J$116*SUBSIDIO!$V$116)*(0.06)/(1-0.06)</f>
        <v>0</v>
      </c>
      <c r="AC116" s="52">
        <f>((SUBSIDIO!$L$116*SUBSIDIO!$W$116)+(SUBSIDIO!$N$116*SUBSIDIO!$X$116))*(0.06)/(1-0.06)</f>
        <v>3186.6703103999994</v>
      </c>
      <c r="AD116" s="52">
        <f>(SUBSIDIO!$J$116*SUBSIDIO!$Y$116)*(0.03)/(1-0.03)</f>
        <v>0</v>
      </c>
      <c r="AE116" s="52">
        <f ca="1">((SUBSIDIO!$L$116*SUBSIDIO!$Z$116)+(SUBSIDIO!$N$116*SUBSIDIO!$AA$116))*(0.03)/(1-0.03)</f>
        <v>928.82274924423484</v>
      </c>
      <c r="AF116" s="4" t="s">
        <v>691</v>
      </c>
    </row>
    <row r="117" spans="1:32" ht="11.25" customHeight="1" x14ac:dyDescent="0.3">
      <c r="A117" s="4" t="s">
        <v>21</v>
      </c>
      <c r="B117" s="4" t="s">
        <v>39</v>
      </c>
      <c r="C117" s="4" t="s">
        <v>40</v>
      </c>
      <c r="D117" s="4" t="s">
        <v>48</v>
      </c>
      <c r="E117" s="4" t="s">
        <v>49</v>
      </c>
      <c r="F117" s="4" t="s">
        <v>25</v>
      </c>
      <c r="G117" s="4" t="s">
        <v>25</v>
      </c>
      <c r="H117" s="4" t="s">
        <v>35</v>
      </c>
      <c r="I117" s="5">
        <v>44652</v>
      </c>
      <c r="J117" s="6">
        <v>0</v>
      </c>
      <c r="K117" s="52">
        <v>0</v>
      </c>
      <c r="L117" s="6">
        <v>182.22300000000001</v>
      </c>
      <c r="M117" s="52">
        <v>182.22300000000001</v>
      </c>
      <c r="N117" s="6">
        <v>182.22300000000001</v>
      </c>
      <c r="O117" s="52">
        <v>182.22300000000001</v>
      </c>
      <c r="P117" s="6">
        <v>0</v>
      </c>
      <c r="Q117" s="4" t="s">
        <v>26</v>
      </c>
      <c r="R117" s="4">
        <v>0</v>
      </c>
      <c r="S117" s="4">
        <v>0</v>
      </c>
      <c r="T117" s="4">
        <v>6</v>
      </c>
      <c r="U117" s="4">
        <v>50</v>
      </c>
      <c r="V117" s="52">
        <f>IF(ISERROR(VLOOKUP($S$117,'TAR FIN'!$A$1:$O$85,15,0)),0,VLOOKUP($S$117,'TAR FIN'!$A$1:$O$85,15,0))</f>
        <v>0</v>
      </c>
      <c r="W117" s="52">
        <f>IF(ISERROR(VLOOKUP($T$117,'TAR FIN'!$A$1:$O$85,15,0)),0,VLOOKUP($T$117,'TAR FIN'!$A$1:$O$85,15,0))*(1-0.06)</f>
        <v>63.440599999999989</v>
      </c>
      <c r="X117" s="52">
        <f>IF(ISERROR(VLOOKUP($U$117,'TAR FIN'!$A$1:$O$85,15,0)),0,VLOOKUP($U$117,'TAR FIN'!$A$1:$O$85,15,0))*(1-0.06)</f>
        <v>209.68579999999997</v>
      </c>
      <c r="Y117" s="52"/>
      <c r="Z117" s="52">
        <f ca="1">('TUSD BE'!$AM$12+'TUSD BF'!$AM$12+'TUSD CVA'!$AM$12)*1*(1-0.03)</f>
        <v>88.678761146834248</v>
      </c>
      <c r="AA117" s="52">
        <f>('TE BE'!$AB$6+'TE BF'!$AB$6+'TE CVA'!$AB$6)*1*(1-0.03)</f>
        <v>75.619613256969757</v>
      </c>
      <c r="AB117" s="52">
        <f>(SUBSIDIO!$J$117*SUBSIDIO!$V$117)*(0.06)/(1-0.06)</f>
        <v>0</v>
      </c>
      <c r="AC117" s="52">
        <f>((SUBSIDIO!$L$117*SUBSIDIO!$W$117)+(SUBSIDIO!$N$117*SUBSIDIO!$X$117))*(0.06)/(1-0.06)</f>
        <v>3176.8028927999999</v>
      </c>
      <c r="AD117" s="52">
        <f>(SUBSIDIO!$J$117*SUBSIDIO!$Y$117)*(0.03)/(1-0.03)</f>
        <v>0</v>
      </c>
      <c r="AE117" s="52">
        <f ca="1">((SUBSIDIO!$L$117*SUBSIDIO!$Z$117)+(SUBSIDIO!$N$117*SUBSIDIO!$AA$117))*(0.03)/(1-0.03)</f>
        <v>925.94668079333132</v>
      </c>
      <c r="AF117" s="4" t="s">
        <v>691</v>
      </c>
    </row>
    <row r="118" spans="1:32" ht="11.25" customHeight="1" x14ac:dyDescent="0.3">
      <c r="A118" s="4" t="s">
        <v>21</v>
      </c>
      <c r="B118" s="4" t="s">
        <v>39</v>
      </c>
      <c r="C118" s="4" t="s">
        <v>40</v>
      </c>
      <c r="D118" s="4" t="s">
        <v>48</v>
      </c>
      <c r="E118" s="4" t="s">
        <v>49</v>
      </c>
      <c r="F118" s="4" t="s">
        <v>25</v>
      </c>
      <c r="G118" s="4" t="s">
        <v>25</v>
      </c>
      <c r="H118" s="4" t="s">
        <v>35</v>
      </c>
      <c r="I118" s="5">
        <v>44682</v>
      </c>
      <c r="J118" s="6">
        <v>0</v>
      </c>
      <c r="K118" s="52">
        <v>0</v>
      </c>
      <c r="L118" s="6">
        <v>172.721</v>
      </c>
      <c r="M118" s="52">
        <v>172.721</v>
      </c>
      <c r="N118" s="6">
        <v>172.721</v>
      </c>
      <c r="O118" s="52">
        <v>172.721</v>
      </c>
      <c r="P118" s="6">
        <v>0</v>
      </c>
      <c r="Q118" s="4" t="s">
        <v>26</v>
      </c>
      <c r="R118" s="4">
        <v>0</v>
      </c>
      <c r="S118" s="4">
        <v>0</v>
      </c>
      <c r="T118" s="4">
        <v>6</v>
      </c>
      <c r="U118" s="4">
        <v>50</v>
      </c>
      <c r="V118" s="52">
        <f>IF(ISERROR(VLOOKUP($S$118,'TAR FIN'!$A$1:$O$85,15,0)),0,VLOOKUP($S$118,'TAR FIN'!$A$1:$O$85,15,0))</f>
        <v>0</v>
      </c>
      <c r="W118" s="52">
        <f>IF(ISERROR(VLOOKUP($T$118,'TAR FIN'!$A$1:$O$85,15,0)),0,VLOOKUP($T$118,'TAR FIN'!$A$1:$O$85,15,0))*(1-0.06)</f>
        <v>63.440599999999989</v>
      </c>
      <c r="X118" s="52">
        <f>IF(ISERROR(VLOOKUP($U$118,'TAR FIN'!$A$1:$O$85,15,0)),0,VLOOKUP($U$118,'TAR FIN'!$A$1:$O$85,15,0))*(1-0.06)</f>
        <v>209.68579999999997</v>
      </c>
      <c r="Y118" s="52"/>
      <c r="Z118" s="52">
        <f ca="1">('TUSD BE'!$AM$12+'TUSD BF'!$AM$12+'TUSD CVA'!$AM$12)*1*(1-0.03)</f>
        <v>88.678761146834248</v>
      </c>
      <c r="AA118" s="52">
        <f>('TE BE'!$AB$6+'TE BF'!$AB$6+'TE CVA'!$AB$6)*1*(1-0.03)</f>
        <v>75.619613256969757</v>
      </c>
      <c r="AB118" s="52">
        <f>(SUBSIDIO!$J$118*SUBSIDIO!$V$118)*(0.06)/(1-0.06)</f>
        <v>0</v>
      </c>
      <c r="AC118" s="52">
        <f>((SUBSIDIO!$L$118*SUBSIDIO!$W$118)+(SUBSIDIO!$N$118*SUBSIDIO!$X$118))*(0.06)/(1-0.06)</f>
        <v>3011.1488255999993</v>
      </c>
      <c r="AD118" s="52">
        <f>(SUBSIDIO!$J$118*SUBSIDIO!$Y$118)*(0.03)/(1-0.03)</f>
        <v>0</v>
      </c>
      <c r="AE118" s="52">
        <f ca="1">((SUBSIDIO!$L$118*SUBSIDIO!$Z$118)+(SUBSIDIO!$N$118*SUBSIDIO!$AA$118))*(0.03)/(1-0.03)</f>
        <v>877.66328429070415</v>
      </c>
      <c r="AF118" s="4" t="s">
        <v>691</v>
      </c>
    </row>
    <row r="119" spans="1:32" ht="11.25" customHeight="1" x14ac:dyDescent="0.3">
      <c r="A119" s="4" t="s">
        <v>21</v>
      </c>
      <c r="B119" s="4" t="s">
        <v>39</v>
      </c>
      <c r="C119" s="4" t="s">
        <v>40</v>
      </c>
      <c r="D119" s="4" t="s">
        <v>48</v>
      </c>
      <c r="E119" s="4" t="s">
        <v>49</v>
      </c>
      <c r="F119" s="4" t="s">
        <v>25</v>
      </c>
      <c r="G119" s="4" t="s">
        <v>25</v>
      </c>
      <c r="H119" s="4" t="s">
        <v>35</v>
      </c>
      <c r="I119" s="5">
        <v>44713</v>
      </c>
      <c r="J119" s="6">
        <v>0</v>
      </c>
      <c r="K119" s="52">
        <v>0</v>
      </c>
      <c r="L119" s="6">
        <v>150.96</v>
      </c>
      <c r="M119" s="52">
        <v>150.96</v>
      </c>
      <c r="N119" s="6">
        <v>150.96</v>
      </c>
      <c r="O119" s="52">
        <v>150.96</v>
      </c>
      <c r="P119" s="6">
        <v>0</v>
      </c>
      <c r="Q119" s="4" t="s">
        <v>26</v>
      </c>
      <c r="R119" s="4">
        <v>0</v>
      </c>
      <c r="S119" s="4">
        <v>0</v>
      </c>
      <c r="T119" s="4">
        <v>6</v>
      </c>
      <c r="U119" s="4">
        <v>50</v>
      </c>
      <c r="V119" s="52">
        <f>IF(ISERROR(VLOOKUP($S$119,'TAR FIN'!$A$1:$O$85,15,0)),0,VLOOKUP($S$119,'TAR FIN'!$A$1:$O$85,15,0))</f>
        <v>0</v>
      </c>
      <c r="W119" s="52">
        <f>IF(ISERROR(VLOOKUP($T$119,'TAR FIN'!$A$1:$O$85,15,0)),0,VLOOKUP($T$119,'TAR FIN'!$A$1:$O$85,15,0))*(1-0.06)</f>
        <v>63.440599999999989</v>
      </c>
      <c r="X119" s="52">
        <f>IF(ISERROR(VLOOKUP($U$119,'TAR FIN'!$A$1:$O$85,15,0)),0,VLOOKUP($U$119,'TAR FIN'!$A$1:$O$85,15,0))*(1-0.06)</f>
        <v>209.68579999999997</v>
      </c>
      <c r="Y119" s="52"/>
      <c r="Z119" s="52">
        <f ca="1">('TUSD BE'!$AM$12+'TUSD BF'!$AM$12+'TUSD CVA'!$AM$12)*1*(1-0.03)</f>
        <v>88.678761146834248</v>
      </c>
      <c r="AA119" s="52">
        <f>('TE BE'!$AB$6+'TE BF'!$AB$6+'TE CVA'!$AB$6)*1*(1-0.03)</f>
        <v>75.619613256969757</v>
      </c>
      <c r="AB119" s="52">
        <f>(SUBSIDIO!$J$119*SUBSIDIO!$V$119)*(0.06)/(1-0.06)</f>
        <v>0</v>
      </c>
      <c r="AC119" s="52">
        <f>((SUBSIDIO!$L$119*SUBSIDIO!$W$119)+(SUBSIDIO!$N$119*SUBSIDIO!$X$119))*(0.06)/(1-0.06)</f>
        <v>2631.7762560000001</v>
      </c>
      <c r="AD119" s="52">
        <f>(SUBSIDIO!$J$119*SUBSIDIO!$Y$119)*(0.03)/(1-0.03)</f>
        <v>0</v>
      </c>
      <c r="AE119" s="52">
        <f ca="1">((SUBSIDIO!$L$119*SUBSIDIO!$Z$119)+(SUBSIDIO!$N$119*SUBSIDIO!$AA$119))*(0.03)/(1-0.03)</f>
        <v>767.08709072159559</v>
      </c>
      <c r="AF119" s="4" t="s">
        <v>691</v>
      </c>
    </row>
    <row r="120" spans="1:32" ht="11.25" customHeight="1" x14ac:dyDescent="0.3">
      <c r="A120" s="4" t="s">
        <v>21</v>
      </c>
      <c r="B120" s="4" t="s">
        <v>39</v>
      </c>
      <c r="C120" s="4" t="s">
        <v>40</v>
      </c>
      <c r="D120" s="4" t="s">
        <v>48</v>
      </c>
      <c r="E120" s="4" t="s">
        <v>49</v>
      </c>
      <c r="F120" s="4" t="s">
        <v>25</v>
      </c>
      <c r="G120" s="4" t="s">
        <v>25</v>
      </c>
      <c r="H120" s="4" t="s">
        <v>35</v>
      </c>
      <c r="I120" s="5">
        <v>44743</v>
      </c>
      <c r="J120" s="6">
        <v>0</v>
      </c>
      <c r="K120" s="52">
        <v>0</v>
      </c>
      <c r="L120" s="6">
        <v>167.42699999999999</v>
      </c>
      <c r="M120" s="52">
        <v>167.42699999999999</v>
      </c>
      <c r="N120" s="6">
        <v>167.42699999999999</v>
      </c>
      <c r="O120" s="52">
        <v>167.42699999999999</v>
      </c>
      <c r="P120" s="6">
        <v>0</v>
      </c>
      <c r="Q120" s="4" t="s">
        <v>26</v>
      </c>
      <c r="R120" s="4">
        <v>0</v>
      </c>
      <c r="S120" s="4">
        <v>0</v>
      </c>
      <c r="T120" s="4">
        <v>6</v>
      </c>
      <c r="U120" s="4">
        <v>50</v>
      </c>
      <c r="V120" s="52">
        <f>IF(ISERROR(VLOOKUP($S$120,'TAR FIN'!$A$1:$O$85,15,0)),0,VLOOKUP($S$120,'TAR FIN'!$A$1:$O$85,15,0))</f>
        <v>0</v>
      </c>
      <c r="W120" s="52">
        <f>IF(ISERROR(VLOOKUP($T$120,'TAR FIN'!$A$1:$O$85,15,0)),0,VLOOKUP($T$120,'TAR FIN'!$A$1:$O$85,15,0))*(1-0.06)</f>
        <v>63.440599999999989</v>
      </c>
      <c r="X120" s="52">
        <f>IF(ISERROR(VLOOKUP($U$120,'TAR FIN'!$A$1:$O$85,15,0)),0,VLOOKUP($U$120,'TAR FIN'!$A$1:$O$85,15,0))*(1-0.06)</f>
        <v>209.68579999999997</v>
      </c>
      <c r="Y120" s="52"/>
      <c r="Z120" s="52">
        <f ca="1">('TUSD BE'!$AM$12+'TUSD BF'!$AM$12+'TUSD CVA'!$AM$12)*1*(1-0.03)</f>
        <v>88.678761146834248</v>
      </c>
      <c r="AA120" s="52">
        <f>('TE BE'!$AB$6+'TE BF'!$AB$6+'TE CVA'!$AB$6)*1*(1-0.03)</f>
        <v>75.619613256969757</v>
      </c>
      <c r="AB120" s="52">
        <f>(SUBSIDIO!$J$120*SUBSIDIO!$V$120)*(0.06)/(1-0.06)</f>
        <v>0</v>
      </c>
      <c r="AC120" s="52">
        <f>((SUBSIDIO!$L$120*SUBSIDIO!$W$120)+(SUBSIDIO!$N$120*SUBSIDIO!$X$120))*(0.06)/(1-0.06)</f>
        <v>2918.855347199999</v>
      </c>
      <c r="AD120" s="52">
        <f>(SUBSIDIO!$J$120*SUBSIDIO!$Y$120)*(0.03)/(1-0.03)</f>
        <v>0</v>
      </c>
      <c r="AE120" s="52">
        <f ca="1">((SUBSIDIO!$L$120*SUBSIDIO!$Z$120)+(SUBSIDIO!$N$120*SUBSIDIO!$AA$120))*(0.03)/(1-0.03)</f>
        <v>850.76238962801119</v>
      </c>
      <c r="AF120" s="4" t="s">
        <v>691</v>
      </c>
    </row>
    <row r="121" spans="1:32" ht="11.25" customHeight="1" x14ac:dyDescent="0.3">
      <c r="A121" s="4" t="s">
        <v>21</v>
      </c>
      <c r="B121" s="4" t="s">
        <v>39</v>
      </c>
      <c r="C121" s="4" t="s">
        <v>40</v>
      </c>
      <c r="D121" s="4" t="s">
        <v>48</v>
      </c>
      <c r="E121" s="4" t="s">
        <v>49</v>
      </c>
      <c r="F121" s="4" t="s">
        <v>25</v>
      </c>
      <c r="G121" s="4" t="s">
        <v>25</v>
      </c>
      <c r="H121" s="4" t="s">
        <v>35</v>
      </c>
      <c r="I121" s="5">
        <v>44774</v>
      </c>
      <c r="J121" s="6">
        <v>0</v>
      </c>
      <c r="K121" s="52">
        <v>0</v>
      </c>
      <c r="L121" s="6">
        <v>161.76599999999999</v>
      </c>
      <c r="M121" s="52">
        <v>161.76599999999999</v>
      </c>
      <c r="N121" s="6">
        <v>161.76599999999999</v>
      </c>
      <c r="O121" s="52">
        <v>161.76599999999999</v>
      </c>
      <c r="P121" s="6">
        <v>0</v>
      </c>
      <c r="Q121" s="4" t="s">
        <v>26</v>
      </c>
      <c r="R121" s="4">
        <v>0</v>
      </c>
      <c r="S121" s="4">
        <v>0</v>
      </c>
      <c r="T121" s="4">
        <v>6</v>
      </c>
      <c r="U121" s="4">
        <v>50</v>
      </c>
      <c r="V121" s="52">
        <f>IF(ISERROR(VLOOKUP($S$121,'TAR FIN'!$A$1:$O$85,15,0)),0,VLOOKUP($S$121,'TAR FIN'!$A$1:$O$85,15,0))</f>
        <v>0</v>
      </c>
      <c r="W121" s="52">
        <f>IF(ISERROR(VLOOKUP($T$121,'TAR FIN'!$A$1:$O$85,15,0)),0,VLOOKUP($T$121,'TAR FIN'!$A$1:$O$85,15,0))*(1-0.06)</f>
        <v>63.440599999999989</v>
      </c>
      <c r="X121" s="52">
        <f>IF(ISERROR(VLOOKUP($U$121,'TAR FIN'!$A$1:$O$85,15,0)),0,VLOOKUP($U$121,'TAR FIN'!$A$1:$O$85,15,0))*(1-0.06)</f>
        <v>209.68579999999997</v>
      </c>
      <c r="Y121" s="52"/>
      <c r="Z121" s="52">
        <f ca="1">('TUSD BE'!$AM$12+'TUSD BF'!$AM$12+'TUSD CVA'!$AM$12)*1*(1-0.03)</f>
        <v>88.678761146834248</v>
      </c>
      <c r="AA121" s="52">
        <f>('TE BE'!$AB$6+'TE BF'!$AB$6+'TE CVA'!$AB$6)*1*(1-0.03)</f>
        <v>75.619613256969757</v>
      </c>
      <c r="AB121" s="52">
        <f>(SUBSIDIO!$J$121*SUBSIDIO!$V$121)*(0.06)/(1-0.06)</f>
        <v>0</v>
      </c>
      <c r="AC121" s="52">
        <f>((SUBSIDIO!$L$121*SUBSIDIO!$W$121)+(SUBSIDIO!$N$121*SUBSIDIO!$X$121))*(0.06)/(1-0.06)</f>
        <v>2820.1637375999994</v>
      </c>
      <c r="AD121" s="52">
        <f>(SUBSIDIO!$J$121*SUBSIDIO!$Y$121)*(0.03)/(1-0.03)</f>
        <v>0</v>
      </c>
      <c r="AE121" s="52">
        <f ca="1">((SUBSIDIO!$L$121*SUBSIDIO!$Z$121)+(SUBSIDIO!$N$121*SUBSIDIO!$AA$121))*(0.03)/(1-0.03)</f>
        <v>821.99662372595128</v>
      </c>
      <c r="AF121" s="4" t="s">
        <v>691</v>
      </c>
    </row>
    <row r="122" spans="1:32" ht="11.25" customHeight="1" x14ac:dyDescent="0.3">
      <c r="A122" s="4" t="s">
        <v>21</v>
      </c>
      <c r="B122" s="4" t="s">
        <v>39</v>
      </c>
      <c r="C122" s="4" t="s">
        <v>40</v>
      </c>
      <c r="D122" s="4" t="s">
        <v>48</v>
      </c>
      <c r="E122" s="4" t="s">
        <v>49</v>
      </c>
      <c r="F122" s="4" t="s">
        <v>25</v>
      </c>
      <c r="G122" s="4" t="s">
        <v>25</v>
      </c>
      <c r="H122" s="4" t="s">
        <v>25</v>
      </c>
      <c r="I122" s="5">
        <v>44440</v>
      </c>
      <c r="J122" s="6">
        <v>325</v>
      </c>
      <c r="K122" s="53">
        <v>325</v>
      </c>
      <c r="L122" s="6">
        <v>0</v>
      </c>
      <c r="M122" s="52">
        <v>0</v>
      </c>
      <c r="N122" s="6">
        <v>0</v>
      </c>
      <c r="O122" s="52">
        <v>0</v>
      </c>
      <c r="P122" s="6">
        <v>2</v>
      </c>
      <c r="Q122" s="4" t="s">
        <v>26</v>
      </c>
      <c r="R122" s="4">
        <v>0</v>
      </c>
      <c r="S122" s="4">
        <v>10</v>
      </c>
      <c r="T122" s="4">
        <v>0</v>
      </c>
      <c r="U122" s="4">
        <v>0</v>
      </c>
      <c r="V122" s="52">
        <f>IF(ISERROR(VLOOKUP($S$122,'TAR FIN'!$A$1:$O$85,15,0)),0,VLOOKUP($S$122,'TAR FIN'!$A$1:$O$85,15,0))*(1-0.06)</f>
        <v>32.035199999999996</v>
      </c>
      <c r="W122" s="52">
        <f>IF(ISERROR(VLOOKUP($T$122,'TAR FIN'!$A$1:$O$85,15,0)),0,VLOOKUP($T$122,'TAR FIN'!$A$1:$O$85,15,0))</f>
        <v>0</v>
      </c>
      <c r="X122" s="52">
        <f>IF(ISERROR(VLOOKUP($U$122,'TAR FIN'!$A$1:$O$85,15,0)),0,VLOOKUP($U$122,'TAR FIN'!$A$1:$O$85,15,0))</f>
        <v>0</v>
      </c>
      <c r="Y122" s="52">
        <f ca="1">('TUSD BE'!$AM$10+'TUSD BF'!$AM$10+'TUSD CVA'!$AM$10)*1*(1-0.03)</f>
        <v>44.668260325701624</v>
      </c>
      <c r="Z122" s="52"/>
      <c r="AA122" s="52"/>
      <c r="AB122" s="52">
        <f>(SUBSIDIO!$J$122*SUBSIDIO!$V$122)*(0.06)/(1-0.06)</f>
        <v>664.56</v>
      </c>
      <c r="AC122" s="52">
        <f>((SUBSIDIO!$L$122*SUBSIDIO!$W$122)+(SUBSIDIO!$N$122*SUBSIDIO!$X$122))*(0.06)/(1-0.06)</f>
        <v>0</v>
      </c>
      <c r="AD122" s="52">
        <f ca="1">(SUBSIDIO!$J$122*SUBSIDIO!$Y$122)*(0.03)/(1-0.03)</f>
        <v>448.985090902671</v>
      </c>
      <c r="AE122" s="52">
        <f>((SUBSIDIO!$L$122*SUBSIDIO!$Z$122)+(SUBSIDIO!$N$122*SUBSIDIO!$AA$122))*(0.03)/(1-0.03)</f>
        <v>0</v>
      </c>
      <c r="AF122" s="4" t="s">
        <v>691</v>
      </c>
    </row>
    <row r="123" spans="1:32" ht="11.25" customHeight="1" x14ac:dyDescent="0.3">
      <c r="A123" s="4" t="s">
        <v>21</v>
      </c>
      <c r="B123" s="4" t="s">
        <v>39</v>
      </c>
      <c r="C123" s="4" t="s">
        <v>40</v>
      </c>
      <c r="D123" s="4" t="s">
        <v>48</v>
      </c>
      <c r="E123" s="4" t="s">
        <v>49</v>
      </c>
      <c r="F123" s="4" t="s">
        <v>25</v>
      </c>
      <c r="G123" s="4" t="s">
        <v>25</v>
      </c>
      <c r="H123" s="4" t="s">
        <v>25</v>
      </c>
      <c r="I123" s="5">
        <v>44470</v>
      </c>
      <c r="J123" s="6">
        <v>333</v>
      </c>
      <c r="K123" s="53">
        <v>333</v>
      </c>
      <c r="L123" s="6">
        <v>0</v>
      </c>
      <c r="M123" s="52">
        <v>0</v>
      </c>
      <c r="N123" s="6">
        <v>0</v>
      </c>
      <c r="O123" s="52">
        <v>0</v>
      </c>
      <c r="P123" s="6">
        <v>2</v>
      </c>
      <c r="Q123" s="4" t="s">
        <v>26</v>
      </c>
      <c r="R123" s="4">
        <v>0</v>
      </c>
      <c r="S123" s="4">
        <v>10</v>
      </c>
      <c r="T123" s="4">
        <v>0</v>
      </c>
      <c r="U123" s="4">
        <v>0</v>
      </c>
      <c r="V123" s="52">
        <f>IF(ISERROR(VLOOKUP($S$123,'TAR FIN'!$A$1:$O$85,15,0)),0,VLOOKUP($S$123,'TAR FIN'!$A$1:$O$85,15,0))*(1-0.06)</f>
        <v>32.035199999999996</v>
      </c>
      <c r="W123" s="52">
        <f>IF(ISERROR(VLOOKUP($T$123,'TAR FIN'!$A$1:$O$85,15,0)),0,VLOOKUP($T$123,'TAR FIN'!$A$1:$O$85,15,0))</f>
        <v>0</v>
      </c>
      <c r="X123" s="52">
        <f>IF(ISERROR(VLOOKUP($U$123,'TAR FIN'!$A$1:$O$85,15,0)),0,VLOOKUP($U$123,'TAR FIN'!$A$1:$O$85,15,0))</f>
        <v>0</v>
      </c>
      <c r="Y123" s="52">
        <f ca="1">('TUSD BE'!$AM$10+'TUSD BF'!$AM$10+'TUSD CVA'!$AM$10)*1*(1-0.03)</f>
        <v>44.668260325701624</v>
      </c>
      <c r="Z123" s="52"/>
      <c r="AA123" s="52"/>
      <c r="AB123" s="52">
        <f>(SUBSIDIO!$J$123*SUBSIDIO!$V$123)*(0.06)/(1-0.06)</f>
        <v>680.91839999999991</v>
      </c>
      <c r="AC123" s="52">
        <f>((SUBSIDIO!$L$123*SUBSIDIO!$W$123)+(SUBSIDIO!$N$123*SUBSIDIO!$X$123))*(0.06)/(1-0.06)</f>
        <v>0</v>
      </c>
      <c r="AD123" s="52">
        <f ca="1">(SUBSIDIO!$J$123*SUBSIDIO!$Y$123)*(0.03)/(1-0.03)</f>
        <v>460.03703160181362</v>
      </c>
      <c r="AE123" s="52">
        <f>((SUBSIDIO!$L$123*SUBSIDIO!$Z$123)+(SUBSIDIO!$N$123*SUBSIDIO!$AA$123))*(0.03)/(1-0.03)</f>
        <v>0</v>
      </c>
      <c r="AF123" s="4" t="s">
        <v>691</v>
      </c>
    </row>
    <row r="124" spans="1:32" ht="11.25" customHeight="1" x14ac:dyDescent="0.3">
      <c r="A124" s="4" t="s">
        <v>21</v>
      </c>
      <c r="B124" s="4" t="s">
        <v>39</v>
      </c>
      <c r="C124" s="4" t="s">
        <v>40</v>
      </c>
      <c r="D124" s="4" t="s">
        <v>48</v>
      </c>
      <c r="E124" s="4" t="s">
        <v>49</v>
      </c>
      <c r="F124" s="4" t="s">
        <v>25</v>
      </c>
      <c r="G124" s="4" t="s">
        <v>25</v>
      </c>
      <c r="H124" s="4" t="s">
        <v>25</v>
      </c>
      <c r="I124" s="5">
        <v>44501</v>
      </c>
      <c r="J124" s="6">
        <v>330</v>
      </c>
      <c r="K124" s="53">
        <v>330</v>
      </c>
      <c r="L124" s="6">
        <v>0</v>
      </c>
      <c r="M124" s="52">
        <v>0</v>
      </c>
      <c r="N124" s="6">
        <v>0</v>
      </c>
      <c r="O124" s="52">
        <v>0</v>
      </c>
      <c r="P124" s="6">
        <v>2</v>
      </c>
      <c r="Q124" s="4" t="s">
        <v>26</v>
      </c>
      <c r="R124" s="4">
        <v>0</v>
      </c>
      <c r="S124" s="4">
        <v>10</v>
      </c>
      <c r="T124" s="4">
        <v>0</v>
      </c>
      <c r="U124" s="4">
        <v>0</v>
      </c>
      <c r="V124" s="52">
        <f>IF(ISERROR(VLOOKUP($S$124,'TAR FIN'!$A$1:$O$85,15,0)),0,VLOOKUP($S$124,'TAR FIN'!$A$1:$O$85,15,0))*(1-0.06)</f>
        <v>32.035199999999996</v>
      </c>
      <c r="W124" s="52">
        <f>IF(ISERROR(VLOOKUP($T$124,'TAR FIN'!$A$1:$O$85,15,0)),0,VLOOKUP($T$124,'TAR FIN'!$A$1:$O$85,15,0))</f>
        <v>0</v>
      </c>
      <c r="X124" s="52">
        <f>IF(ISERROR(VLOOKUP($U$124,'TAR FIN'!$A$1:$O$85,15,0)),0,VLOOKUP($U$124,'TAR FIN'!$A$1:$O$85,15,0))</f>
        <v>0</v>
      </c>
      <c r="Y124" s="52">
        <f ca="1">('TUSD BE'!$AM$10+'TUSD BF'!$AM$10+'TUSD CVA'!$AM$10)*1*(1-0.03)</f>
        <v>44.668260325701624</v>
      </c>
      <c r="Z124" s="52"/>
      <c r="AA124" s="52"/>
      <c r="AB124" s="52">
        <f>(SUBSIDIO!$J$124*SUBSIDIO!$V$124)*(0.06)/(1-0.06)</f>
        <v>674.78399999999988</v>
      </c>
      <c r="AC124" s="52">
        <f>((SUBSIDIO!$L$124*SUBSIDIO!$W$124)+(SUBSIDIO!$N$124*SUBSIDIO!$X$124))*(0.06)/(1-0.06)</f>
        <v>0</v>
      </c>
      <c r="AD124" s="52">
        <f ca="1">(SUBSIDIO!$J$124*SUBSIDIO!$Y$124)*(0.03)/(1-0.03)</f>
        <v>455.89255383963513</v>
      </c>
      <c r="AE124" s="52">
        <f>((SUBSIDIO!$L$124*SUBSIDIO!$Z$124)+(SUBSIDIO!$N$124*SUBSIDIO!$AA$124))*(0.03)/(1-0.03)</f>
        <v>0</v>
      </c>
      <c r="AF124" s="4" t="s">
        <v>691</v>
      </c>
    </row>
    <row r="125" spans="1:32" ht="11.25" customHeight="1" x14ac:dyDescent="0.3">
      <c r="A125" s="4" t="s">
        <v>21</v>
      </c>
      <c r="B125" s="4" t="s">
        <v>39</v>
      </c>
      <c r="C125" s="4" t="s">
        <v>40</v>
      </c>
      <c r="D125" s="4" t="s">
        <v>48</v>
      </c>
      <c r="E125" s="4" t="s">
        <v>49</v>
      </c>
      <c r="F125" s="4" t="s">
        <v>25</v>
      </c>
      <c r="G125" s="4" t="s">
        <v>25</v>
      </c>
      <c r="H125" s="4" t="s">
        <v>25</v>
      </c>
      <c r="I125" s="5">
        <v>44531</v>
      </c>
      <c r="J125" s="6">
        <v>381</v>
      </c>
      <c r="K125" s="53">
        <v>381</v>
      </c>
      <c r="L125" s="6">
        <v>0</v>
      </c>
      <c r="M125" s="52">
        <v>0</v>
      </c>
      <c r="N125" s="6">
        <v>0</v>
      </c>
      <c r="O125" s="52">
        <v>0</v>
      </c>
      <c r="P125" s="6">
        <v>2</v>
      </c>
      <c r="Q125" s="4" t="s">
        <v>26</v>
      </c>
      <c r="R125" s="4">
        <v>0</v>
      </c>
      <c r="S125" s="4">
        <v>10</v>
      </c>
      <c r="T125" s="4">
        <v>0</v>
      </c>
      <c r="U125" s="4">
        <v>0</v>
      </c>
      <c r="V125" s="52">
        <f>IF(ISERROR(VLOOKUP($S$125,'TAR FIN'!$A$1:$O$85,15,0)),0,VLOOKUP($S$125,'TAR FIN'!$A$1:$O$85,15,0))*(1-0.06)</f>
        <v>32.035199999999996</v>
      </c>
      <c r="W125" s="52">
        <f>IF(ISERROR(VLOOKUP($T$125,'TAR FIN'!$A$1:$O$85,15,0)),0,VLOOKUP($T$125,'TAR FIN'!$A$1:$O$85,15,0))</f>
        <v>0</v>
      </c>
      <c r="X125" s="52">
        <f>IF(ISERROR(VLOOKUP($U$125,'TAR FIN'!$A$1:$O$85,15,0)),0,VLOOKUP($U$125,'TAR FIN'!$A$1:$O$85,15,0))</f>
        <v>0</v>
      </c>
      <c r="Y125" s="52">
        <f ca="1">('TUSD BE'!$AM$10+'TUSD BF'!$AM$10+'TUSD CVA'!$AM$10)*1*(1-0.03)</f>
        <v>44.668260325701624</v>
      </c>
      <c r="Z125" s="52"/>
      <c r="AA125" s="52"/>
      <c r="AB125" s="52">
        <f>(SUBSIDIO!$J$125*SUBSIDIO!$V$125)*(0.06)/(1-0.06)</f>
        <v>779.0687999999999</v>
      </c>
      <c r="AC125" s="52">
        <f>((SUBSIDIO!$L$125*SUBSIDIO!$W$125)+(SUBSIDIO!$N$125*SUBSIDIO!$X$125))*(0.06)/(1-0.06)</f>
        <v>0</v>
      </c>
      <c r="AD125" s="52">
        <f ca="1">(SUBSIDIO!$J$125*SUBSIDIO!$Y$125)*(0.03)/(1-0.03)</f>
        <v>526.34867579666957</v>
      </c>
      <c r="AE125" s="52">
        <f>((SUBSIDIO!$L$125*SUBSIDIO!$Z$125)+(SUBSIDIO!$N$125*SUBSIDIO!$AA$125))*(0.03)/(1-0.03)</f>
        <v>0</v>
      </c>
      <c r="AF125" s="4" t="s">
        <v>691</v>
      </c>
    </row>
    <row r="126" spans="1:32" ht="11.25" customHeight="1" x14ac:dyDescent="0.3">
      <c r="A126" s="4" t="s">
        <v>21</v>
      </c>
      <c r="B126" s="4" t="s">
        <v>39</v>
      </c>
      <c r="C126" s="4" t="s">
        <v>40</v>
      </c>
      <c r="D126" s="4" t="s">
        <v>48</v>
      </c>
      <c r="E126" s="4" t="s">
        <v>49</v>
      </c>
      <c r="F126" s="4" t="s">
        <v>25</v>
      </c>
      <c r="G126" s="4" t="s">
        <v>25</v>
      </c>
      <c r="H126" s="4" t="s">
        <v>25</v>
      </c>
      <c r="I126" s="5">
        <v>44562</v>
      </c>
      <c r="J126" s="6">
        <v>381</v>
      </c>
      <c r="K126" s="53">
        <v>381</v>
      </c>
      <c r="L126" s="6">
        <v>0</v>
      </c>
      <c r="M126" s="52">
        <v>0</v>
      </c>
      <c r="N126" s="6">
        <v>0</v>
      </c>
      <c r="O126" s="52">
        <v>0</v>
      </c>
      <c r="P126" s="6">
        <v>2</v>
      </c>
      <c r="Q126" s="4" t="s">
        <v>26</v>
      </c>
      <c r="R126" s="4">
        <v>0</v>
      </c>
      <c r="S126" s="4">
        <v>10</v>
      </c>
      <c r="T126" s="4">
        <v>0</v>
      </c>
      <c r="U126" s="4">
        <v>0</v>
      </c>
      <c r="V126" s="52">
        <f>IF(ISERROR(VLOOKUP($S$126,'TAR FIN'!$A$1:$O$85,15,0)),0,VLOOKUP($S$126,'TAR FIN'!$A$1:$O$85,15,0))*(1-0.06)</f>
        <v>32.035199999999996</v>
      </c>
      <c r="W126" s="52">
        <f>IF(ISERROR(VLOOKUP($T$126,'TAR FIN'!$A$1:$O$85,15,0)),0,VLOOKUP($T$126,'TAR FIN'!$A$1:$O$85,15,0))</f>
        <v>0</v>
      </c>
      <c r="X126" s="52">
        <f>IF(ISERROR(VLOOKUP($U$126,'TAR FIN'!$A$1:$O$85,15,0)),0,VLOOKUP($U$126,'TAR FIN'!$A$1:$O$85,15,0))</f>
        <v>0</v>
      </c>
      <c r="Y126" s="52">
        <f ca="1">('TUSD BE'!$AM$10+'TUSD BF'!$AM$10+'TUSD CVA'!$AM$10)*1*(1-0.03)</f>
        <v>44.668260325701624</v>
      </c>
      <c r="Z126" s="52"/>
      <c r="AA126" s="52"/>
      <c r="AB126" s="52">
        <f>(SUBSIDIO!$J$126*SUBSIDIO!$V$126)*(0.06)/(1-0.06)</f>
        <v>779.0687999999999</v>
      </c>
      <c r="AC126" s="52">
        <f>((SUBSIDIO!$L$126*SUBSIDIO!$W$126)+(SUBSIDIO!$N$126*SUBSIDIO!$X$126))*(0.06)/(1-0.06)</f>
        <v>0</v>
      </c>
      <c r="AD126" s="52">
        <f ca="1">(SUBSIDIO!$J$126*SUBSIDIO!$Y$126)*(0.03)/(1-0.03)</f>
        <v>526.34867579666957</v>
      </c>
      <c r="AE126" s="52">
        <f>((SUBSIDIO!$L$126*SUBSIDIO!$Z$126)+(SUBSIDIO!$N$126*SUBSIDIO!$AA$126))*(0.03)/(1-0.03)</f>
        <v>0</v>
      </c>
      <c r="AF126" s="4" t="s">
        <v>691</v>
      </c>
    </row>
    <row r="127" spans="1:32" ht="11.25" customHeight="1" x14ac:dyDescent="0.3">
      <c r="A127" s="4" t="s">
        <v>21</v>
      </c>
      <c r="B127" s="4" t="s">
        <v>39</v>
      </c>
      <c r="C127" s="4" t="s">
        <v>40</v>
      </c>
      <c r="D127" s="4" t="s">
        <v>48</v>
      </c>
      <c r="E127" s="4" t="s">
        <v>49</v>
      </c>
      <c r="F127" s="4" t="s">
        <v>25</v>
      </c>
      <c r="G127" s="4" t="s">
        <v>25</v>
      </c>
      <c r="H127" s="4" t="s">
        <v>25</v>
      </c>
      <c r="I127" s="5">
        <v>44593</v>
      </c>
      <c r="J127" s="6">
        <v>392</v>
      </c>
      <c r="K127" s="53">
        <v>392</v>
      </c>
      <c r="L127" s="6">
        <v>0</v>
      </c>
      <c r="M127" s="52">
        <v>0</v>
      </c>
      <c r="N127" s="6">
        <v>0</v>
      </c>
      <c r="O127" s="52">
        <v>0</v>
      </c>
      <c r="P127" s="6">
        <v>2</v>
      </c>
      <c r="Q127" s="4" t="s">
        <v>26</v>
      </c>
      <c r="R127" s="4">
        <v>0</v>
      </c>
      <c r="S127" s="4">
        <v>10</v>
      </c>
      <c r="T127" s="4">
        <v>0</v>
      </c>
      <c r="U127" s="4">
        <v>0</v>
      </c>
      <c r="V127" s="52">
        <f>IF(ISERROR(VLOOKUP($S$127,'TAR FIN'!$A$1:$O$85,15,0)),0,VLOOKUP($S$127,'TAR FIN'!$A$1:$O$85,15,0))*(1-0.06)</f>
        <v>32.035199999999996</v>
      </c>
      <c r="W127" s="52">
        <f>IF(ISERROR(VLOOKUP($T$127,'TAR FIN'!$A$1:$O$85,15,0)),0,VLOOKUP($T$127,'TAR FIN'!$A$1:$O$85,15,0))</f>
        <v>0</v>
      </c>
      <c r="X127" s="52">
        <f>IF(ISERROR(VLOOKUP($U$127,'TAR FIN'!$A$1:$O$85,15,0)),0,VLOOKUP($U$127,'TAR FIN'!$A$1:$O$85,15,0))</f>
        <v>0</v>
      </c>
      <c r="Y127" s="52">
        <f ca="1">('TUSD BE'!$AM$10+'TUSD BF'!$AM$10+'TUSD CVA'!$AM$10)*1*(1-0.03)</f>
        <v>44.668260325701624</v>
      </c>
      <c r="Z127" s="52"/>
      <c r="AA127" s="52"/>
      <c r="AB127" s="52">
        <f>(SUBSIDIO!$J$127*SUBSIDIO!$V$127)*(0.06)/(1-0.06)</f>
        <v>801.56159999999988</v>
      </c>
      <c r="AC127" s="52">
        <f>((SUBSIDIO!$L$127*SUBSIDIO!$W$127)+(SUBSIDIO!$N$127*SUBSIDIO!$X$127))*(0.06)/(1-0.06)</f>
        <v>0</v>
      </c>
      <c r="AD127" s="52">
        <f ca="1">(SUBSIDIO!$J$127*SUBSIDIO!$Y$127)*(0.03)/(1-0.03)</f>
        <v>541.54509425799085</v>
      </c>
      <c r="AE127" s="52">
        <f>((SUBSIDIO!$L$127*SUBSIDIO!$Z$127)+(SUBSIDIO!$N$127*SUBSIDIO!$AA$127))*(0.03)/(1-0.03)</f>
        <v>0</v>
      </c>
      <c r="AF127" s="4" t="s">
        <v>691</v>
      </c>
    </row>
    <row r="128" spans="1:32" ht="11.25" customHeight="1" x14ac:dyDescent="0.3">
      <c r="A128" s="4" t="s">
        <v>21</v>
      </c>
      <c r="B128" s="4" t="s">
        <v>39</v>
      </c>
      <c r="C128" s="4" t="s">
        <v>40</v>
      </c>
      <c r="D128" s="4" t="s">
        <v>48</v>
      </c>
      <c r="E128" s="4" t="s">
        <v>49</v>
      </c>
      <c r="F128" s="4" t="s">
        <v>25</v>
      </c>
      <c r="G128" s="4" t="s">
        <v>25</v>
      </c>
      <c r="H128" s="4" t="s">
        <v>25</v>
      </c>
      <c r="I128" s="5">
        <v>44621</v>
      </c>
      <c r="J128" s="6">
        <v>379</v>
      </c>
      <c r="K128" s="53">
        <v>379</v>
      </c>
      <c r="L128" s="6">
        <v>0</v>
      </c>
      <c r="M128" s="52">
        <v>0</v>
      </c>
      <c r="N128" s="6">
        <v>0</v>
      </c>
      <c r="O128" s="52">
        <v>0</v>
      </c>
      <c r="P128" s="6">
        <v>2</v>
      </c>
      <c r="Q128" s="4" t="s">
        <v>26</v>
      </c>
      <c r="R128" s="4">
        <v>0</v>
      </c>
      <c r="S128" s="4">
        <v>10</v>
      </c>
      <c r="T128" s="4">
        <v>0</v>
      </c>
      <c r="U128" s="4">
        <v>0</v>
      </c>
      <c r="V128" s="52">
        <f>IF(ISERROR(VLOOKUP($S$128,'TAR FIN'!$A$1:$O$85,15,0)),0,VLOOKUP($S$128,'TAR FIN'!$A$1:$O$85,15,0))*(1-0.06)</f>
        <v>32.035199999999996</v>
      </c>
      <c r="W128" s="52">
        <f>IF(ISERROR(VLOOKUP($T$128,'TAR FIN'!$A$1:$O$85,15,0)),0,VLOOKUP($T$128,'TAR FIN'!$A$1:$O$85,15,0))</f>
        <v>0</v>
      </c>
      <c r="X128" s="52">
        <f>IF(ISERROR(VLOOKUP($U$128,'TAR FIN'!$A$1:$O$85,15,0)),0,VLOOKUP($U$128,'TAR FIN'!$A$1:$O$85,15,0))</f>
        <v>0</v>
      </c>
      <c r="Y128" s="52">
        <f ca="1">('TUSD BE'!$AM$10+'TUSD BF'!$AM$10+'TUSD CVA'!$AM$10)*1*(1-0.03)</f>
        <v>44.668260325701624</v>
      </c>
      <c r="Z128" s="52"/>
      <c r="AA128" s="52"/>
      <c r="AB128" s="52">
        <f>(SUBSIDIO!$J$128*SUBSIDIO!$V$128)*(0.06)/(1-0.06)</f>
        <v>774.97919999999999</v>
      </c>
      <c r="AC128" s="52">
        <f>((SUBSIDIO!$L$128*SUBSIDIO!$W$128)+(SUBSIDIO!$N$128*SUBSIDIO!$X$128))*(0.06)/(1-0.06)</f>
        <v>0</v>
      </c>
      <c r="AD128" s="52">
        <f ca="1">(SUBSIDIO!$J$128*SUBSIDIO!$Y$128)*(0.03)/(1-0.03)</f>
        <v>523.58569062188394</v>
      </c>
      <c r="AE128" s="52">
        <f>((SUBSIDIO!$L$128*SUBSIDIO!$Z$128)+(SUBSIDIO!$N$128*SUBSIDIO!$AA$128))*(0.03)/(1-0.03)</f>
        <v>0</v>
      </c>
      <c r="AF128" s="4" t="s">
        <v>691</v>
      </c>
    </row>
    <row r="129" spans="1:32" ht="11.25" customHeight="1" x14ac:dyDescent="0.3">
      <c r="A129" s="4" t="s">
        <v>21</v>
      </c>
      <c r="B129" s="4" t="s">
        <v>39</v>
      </c>
      <c r="C129" s="4" t="s">
        <v>40</v>
      </c>
      <c r="D129" s="4" t="s">
        <v>48</v>
      </c>
      <c r="E129" s="4" t="s">
        <v>49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374</v>
      </c>
      <c r="K129" s="53">
        <v>374</v>
      </c>
      <c r="L129" s="6">
        <v>0</v>
      </c>
      <c r="M129" s="52">
        <v>0</v>
      </c>
      <c r="N129" s="6">
        <v>0</v>
      </c>
      <c r="O129" s="52">
        <v>0</v>
      </c>
      <c r="P129" s="6">
        <v>2</v>
      </c>
      <c r="Q129" s="4" t="s">
        <v>26</v>
      </c>
      <c r="R129" s="4">
        <v>0</v>
      </c>
      <c r="S129" s="4">
        <v>10</v>
      </c>
      <c r="T129" s="4">
        <v>0</v>
      </c>
      <c r="U129" s="4">
        <v>0</v>
      </c>
      <c r="V129" s="52">
        <f>IF(ISERROR(VLOOKUP($S$129,'TAR FIN'!$A$1:$O$85,15,0)),0,VLOOKUP($S$129,'TAR FIN'!$A$1:$O$85,15,0))*(1-0.06)</f>
        <v>32.035199999999996</v>
      </c>
      <c r="W129" s="52">
        <f>IF(ISERROR(VLOOKUP($T$129,'TAR FIN'!$A$1:$O$85,15,0)),0,VLOOKUP($T$129,'TAR FIN'!$A$1:$O$85,15,0))</f>
        <v>0</v>
      </c>
      <c r="X129" s="52">
        <f>IF(ISERROR(VLOOKUP($U$129,'TAR FIN'!$A$1:$O$85,15,0)),0,VLOOKUP($U$129,'TAR FIN'!$A$1:$O$85,15,0))</f>
        <v>0</v>
      </c>
      <c r="Y129" s="52">
        <f ca="1">('TUSD BE'!$AM$10+'TUSD BF'!$AM$10+'TUSD CVA'!$AM$10)*1*(1-0.03)</f>
        <v>44.668260325701624</v>
      </c>
      <c r="Z129" s="52"/>
      <c r="AA129" s="52"/>
      <c r="AB129" s="52">
        <f>(SUBSIDIO!$J$129*SUBSIDIO!$V$129)*(0.06)/(1-0.06)</f>
        <v>764.75519999999995</v>
      </c>
      <c r="AC129" s="52">
        <f>((SUBSIDIO!$L$129*SUBSIDIO!$W$129)+(SUBSIDIO!$N$129*SUBSIDIO!$X$129))*(0.06)/(1-0.06)</f>
        <v>0</v>
      </c>
      <c r="AD129" s="52">
        <f ca="1">(SUBSIDIO!$J$129*SUBSIDIO!$Y$129)*(0.03)/(1-0.03)</f>
        <v>516.67822768491976</v>
      </c>
      <c r="AE129" s="52">
        <f>((SUBSIDIO!$L$129*SUBSIDIO!$Z$129)+(SUBSIDIO!$N$129*SUBSIDIO!$AA$129))*(0.03)/(1-0.03)</f>
        <v>0</v>
      </c>
      <c r="AF129" s="4" t="s">
        <v>691</v>
      </c>
    </row>
    <row r="130" spans="1:32" ht="11.25" customHeight="1" x14ac:dyDescent="0.3">
      <c r="A130" s="4" t="s">
        <v>21</v>
      </c>
      <c r="B130" s="4" t="s">
        <v>39</v>
      </c>
      <c r="C130" s="4" t="s">
        <v>40</v>
      </c>
      <c r="D130" s="4" t="s">
        <v>48</v>
      </c>
      <c r="E130" s="4" t="s">
        <v>49</v>
      </c>
      <c r="F130" s="4" t="s">
        <v>25</v>
      </c>
      <c r="G130" s="4" t="s">
        <v>25</v>
      </c>
      <c r="H130" s="4" t="s">
        <v>25</v>
      </c>
      <c r="I130" s="5">
        <v>44682</v>
      </c>
      <c r="J130" s="6">
        <v>382</v>
      </c>
      <c r="K130" s="53">
        <v>382</v>
      </c>
      <c r="L130" s="6">
        <v>0</v>
      </c>
      <c r="M130" s="52">
        <v>0</v>
      </c>
      <c r="N130" s="6">
        <v>0</v>
      </c>
      <c r="O130" s="52">
        <v>0</v>
      </c>
      <c r="P130" s="6">
        <v>2</v>
      </c>
      <c r="Q130" s="4" t="s">
        <v>26</v>
      </c>
      <c r="R130" s="4">
        <v>0</v>
      </c>
      <c r="S130" s="4">
        <v>10</v>
      </c>
      <c r="T130" s="4">
        <v>0</v>
      </c>
      <c r="U130" s="4">
        <v>0</v>
      </c>
      <c r="V130" s="52">
        <f>IF(ISERROR(VLOOKUP($S$130,'TAR FIN'!$A$1:$O$85,15,0)),0,VLOOKUP($S$130,'TAR FIN'!$A$1:$O$85,15,0))*(1-0.06)</f>
        <v>32.035199999999996</v>
      </c>
      <c r="W130" s="52">
        <f>IF(ISERROR(VLOOKUP($T$130,'TAR FIN'!$A$1:$O$85,15,0)),0,VLOOKUP($T$130,'TAR FIN'!$A$1:$O$85,15,0))</f>
        <v>0</v>
      </c>
      <c r="X130" s="52">
        <f>IF(ISERROR(VLOOKUP($U$130,'TAR FIN'!$A$1:$O$85,15,0)),0,VLOOKUP($U$130,'TAR FIN'!$A$1:$O$85,15,0))</f>
        <v>0</v>
      </c>
      <c r="Y130" s="52">
        <f ca="1">('TUSD BE'!$AM$10+'TUSD BF'!$AM$10+'TUSD CVA'!$AM$10)*1*(1-0.03)</f>
        <v>44.668260325701624</v>
      </c>
      <c r="Z130" s="52"/>
      <c r="AA130" s="52"/>
      <c r="AB130" s="52">
        <f>(SUBSIDIO!$J$130*SUBSIDIO!$V$130)*(0.06)/(1-0.06)</f>
        <v>781.11360000000002</v>
      </c>
      <c r="AC130" s="52">
        <f>((SUBSIDIO!$L$130*SUBSIDIO!$W$130)+(SUBSIDIO!$N$130*SUBSIDIO!$X$130))*(0.06)/(1-0.06)</f>
        <v>0</v>
      </c>
      <c r="AD130" s="52">
        <f ca="1">(SUBSIDIO!$J$130*SUBSIDIO!$Y$130)*(0.03)/(1-0.03)</f>
        <v>527.73016838406249</v>
      </c>
      <c r="AE130" s="52">
        <f>((SUBSIDIO!$L$130*SUBSIDIO!$Z$130)+(SUBSIDIO!$N$130*SUBSIDIO!$AA$130))*(0.03)/(1-0.03)</f>
        <v>0</v>
      </c>
      <c r="AF130" s="4" t="s">
        <v>691</v>
      </c>
    </row>
    <row r="131" spans="1:32" ht="11.25" customHeight="1" x14ac:dyDescent="0.3">
      <c r="A131" s="4" t="s">
        <v>21</v>
      </c>
      <c r="B131" s="4" t="s">
        <v>39</v>
      </c>
      <c r="C131" s="4" t="s">
        <v>40</v>
      </c>
      <c r="D131" s="4" t="s">
        <v>48</v>
      </c>
      <c r="E131" s="4" t="s">
        <v>49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365</v>
      </c>
      <c r="K131" s="53">
        <v>365</v>
      </c>
      <c r="L131" s="6">
        <v>0</v>
      </c>
      <c r="M131" s="52">
        <v>0</v>
      </c>
      <c r="N131" s="6">
        <v>0</v>
      </c>
      <c r="O131" s="52">
        <v>0</v>
      </c>
      <c r="P131" s="6">
        <v>2</v>
      </c>
      <c r="Q131" s="4" t="s">
        <v>26</v>
      </c>
      <c r="R131" s="4">
        <v>0</v>
      </c>
      <c r="S131" s="4">
        <v>10</v>
      </c>
      <c r="T131" s="4">
        <v>0</v>
      </c>
      <c r="U131" s="4">
        <v>0</v>
      </c>
      <c r="V131" s="52">
        <f>IF(ISERROR(VLOOKUP($S$131,'TAR FIN'!$A$1:$O$85,15,0)),0,VLOOKUP($S$131,'TAR FIN'!$A$1:$O$85,15,0))*(1-0.06)</f>
        <v>32.035199999999996</v>
      </c>
      <c r="W131" s="52">
        <f>IF(ISERROR(VLOOKUP($T$131,'TAR FIN'!$A$1:$O$85,15,0)),0,VLOOKUP($T$131,'TAR FIN'!$A$1:$O$85,15,0))</f>
        <v>0</v>
      </c>
      <c r="X131" s="52">
        <f>IF(ISERROR(VLOOKUP($U$131,'TAR FIN'!$A$1:$O$85,15,0)),0,VLOOKUP($U$131,'TAR FIN'!$A$1:$O$85,15,0))</f>
        <v>0</v>
      </c>
      <c r="Y131" s="52">
        <f ca="1">('TUSD BE'!$AM$10+'TUSD BF'!$AM$10+'TUSD CVA'!$AM$10)*1*(1-0.03)</f>
        <v>44.668260325701624</v>
      </c>
      <c r="Z131" s="52"/>
      <c r="AA131" s="52"/>
      <c r="AB131" s="52">
        <f>(SUBSIDIO!$J$131*SUBSIDIO!$V$131)*(0.06)/(1-0.06)</f>
        <v>746.35199999999986</v>
      </c>
      <c r="AC131" s="52">
        <f>((SUBSIDIO!$L$131*SUBSIDIO!$W$131)+(SUBSIDIO!$N$131*SUBSIDIO!$X$131))*(0.06)/(1-0.06)</f>
        <v>0</v>
      </c>
      <c r="AD131" s="52">
        <f ca="1">(SUBSIDIO!$J$131*SUBSIDIO!$Y$131)*(0.03)/(1-0.03)</f>
        <v>504.24479439838427</v>
      </c>
      <c r="AE131" s="52">
        <f>((SUBSIDIO!$L$131*SUBSIDIO!$Z$131)+(SUBSIDIO!$N$131*SUBSIDIO!$AA$131))*(0.03)/(1-0.03)</f>
        <v>0</v>
      </c>
      <c r="AF131" s="4" t="s">
        <v>691</v>
      </c>
    </row>
    <row r="132" spans="1:32" ht="11.25" customHeight="1" x14ac:dyDescent="0.3">
      <c r="A132" s="4" t="s">
        <v>21</v>
      </c>
      <c r="B132" s="4" t="s">
        <v>39</v>
      </c>
      <c r="C132" s="4" t="s">
        <v>40</v>
      </c>
      <c r="D132" s="4" t="s">
        <v>48</v>
      </c>
      <c r="E132" s="4" t="s">
        <v>49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372</v>
      </c>
      <c r="K132" s="53">
        <v>372</v>
      </c>
      <c r="L132" s="6">
        <v>0</v>
      </c>
      <c r="M132" s="52">
        <v>0</v>
      </c>
      <c r="N132" s="6">
        <v>0</v>
      </c>
      <c r="O132" s="52">
        <v>0</v>
      </c>
      <c r="P132" s="6">
        <v>2</v>
      </c>
      <c r="Q132" s="4" t="s">
        <v>26</v>
      </c>
      <c r="R132" s="4">
        <v>0</v>
      </c>
      <c r="S132" s="4">
        <v>10</v>
      </c>
      <c r="T132" s="4">
        <v>0</v>
      </c>
      <c r="U132" s="4">
        <v>0</v>
      </c>
      <c r="V132" s="52">
        <f>IF(ISERROR(VLOOKUP($S$132,'TAR FIN'!$A$1:$O$85,15,0)),0,VLOOKUP($S$132,'TAR FIN'!$A$1:$O$85,15,0))*(1-0.06)</f>
        <v>32.035199999999996</v>
      </c>
      <c r="W132" s="52">
        <f>IF(ISERROR(VLOOKUP($T$132,'TAR FIN'!$A$1:$O$85,15,0)),0,VLOOKUP($T$132,'TAR FIN'!$A$1:$O$85,15,0))</f>
        <v>0</v>
      </c>
      <c r="X132" s="52">
        <f>IF(ISERROR(VLOOKUP($U$132,'TAR FIN'!$A$1:$O$85,15,0)),0,VLOOKUP($U$132,'TAR FIN'!$A$1:$O$85,15,0))</f>
        <v>0</v>
      </c>
      <c r="Y132" s="52">
        <f ca="1">('TUSD BE'!$AM$10+'TUSD BF'!$AM$10+'TUSD CVA'!$AM$10)*1*(1-0.03)</f>
        <v>44.668260325701624</v>
      </c>
      <c r="Z132" s="52"/>
      <c r="AA132" s="52"/>
      <c r="AB132" s="52">
        <f>(SUBSIDIO!$J$132*SUBSIDIO!$V$132)*(0.06)/(1-0.06)</f>
        <v>760.66559999999993</v>
      </c>
      <c r="AC132" s="52">
        <f>((SUBSIDIO!$L$132*SUBSIDIO!$W$132)+(SUBSIDIO!$N$132*SUBSIDIO!$X$132))*(0.06)/(1-0.06)</f>
        <v>0</v>
      </c>
      <c r="AD132" s="52">
        <f ca="1">(SUBSIDIO!$J$132*SUBSIDIO!$Y$132)*(0.03)/(1-0.03)</f>
        <v>513.91524251013414</v>
      </c>
      <c r="AE132" s="52">
        <f>((SUBSIDIO!$L$132*SUBSIDIO!$Z$132)+(SUBSIDIO!$N$132*SUBSIDIO!$AA$132))*(0.03)/(1-0.03)</f>
        <v>0</v>
      </c>
      <c r="AF132" s="4" t="s">
        <v>691</v>
      </c>
    </row>
    <row r="133" spans="1:32" ht="11.25" customHeight="1" x14ac:dyDescent="0.3">
      <c r="A133" s="4" t="s">
        <v>21</v>
      </c>
      <c r="B133" s="4" t="s">
        <v>39</v>
      </c>
      <c r="C133" s="4" t="s">
        <v>40</v>
      </c>
      <c r="D133" s="4" t="s">
        <v>48</v>
      </c>
      <c r="E133" s="4" t="s">
        <v>49</v>
      </c>
      <c r="F133" s="4" t="s">
        <v>25</v>
      </c>
      <c r="G133" s="4" t="s">
        <v>25</v>
      </c>
      <c r="H133" s="4" t="s">
        <v>25</v>
      </c>
      <c r="I133" s="5">
        <v>44774</v>
      </c>
      <c r="J133" s="6">
        <v>424</v>
      </c>
      <c r="K133" s="53">
        <v>424</v>
      </c>
      <c r="L133" s="6">
        <v>0</v>
      </c>
      <c r="M133" s="52">
        <v>0</v>
      </c>
      <c r="N133" s="6">
        <v>0</v>
      </c>
      <c r="O133" s="52">
        <v>0</v>
      </c>
      <c r="P133" s="6">
        <v>2</v>
      </c>
      <c r="Q133" s="4" t="s">
        <v>26</v>
      </c>
      <c r="R133" s="4">
        <v>0</v>
      </c>
      <c r="S133" s="4">
        <v>10</v>
      </c>
      <c r="T133" s="4">
        <v>0</v>
      </c>
      <c r="U133" s="4">
        <v>0</v>
      </c>
      <c r="V133" s="52">
        <f>IF(ISERROR(VLOOKUP($S$133,'TAR FIN'!$A$1:$O$85,15,0)),0,VLOOKUP($S$133,'TAR FIN'!$A$1:$O$85,15,0))*(1-0.06)</f>
        <v>32.035199999999996</v>
      </c>
      <c r="W133" s="52">
        <f>IF(ISERROR(VLOOKUP($T$133,'TAR FIN'!$A$1:$O$85,15,0)),0,VLOOKUP($T$133,'TAR FIN'!$A$1:$O$85,15,0))</f>
        <v>0</v>
      </c>
      <c r="X133" s="52">
        <f>IF(ISERROR(VLOOKUP($U$133,'TAR FIN'!$A$1:$O$85,15,0)),0,VLOOKUP($U$133,'TAR FIN'!$A$1:$O$85,15,0))</f>
        <v>0</v>
      </c>
      <c r="Y133" s="52">
        <f ca="1">('TUSD BE'!$AM$10+'TUSD BF'!$AM$10+'TUSD CVA'!$AM$10)*1*(1-0.03)</f>
        <v>44.668260325701624</v>
      </c>
      <c r="Z133" s="52"/>
      <c r="AA133" s="52"/>
      <c r="AB133" s="52">
        <f>(SUBSIDIO!$J$133*SUBSIDIO!$V$133)*(0.06)/(1-0.06)</f>
        <v>866.99519999999995</v>
      </c>
      <c r="AC133" s="52">
        <f>((SUBSIDIO!$L$133*SUBSIDIO!$W$133)+(SUBSIDIO!$N$133*SUBSIDIO!$X$133))*(0.06)/(1-0.06)</f>
        <v>0</v>
      </c>
      <c r="AD133" s="52">
        <f ca="1">(SUBSIDIO!$J$133*SUBSIDIO!$Y$133)*(0.03)/(1-0.03)</f>
        <v>585.75285705456145</v>
      </c>
      <c r="AE133" s="52">
        <f>((SUBSIDIO!$L$133*SUBSIDIO!$Z$133)+(SUBSIDIO!$N$133*SUBSIDIO!$AA$133))*(0.03)/(1-0.03)</f>
        <v>0</v>
      </c>
      <c r="AF133" s="4" t="s">
        <v>691</v>
      </c>
    </row>
    <row r="134" spans="1:32" ht="11.25" customHeight="1" x14ac:dyDescent="0.3">
      <c r="A134" s="4" t="s">
        <v>21</v>
      </c>
      <c r="B134" s="4" t="s">
        <v>39</v>
      </c>
      <c r="C134" s="4" t="s">
        <v>40</v>
      </c>
      <c r="D134" s="4" t="s">
        <v>48</v>
      </c>
      <c r="E134" s="4" t="s">
        <v>49</v>
      </c>
      <c r="F134" s="4" t="s">
        <v>25</v>
      </c>
      <c r="G134" s="4" t="s">
        <v>25</v>
      </c>
      <c r="H134" s="4" t="s">
        <v>34</v>
      </c>
      <c r="I134" s="5">
        <v>44440</v>
      </c>
      <c r="J134" s="6">
        <v>0</v>
      </c>
      <c r="K134" s="52">
        <v>0</v>
      </c>
      <c r="L134" s="6">
        <v>14.760999999999999</v>
      </c>
      <c r="M134" s="52">
        <v>14.760999999999999</v>
      </c>
      <c r="N134" s="6">
        <v>14.760999999999999</v>
      </c>
      <c r="O134" s="52">
        <v>14.760999999999999</v>
      </c>
      <c r="P134" s="6">
        <v>0</v>
      </c>
      <c r="Q134" s="4" t="s">
        <v>26</v>
      </c>
      <c r="R134" s="4">
        <v>0</v>
      </c>
      <c r="S134" s="4">
        <v>0</v>
      </c>
      <c r="T134" s="4">
        <v>23</v>
      </c>
      <c r="U134" s="4">
        <v>25</v>
      </c>
      <c r="V134" s="52">
        <f>IF(ISERROR(VLOOKUP($S$134,'TAR FIN'!$A$1:$O$85,15,0)),0,VLOOKUP($S$134,'TAR FIN'!$A$1:$O$85,15,0))</f>
        <v>0</v>
      </c>
      <c r="W134" s="52">
        <f>IF(ISERROR(VLOOKUP($T$134,'TAR FIN'!$A$1:$O$85,15,0)),0,VLOOKUP($T$134,'TAR FIN'!$A$1:$O$85,15,0))*(1-0.06)</f>
        <v>2393.1835999999998</v>
      </c>
      <c r="X134" s="52">
        <f>IF(ISERROR(VLOOKUP($U$134,'TAR FIN'!$A$1:$O$85,15,0)),0,VLOOKUP($U$134,'TAR FIN'!$A$1:$O$85,15,0))*(1-0.06)</f>
        <v>209.68579999999997</v>
      </c>
      <c r="Y134" s="52"/>
      <c r="Z134" s="52">
        <f ca="1">('TUSD BE'!$AM$11+'TUSD BF'!$AM$11+'TUSD CVA'!$AM$11)*1*(1-0.03)</f>
        <v>3490.0216795225642</v>
      </c>
      <c r="AA134" s="52">
        <f>('TE BE'!$AB$5+'TE BF'!$AB$5+'TE CVA'!$AB$5)*1*(1-0.03)</f>
        <v>75.619613256969757</v>
      </c>
      <c r="AB134" s="52">
        <f>(SUBSIDIO!$J$134*SUBSIDIO!$V$134)*(0.06)/(1-0.06)</f>
        <v>0</v>
      </c>
      <c r="AC134" s="52">
        <f>((SUBSIDIO!$L$134*SUBSIDIO!$W$134)+(SUBSIDIO!$N$134*SUBSIDIO!$X$134))*(0.06)/(1-0.06)</f>
        <v>2452.4013965999998</v>
      </c>
      <c r="AD134" s="52">
        <f>(SUBSIDIO!$J$134*SUBSIDIO!$Y$134)*(0.03)/(1-0.03)</f>
        <v>0</v>
      </c>
      <c r="AE134" s="52">
        <f ca="1">((SUBSIDIO!$L$134*SUBSIDIO!$Z$134)+(SUBSIDIO!$N$134*SUBSIDIO!$AA$134))*(0.03)/(1-0.03)</f>
        <v>1627.8071481253207</v>
      </c>
      <c r="AF134" s="4" t="s">
        <v>691</v>
      </c>
    </row>
    <row r="135" spans="1:32" ht="11.25" customHeight="1" x14ac:dyDescent="0.3">
      <c r="A135" s="4" t="s">
        <v>21</v>
      </c>
      <c r="B135" s="4" t="s">
        <v>39</v>
      </c>
      <c r="C135" s="4" t="s">
        <v>40</v>
      </c>
      <c r="D135" s="4" t="s">
        <v>48</v>
      </c>
      <c r="E135" s="4" t="s">
        <v>49</v>
      </c>
      <c r="F135" s="4" t="s">
        <v>25</v>
      </c>
      <c r="G135" s="4" t="s">
        <v>25</v>
      </c>
      <c r="H135" s="4" t="s">
        <v>34</v>
      </c>
      <c r="I135" s="5">
        <v>44470</v>
      </c>
      <c r="J135" s="6">
        <v>0</v>
      </c>
      <c r="K135" s="52">
        <v>0</v>
      </c>
      <c r="L135" s="6">
        <v>15.125</v>
      </c>
      <c r="M135" s="52">
        <v>15.125</v>
      </c>
      <c r="N135" s="6">
        <v>15.125</v>
      </c>
      <c r="O135" s="52">
        <v>15.125</v>
      </c>
      <c r="P135" s="6">
        <v>0</v>
      </c>
      <c r="Q135" s="4" t="s">
        <v>26</v>
      </c>
      <c r="R135" s="4">
        <v>0</v>
      </c>
      <c r="S135" s="4">
        <v>0</v>
      </c>
      <c r="T135" s="4">
        <v>23</v>
      </c>
      <c r="U135" s="4">
        <v>25</v>
      </c>
      <c r="V135" s="52">
        <f>IF(ISERROR(VLOOKUP($S$135,'TAR FIN'!$A$1:$O$85,15,0)),0,VLOOKUP($S$135,'TAR FIN'!$A$1:$O$85,15,0))</f>
        <v>0</v>
      </c>
      <c r="W135" s="52">
        <f>IF(ISERROR(VLOOKUP($T$135,'TAR FIN'!$A$1:$O$85,15,0)),0,VLOOKUP($T$135,'TAR FIN'!$A$1:$O$85,15,0))*(1-0.06)</f>
        <v>2393.1835999999998</v>
      </c>
      <c r="X135" s="52">
        <f>IF(ISERROR(VLOOKUP($U$135,'TAR FIN'!$A$1:$O$85,15,0)),0,VLOOKUP($U$135,'TAR FIN'!$A$1:$O$85,15,0))*(1-0.06)</f>
        <v>209.68579999999997</v>
      </c>
      <c r="Y135" s="52"/>
      <c r="Z135" s="52">
        <f ca="1">('TUSD BE'!$AM$11+'TUSD BF'!$AM$11+'TUSD CVA'!$AM$11)*1*(1-0.03)</f>
        <v>3490.0216795225642</v>
      </c>
      <c r="AA135" s="52">
        <f>('TE BE'!$AB$5+'TE BF'!$AB$5+'TE CVA'!$AB$5)*1*(1-0.03)</f>
        <v>75.619613256969757</v>
      </c>
      <c r="AB135" s="52">
        <f>(SUBSIDIO!$J$135*SUBSIDIO!$V$135)*(0.06)/(1-0.06)</f>
        <v>0</v>
      </c>
      <c r="AC135" s="52">
        <f>((SUBSIDIO!$L$135*SUBSIDIO!$W$135)+(SUBSIDIO!$N$135*SUBSIDIO!$X$135))*(0.06)/(1-0.06)</f>
        <v>2512.8765750000002</v>
      </c>
      <c r="AD135" s="52">
        <f>(SUBSIDIO!$J$135*SUBSIDIO!$Y$135)*(0.03)/(1-0.03)</f>
        <v>0</v>
      </c>
      <c r="AE135" s="52">
        <f ca="1">((SUBSIDIO!$L$135*SUBSIDIO!$Z$135)+(SUBSIDIO!$N$135*SUBSIDIO!$AA$135))*(0.03)/(1-0.03)</f>
        <v>1667.9481820605295</v>
      </c>
      <c r="AF135" s="4" t="s">
        <v>691</v>
      </c>
    </row>
    <row r="136" spans="1:32" ht="11.25" customHeight="1" x14ac:dyDescent="0.3">
      <c r="A136" s="4" t="s">
        <v>21</v>
      </c>
      <c r="B136" s="4" t="s">
        <v>39</v>
      </c>
      <c r="C136" s="4" t="s">
        <v>40</v>
      </c>
      <c r="D136" s="4" t="s">
        <v>48</v>
      </c>
      <c r="E136" s="4" t="s">
        <v>49</v>
      </c>
      <c r="F136" s="4" t="s">
        <v>25</v>
      </c>
      <c r="G136" s="4" t="s">
        <v>25</v>
      </c>
      <c r="H136" s="4" t="s">
        <v>34</v>
      </c>
      <c r="I136" s="5">
        <v>44501</v>
      </c>
      <c r="J136" s="6">
        <v>0</v>
      </c>
      <c r="K136" s="52">
        <v>0</v>
      </c>
      <c r="L136" s="6">
        <v>13.497</v>
      </c>
      <c r="M136" s="52">
        <v>13.497</v>
      </c>
      <c r="N136" s="6">
        <v>13.497</v>
      </c>
      <c r="O136" s="52">
        <v>13.497</v>
      </c>
      <c r="P136" s="6">
        <v>0</v>
      </c>
      <c r="Q136" s="4" t="s">
        <v>26</v>
      </c>
      <c r="R136" s="4">
        <v>0</v>
      </c>
      <c r="S136" s="4">
        <v>0</v>
      </c>
      <c r="T136" s="4">
        <v>23</v>
      </c>
      <c r="U136" s="4">
        <v>25</v>
      </c>
      <c r="V136" s="52">
        <f>IF(ISERROR(VLOOKUP($S$136,'TAR FIN'!$A$1:$O$85,15,0)),0,VLOOKUP($S$136,'TAR FIN'!$A$1:$O$85,15,0))</f>
        <v>0</v>
      </c>
      <c r="W136" s="52">
        <f>IF(ISERROR(VLOOKUP($T$136,'TAR FIN'!$A$1:$O$85,15,0)),0,VLOOKUP($T$136,'TAR FIN'!$A$1:$O$85,15,0))*(1-0.06)</f>
        <v>2393.1835999999998</v>
      </c>
      <c r="X136" s="52">
        <f>IF(ISERROR(VLOOKUP($U$136,'TAR FIN'!$A$1:$O$85,15,0)),0,VLOOKUP($U$136,'TAR FIN'!$A$1:$O$85,15,0))*(1-0.06)</f>
        <v>209.68579999999997</v>
      </c>
      <c r="Y136" s="52"/>
      <c r="Z136" s="52">
        <f ca="1">('TUSD BE'!$AM$11+'TUSD BF'!$AM$11+'TUSD CVA'!$AM$11)*1*(1-0.03)</f>
        <v>3490.0216795225642</v>
      </c>
      <c r="AA136" s="52">
        <f>('TE BE'!$AB$5+'TE BF'!$AB$5+'TE CVA'!$AB$5)*1*(1-0.03)</f>
        <v>75.619613256969757</v>
      </c>
      <c r="AB136" s="52">
        <f>(SUBSIDIO!$J$136*SUBSIDIO!$V$136)*(0.06)/(1-0.06)</f>
        <v>0</v>
      </c>
      <c r="AC136" s="52">
        <f>((SUBSIDIO!$L$136*SUBSIDIO!$W$136)+(SUBSIDIO!$N$136*SUBSIDIO!$X$136))*(0.06)/(1-0.06)</f>
        <v>2242.3996781999995</v>
      </c>
      <c r="AD136" s="52">
        <f>(SUBSIDIO!$J$136*SUBSIDIO!$Y$136)*(0.03)/(1-0.03)</f>
        <v>0</v>
      </c>
      <c r="AE136" s="52">
        <f ca="1">((SUBSIDIO!$L$136*SUBSIDIO!$Z$136)+(SUBSIDIO!$N$136*SUBSIDIO!$AA$136))*(0.03)/(1-0.03)</f>
        <v>1488.4163050096506</v>
      </c>
      <c r="AF136" s="4" t="s">
        <v>691</v>
      </c>
    </row>
    <row r="137" spans="1:32" ht="11.25" customHeight="1" x14ac:dyDescent="0.3">
      <c r="A137" s="4" t="s">
        <v>21</v>
      </c>
      <c r="B137" s="4" t="s">
        <v>39</v>
      </c>
      <c r="C137" s="4" t="s">
        <v>40</v>
      </c>
      <c r="D137" s="4" t="s">
        <v>48</v>
      </c>
      <c r="E137" s="4" t="s">
        <v>49</v>
      </c>
      <c r="F137" s="4" t="s">
        <v>25</v>
      </c>
      <c r="G137" s="4" t="s">
        <v>25</v>
      </c>
      <c r="H137" s="4" t="s">
        <v>34</v>
      </c>
      <c r="I137" s="5">
        <v>44531</v>
      </c>
      <c r="J137" s="6">
        <v>0</v>
      </c>
      <c r="K137" s="52">
        <v>0</v>
      </c>
      <c r="L137" s="6">
        <v>19.161000000000001</v>
      </c>
      <c r="M137" s="52">
        <v>19.161000000000001</v>
      </c>
      <c r="N137" s="6">
        <v>19.161000000000001</v>
      </c>
      <c r="O137" s="52">
        <v>19.161000000000001</v>
      </c>
      <c r="P137" s="6">
        <v>0</v>
      </c>
      <c r="Q137" s="4" t="s">
        <v>26</v>
      </c>
      <c r="R137" s="4">
        <v>0</v>
      </c>
      <c r="S137" s="4">
        <v>0</v>
      </c>
      <c r="T137" s="4">
        <v>23</v>
      </c>
      <c r="U137" s="4">
        <v>25</v>
      </c>
      <c r="V137" s="52">
        <f>IF(ISERROR(VLOOKUP($S$137,'TAR FIN'!$A$1:$O$85,15,0)),0,VLOOKUP($S$137,'TAR FIN'!$A$1:$O$85,15,0))</f>
        <v>0</v>
      </c>
      <c r="W137" s="52">
        <f>IF(ISERROR(VLOOKUP($T$137,'TAR FIN'!$A$1:$O$85,15,0)),0,VLOOKUP($T$137,'TAR FIN'!$A$1:$O$85,15,0))*(1-0.06)</f>
        <v>2393.1835999999998</v>
      </c>
      <c r="X137" s="52">
        <f>IF(ISERROR(VLOOKUP($U$137,'TAR FIN'!$A$1:$O$85,15,0)),0,VLOOKUP($U$137,'TAR FIN'!$A$1:$O$85,15,0))*(1-0.06)</f>
        <v>209.68579999999997</v>
      </c>
      <c r="Y137" s="52"/>
      <c r="Z137" s="52">
        <f ca="1">('TUSD BE'!$AM$11+'TUSD BF'!$AM$11+'TUSD CVA'!$AM$11)*1*(1-0.03)</f>
        <v>3490.0216795225642</v>
      </c>
      <c r="AA137" s="52">
        <f>('TE BE'!$AB$5+'TE BF'!$AB$5+'TE CVA'!$AB$5)*1*(1-0.03)</f>
        <v>75.619613256969757</v>
      </c>
      <c r="AB137" s="52">
        <f>(SUBSIDIO!$J$137*SUBSIDIO!$V$137)*(0.06)/(1-0.06)</f>
        <v>0</v>
      </c>
      <c r="AC137" s="52">
        <f>((SUBSIDIO!$L$137*SUBSIDIO!$W$137)+(SUBSIDIO!$N$137*SUBSIDIO!$X$137))*(0.06)/(1-0.06)</f>
        <v>3183.4200366</v>
      </c>
      <c r="AD137" s="52">
        <f>(SUBSIDIO!$J$137*SUBSIDIO!$Y$137)*(0.03)/(1-0.03)</f>
        <v>0</v>
      </c>
      <c r="AE137" s="52">
        <f ca="1">((SUBSIDIO!$L$137*SUBSIDIO!$Z$137)+(SUBSIDIO!$N$137*SUBSIDIO!$AA$137))*(0.03)/(1-0.03)</f>
        <v>2113.0284374520202</v>
      </c>
      <c r="AF137" s="4" t="s">
        <v>691</v>
      </c>
    </row>
    <row r="138" spans="1:32" ht="11.25" customHeight="1" x14ac:dyDescent="0.3">
      <c r="A138" s="4" t="s">
        <v>21</v>
      </c>
      <c r="B138" s="4" t="s">
        <v>39</v>
      </c>
      <c r="C138" s="4" t="s">
        <v>40</v>
      </c>
      <c r="D138" s="4" t="s">
        <v>48</v>
      </c>
      <c r="E138" s="4" t="s">
        <v>49</v>
      </c>
      <c r="F138" s="4" t="s">
        <v>25</v>
      </c>
      <c r="G138" s="4" t="s">
        <v>25</v>
      </c>
      <c r="H138" s="4" t="s">
        <v>34</v>
      </c>
      <c r="I138" s="5">
        <v>44562</v>
      </c>
      <c r="J138" s="6">
        <v>0</v>
      </c>
      <c r="K138" s="52">
        <v>0</v>
      </c>
      <c r="L138" s="6">
        <v>22.17</v>
      </c>
      <c r="M138" s="52">
        <v>22.17</v>
      </c>
      <c r="N138" s="6">
        <v>22.17</v>
      </c>
      <c r="O138" s="52">
        <v>22.17</v>
      </c>
      <c r="P138" s="6">
        <v>0</v>
      </c>
      <c r="Q138" s="4" t="s">
        <v>26</v>
      </c>
      <c r="R138" s="4">
        <v>0</v>
      </c>
      <c r="S138" s="4">
        <v>0</v>
      </c>
      <c r="T138" s="4">
        <v>23</v>
      </c>
      <c r="U138" s="4">
        <v>25</v>
      </c>
      <c r="V138" s="52">
        <f>IF(ISERROR(VLOOKUP($S$138,'TAR FIN'!$A$1:$O$85,15,0)),0,VLOOKUP($S$138,'TAR FIN'!$A$1:$O$85,15,0))</f>
        <v>0</v>
      </c>
      <c r="W138" s="52">
        <f>IF(ISERROR(VLOOKUP($T$138,'TAR FIN'!$A$1:$O$85,15,0)),0,VLOOKUP($T$138,'TAR FIN'!$A$1:$O$85,15,0))*(1-0.06)</f>
        <v>2393.1835999999998</v>
      </c>
      <c r="X138" s="52">
        <f>IF(ISERROR(VLOOKUP($U$138,'TAR FIN'!$A$1:$O$85,15,0)),0,VLOOKUP($U$138,'TAR FIN'!$A$1:$O$85,15,0))*(1-0.06)</f>
        <v>209.68579999999997</v>
      </c>
      <c r="Y138" s="52"/>
      <c r="Z138" s="52">
        <f ca="1">('TUSD BE'!$AM$11+'TUSD BF'!$AM$11+'TUSD CVA'!$AM$11)*1*(1-0.03)</f>
        <v>3490.0216795225642</v>
      </c>
      <c r="AA138" s="52">
        <f>('TE BE'!$AB$5+'TE BF'!$AB$5+'TE CVA'!$AB$5)*1*(1-0.03)</f>
        <v>75.619613256969757</v>
      </c>
      <c r="AB138" s="52">
        <f>(SUBSIDIO!$J$138*SUBSIDIO!$V$138)*(0.06)/(1-0.06)</f>
        <v>0</v>
      </c>
      <c r="AC138" s="52">
        <f>((SUBSIDIO!$L$138*SUBSIDIO!$W$138)+(SUBSIDIO!$N$138*SUBSIDIO!$X$138))*(0.06)/(1-0.06)</f>
        <v>3683.337102</v>
      </c>
      <c r="AD138" s="52">
        <f>(SUBSIDIO!$J$138*SUBSIDIO!$Y$138)*(0.03)/(1-0.03)</f>
        <v>0</v>
      </c>
      <c r="AE138" s="52">
        <f ca="1">((SUBSIDIO!$L$138*SUBSIDIO!$Z$138)+(SUBSIDIO!$N$138*SUBSIDIO!$AA$138))*(0.03)/(1-0.03)</f>
        <v>2444.853632812029</v>
      </c>
      <c r="AF138" s="4" t="s">
        <v>691</v>
      </c>
    </row>
    <row r="139" spans="1:32" ht="11.25" customHeight="1" x14ac:dyDescent="0.3">
      <c r="A139" s="4" t="s">
        <v>21</v>
      </c>
      <c r="B139" s="4" t="s">
        <v>39</v>
      </c>
      <c r="C139" s="4" t="s">
        <v>40</v>
      </c>
      <c r="D139" s="4" t="s">
        <v>48</v>
      </c>
      <c r="E139" s="4" t="s">
        <v>49</v>
      </c>
      <c r="F139" s="4" t="s">
        <v>25</v>
      </c>
      <c r="G139" s="4" t="s">
        <v>25</v>
      </c>
      <c r="H139" s="4" t="s">
        <v>34</v>
      </c>
      <c r="I139" s="5">
        <v>44593</v>
      </c>
      <c r="J139" s="6">
        <v>0</v>
      </c>
      <c r="K139" s="52">
        <v>0</v>
      </c>
      <c r="L139" s="6">
        <v>21.122</v>
      </c>
      <c r="M139" s="52">
        <v>21.122</v>
      </c>
      <c r="N139" s="6">
        <v>21.122</v>
      </c>
      <c r="O139" s="52">
        <v>21.122</v>
      </c>
      <c r="P139" s="6">
        <v>0</v>
      </c>
      <c r="Q139" s="4" t="s">
        <v>26</v>
      </c>
      <c r="R139" s="4">
        <v>0</v>
      </c>
      <c r="S139" s="4">
        <v>0</v>
      </c>
      <c r="T139" s="4">
        <v>23</v>
      </c>
      <c r="U139" s="4">
        <v>25</v>
      </c>
      <c r="V139" s="52">
        <f>IF(ISERROR(VLOOKUP($S$139,'TAR FIN'!$A$1:$O$85,15,0)),0,VLOOKUP($S$139,'TAR FIN'!$A$1:$O$85,15,0))</f>
        <v>0</v>
      </c>
      <c r="W139" s="52">
        <f>IF(ISERROR(VLOOKUP($T$139,'TAR FIN'!$A$1:$O$85,15,0)),0,VLOOKUP($T$139,'TAR FIN'!$A$1:$O$85,15,0))*(1-0.06)</f>
        <v>2393.1835999999998</v>
      </c>
      <c r="X139" s="52">
        <f>IF(ISERROR(VLOOKUP($U$139,'TAR FIN'!$A$1:$O$85,15,0)),0,VLOOKUP($U$139,'TAR FIN'!$A$1:$O$85,15,0))*(1-0.06)</f>
        <v>209.68579999999997</v>
      </c>
      <c r="Y139" s="52"/>
      <c r="Z139" s="52">
        <f ca="1">('TUSD BE'!$AM$11+'TUSD BF'!$AM$11+'TUSD CVA'!$AM$11)*1*(1-0.03)</f>
        <v>3490.0216795225642</v>
      </c>
      <c r="AA139" s="52">
        <f>('TE BE'!$AB$5+'TE BF'!$AB$5+'TE CVA'!$AB$5)*1*(1-0.03)</f>
        <v>75.619613256969757</v>
      </c>
      <c r="AB139" s="52">
        <f>(SUBSIDIO!$J$139*SUBSIDIO!$V$139)*(0.06)/(1-0.06)</f>
        <v>0</v>
      </c>
      <c r="AC139" s="52">
        <f>((SUBSIDIO!$L$139*SUBSIDIO!$W$139)+(SUBSIDIO!$N$139*SUBSIDIO!$X$139))*(0.06)/(1-0.06)</f>
        <v>3509.2217531999995</v>
      </c>
      <c r="AD139" s="52">
        <f>(SUBSIDIO!$J$139*SUBSIDIO!$Y$139)*(0.03)/(1-0.03)</f>
        <v>0</v>
      </c>
      <c r="AE139" s="52">
        <f ca="1">((SUBSIDIO!$L$139*SUBSIDIO!$Z$139)+(SUBSIDIO!$N$139*SUBSIDIO!$AA$139))*(0.03)/(1-0.03)</f>
        <v>2329.2827438996696</v>
      </c>
      <c r="AF139" s="4" t="s">
        <v>691</v>
      </c>
    </row>
    <row r="140" spans="1:32" ht="11.25" customHeight="1" x14ac:dyDescent="0.3">
      <c r="A140" s="4" t="s">
        <v>21</v>
      </c>
      <c r="B140" s="4" t="s">
        <v>39</v>
      </c>
      <c r="C140" s="4" t="s">
        <v>40</v>
      </c>
      <c r="D140" s="4" t="s">
        <v>48</v>
      </c>
      <c r="E140" s="4" t="s">
        <v>49</v>
      </c>
      <c r="F140" s="4" t="s">
        <v>25</v>
      </c>
      <c r="G140" s="4" t="s">
        <v>25</v>
      </c>
      <c r="H140" s="4" t="s">
        <v>34</v>
      </c>
      <c r="I140" s="5">
        <v>44621</v>
      </c>
      <c r="J140" s="6">
        <v>0</v>
      </c>
      <c r="K140" s="52">
        <v>0</v>
      </c>
      <c r="L140" s="6">
        <v>19.91</v>
      </c>
      <c r="M140" s="52">
        <v>19.91</v>
      </c>
      <c r="N140" s="6">
        <v>19.91</v>
      </c>
      <c r="O140" s="52">
        <v>19.91</v>
      </c>
      <c r="P140" s="6">
        <v>0</v>
      </c>
      <c r="Q140" s="4" t="s">
        <v>26</v>
      </c>
      <c r="R140" s="4">
        <v>0</v>
      </c>
      <c r="S140" s="4">
        <v>0</v>
      </c>
      <c r="T140" s="4">
        <v>23</v>
      </c>
      <c r="U140" s="4">
        <v>25</v>
      </c>
      <c r="V140" s="52">
        <f>IF(ISERROR(VLOOKUP($S$140,'TAR FIN'!$A$1:$O$85,15,0)),0,VLOOKUP($S$140,'TAR FIN'!$A$1:$O$85,15,0))</f>
        <v>0</v>
      </c>
      <c r="W140" s="52">
        <f>IF(ISERROR(VLOOKUP($T$140,'TAR FIN'!$A$1:$O$85,15,0)),0,VLOOKUP($T$140,'TAR FIN'!$A$1:$O$85,15,0))*(1-0.06)</f>
        <v>2393.1835999999998</v>
      </c>
      <c r="X140" s="52">
        <f>IF(ISERROR(VLOOKUP($U$140,'TAR FIN'!$A$1:$O$85,15,0)),0,VLOOKUP($U$140,'TAR FIN'!$A$1:$O$85,15,0))*(1-0.06)</f>
        <v>209.68579999999997</v>
      </c>
      <c r="Y140" s="52"/>
      <c r="Z140" s="52">
        <f ca="1">('TUSD BE'!$AM$11+'TUSD BF'!$AM$11+'TUSD CVA'!$AM$11)*1*(1-0.03)</f>
        <v>3490.0216795225642</v>
      </c>
      <c r="AA140" s="52">
        <f>('TE BE'!$AB$5+'TE BF'!$AB$5+'TE CVA'!$AB$5)*1*(1-0.03)</f>
        <v>75.619613256969757</v>
      </c>
      <c r="AB140" s="52">
        <f>(SUBSIDIO!$J$140*SUBSIDIO!$V$140)*(0.06)/(1-0.06)</f>
        <v>0</v>
      </c>
      <c r="AC140" s="52">
        <f>((SUBSIDIO!$L$140*SUBSIDIO!$W$140)+(SUBSIDIO!$N$140*SUBSIDIO!$X$140))*(0.06)/(1-0.06)</f>
        <v>3307.8593459999997</v>
      </c>
      <c r="AD140" s="52">
        <f>(SUBSIDIO!$J$140*SUBSIDIO!$Y$140)*(0.03)/(1-0.03)</f>
        <v>0</v>
      </c>
      <c r="AE140" s="52">
        <f ca="1">((SUBSIDIO!$L$140*SUBSIDIO!$Z$140)+(SUBSIDIO!$N$140*SUBSIDIO!$AA$140))*(0.03)/(1-0.03)</f>
        <v>2195.6263342033149</v>
      </c>
      <c r="AF140" s="4" t="s">
        <v>691</v>
      </c>
    </row>
    <row r="141" spans="1:32" ht="11.25" customHeight="1" x14ac:dyDescent="0.3">
      <c r="A141" s="4" t="s">
        <v>21</v>
      </c>
      <c r="B141" s="4" t="s">
        <v>39</v>
      </c>
      <c r="C141" s="4" t="s">
        <v>40</v>
      </c>
      <c r="D141" s="4" t="s">
        <v>48</v>
      </c>
      <c r="E141" s="4" t="s">
        <v>49</v>
      </c>
      <c r="F141" s="4" t="s">
        <v>25</v>
      </c>
      <c r="G141" s="4" t="s">
        <v>25</v>
      </c>
      <c r="H141" s="4" t="s">
        <v>34</v>
      </c>
      <c r="I141" s="5">
        <v>44652</v>
      </c>
      <c r="J141" s="6">
        <v>0</v>
      </c>
      <c r="K141" s="52">
        <v>0</v>
      </c>
      <c r="L141" s="6">
        <v>17.25</v>
      </c>
      <c r="M141" s="52">
        <v>17.25</v>
      </c>
      <c r="N141" s="6">
        <v>17.25</v>
      </c>
      <c r="O141" s="52">
        <v>17.25</v>
      </c>
      <c r="P141" s="6">
        <v>0</v>
      </c>
      <c r="Q141" s="4" t="s">
        <v>26</v>
      </c>
      <c r="R141" s="4">
        <v>0</v>
      </c>
      <c r="S141" s="4">
        <v>0</v>
      </c>
      <c r="T141" s="4">
        <v>23</v>
      </c>
      <c r="U141" s="4">
        <v>25</v>
      </c>
      <c r="V141" s="52">
        <f>IF(ISERROR(VLOOKUP($S$141,'TAR FIN'!$A$1:$O$85,15,0)),0,VLOOKUP($S$141,'TAR FIN'!$A$1:$O$85,15,0))</f>
        <v>0</v>
      </c>
      <c r="W141" s="52">
        <f>IF(ISERROR(VLOOKUP($T$141,'TAR FIN'!$A$1:$O$85,15,0)),0,VLOOKUP($T$141,'TAR FIN'!$A$1:$O$85,15,0))*(1-0.06)</f>
        <v>2393.1835999999998</v>
      </c>
      <c r="X141" s="52">
        <f>IF(ISERROR(VLOOKUP($U$141,'TAR FIN'!$A$1:$O$85,15,0)),0,VLOOKUP($U$141,'TAR FIN'!$A$1:$O$85,15,0))*(1-0.06)</f>
        <v>209.68579999999997</v>
      </c>
      <c r="Y141" s="52"/>
      <c r="Z141" s="52">
        <f ca="1">('TUSD BE'!$AM$11+'TUSD BF'!$AM$11+'TUSD CVA'!$AM$11)*1*(1-0.03)</f>
        <v>3490.0216795225642</v>
      </c>
      <c r="AA141" s="52">
        <f>('TE BE'!$AB$5+'TE BF'!$AB$5+'TE CVA'!$AB$5)*1*(1-0.03)</f>
        <v>75.619613256969757</v>
      </c>
      <c r="AB141" s="52">
        <f>(SUBSIDIO!$J$141*SUBSIDIO!$V$141)*(0.06)/(1-0.06)</f>
        <v>0</v>
      </c>
      <c r="AC141" s="52">
        <f>((SUBSIDIO!$L$141*SUBSIDIO!$W$141)+(SUBSIDIO!$N$141*SUBSIDIO!$X$141))*(0.06)/(1-0.06)</f>
        <v>2865.92535</v>
      </c>
      <c r="AD141" s="52">
        <f>(SUBSIDIO!$J$141*SUBSIDIO!$Y$141)*(0.03)/(1-0.03)</f>
        <v>0</v>
      </c>
      <c r="AE141" s="52">
        <f ca="1">((SUBSIDIO!$L$141*SUBSIDIO!$Z$141)+(SUBSIDIO!$N$141*SUBSIDIO!$AA$141))*(0.03)/(1-0.03)</f>
        <v>1902.2880092921741</v>
      </c>
      <c r="AF141" s="4" t="s">
        <v>691</v>
      </c>
    </row>
    <row r="142" spans="1:32" ht="11.25" customHeight="1" x14ac:dyDescent="0.3">
      <c r="A142" s="4" t="s">
        <v>21</v>
      </c>
      <c r="B142" s="4" t="s">
        <v>39</v>
      </c>
      <c r="C142" s="4" t="s">
        <v>40</v>
      </c>
      <c r="D142" s="4" t="s">
        <v>48</v>
      </c>
      <c r="E142" s="4" t="s">
        <v>49</v>
      </c>
      <c r="F142" s="4" t="s">
        <v>25</v>
      </c>
      <c r="G142" s="4" t="s">
        <v>25</v>
      </c>
      <c r="H142" s="4" t="s">
        <v>34</v>
      </c>
      <c r="I142" s="5">
        <v>44682</v>
      </c>
      <c r="J142" s="6">
        <v>0</v>
      </c>
      <c r="K142" s="52">
        <v>0</v>
      </c>
      <c r="L142" s="6">
        <v>17.478000000000002</v>
      </c>
      <c r="M142" s="52">
        <v>17.478000000000002</v>
      </c>
      <c r="N142" s="6">
        <v>17.478000000000002</v>
      </c>
      <c r="O142" s="52">
        <v>17.478000000000002</v>
      </c>
      <c r="P142" s="6">
        <v>0</v>
      </c>
      <c r="Q142" s="4" t="s">
        <v>26</v>
      </c>
      <c r="R142" s="4">
        <v>0</v>
      </c>
      <c r="S142" s="4">
        <v>0</v>
      </c>
      <c r="T142" s="4">
        <v>23</v>
      </c>
      <c r="U142" s="4">
        <v>25</v>
      </c>
      <c r="V142" s="52">
        <f>IF(ISERROR(VLOOKUP($S$142,'TAR FIN'!$A$1:$O$85,15,0)),0,VLOOKUP($S$142,'TAR FIN'!$A$1:$O$85,15,0))</f>
        <v>0</v>
      </c>
      <c r="W142" s="52">
        <f>IF(ISERROR(VLOOKUP($T$142,'TAR FIN'!$A$1:$O$85,15,0)),0,VLOOKUP($T$142,'TAR FIN'!$A$1:$O$85,15,0))*(1-0.06)</f>
        <v>2393.1835999999998</v>
      </c>
      <c r="X142" s="52">
        <f>IF(ISERROR(VLOOKUP($U$142,'TAR FIN'!$A$1:$O$85,15,0)),0,VLOOKUP($U$142,'TAR FIN'!$A$1:$O$85,15,0))*(1-0.06)</f>
        <v>209.68579999999997</v>
      </c>
      <c r="Y142" s="52"/>
      <c r="Z142" s="52">
        <f ca="1">('TUSD BE'!$AM$11+'TUSD BF'!$AM$11+'TUSD CVA'!$AM$11)*1*(1-0.03)</f>
        <v>3490.0216795225642</v>
      </c>
      <c r="AA142" s="52">
        <f>('TE BE'!$AB$5+'TE BF'!$AB$5+'TE CVA'!$AB$5)*1*(1-0.03)</f>
        <v>75.619613256969757</v>
      </c>
      <c r="AB142" s="52">
        <f>(SUBSIDIO!$J$142*SUBSIDIO!$V$142)*(0.06)/(1-0.06)</f>
        <v>0</v>
      </c>
      <c r="AC142" s="52">
        <f>((SUBSIDIO!$L$142*SUBSIDIO!$W$142)+(SUBSIDIO!$N$142*SUBSIDIO!$X$142))*(0.06)/(1-0.06)</f>
        <v>2903.8054068000006</v>
      </c>
      <c r="AD142" s="52">
        <f>(SUBSIDIO!$J$142*SUBSIDIO!$Y$142)*(0.03)/(1-0.03)</f>
        <v>0</v>
      </c>
      <c r="AE142" s="52">
        <f ca="1">((SUBSIDIO!$L$142*SUBSIDIO!$Z$142)+(SUBSIDIO!$N$142*SUBSIDIO!$AA$142))*(0.03)/(1-0.03)</f>
        <v>1927.4312942845577</v>
      </c>
      <c r="AF142" s="4" t="s">
        <v>691</v>
      </c>
    </row>
    <row r="143" spans="1:32" ht="11.25" customHeight="1" x14ac:dyDescent="0.3">
      <c r="A143" s="4" t="s">
        <v>21</v>
      </c>
      <c r="B143" s="4" t="s">
        <v>39</v>
      </c>
      <c r="C143" s="4" t="s">
        <v>40</v>
      </c>
      <c r="D143" s="4" t="s">
        <v>48</v>
      </c>
      <c r="E143" s="4" t="s">
        <v>49</v>
      </c>
      <c r="F143" s="4" t="s">
        <v>25</v>
      </c>
      <c r="G143" s="4" t="s">
        <v>25</v>
      </c>
      <c r="H143" s="4" t="s">
        <v>34</v>
      </c>
      <c r="I143" s="5">
        <v>44713</v>
      </c>
      <c r="J143" s="6">
        <v>0</v>
      </c>
      <c r="K143" s="52">
        <v>0</v>
      </c>
      <c r="L143" s="6">
        <v>16.527000000000001</v>
      </c>
      <c r="M143" s="52">
        <v>16.527000000000001</v>
      </c>
      <c r="N143" s="6">
        <v>16.527000000000001</v>
      </c>
      <c r="O143" s="52">
        <v>16.527000000000001</v>
      </c>
      <c r="P143" s="6">
        <v>0</v>
      </c>
      <c r="Q143" s="4" t="s">
        <v>26</v>
      </c>
      <c r="R143" s="4">
        <v>0</v>
      </c>
      <c r="S143" s="4">
        <v>0</v>
      </c>
      <c r="T143" s="4">
        <v>23</v>
      </c>
      <c r="U143" s="4">
        <v>25</v>
      </c>
      <c r="V143" s="52">
        <f>IF(ISERROR(VLOOKUP($S$143,'TAR FIN'!$A$1:$O$85,15,0)),0,VLOOKUP($S$143,'TAR FIN'!$A$1:$O$85,15,0))</f>
        <v>0</v>
      </c>
      <c r="W143" s="52">
        <f>IF(ISERROR(VLOOKUP($T$143,'TAR FIN'!$A$1:$O$85,15,0)),0,VLOOKUP($T$143,'TAR FIN'!$A$1:$O$85,15,0))*(1-0.06)</f>
        <v>2393.1835999999998</v>
      </c>
      <c r="X143" s="52">
        <f>IF(ISERROR(VLOOKUP($U$143,'TAR FIN'!$A$1:$O$85,15,0)),0,VLOOKUP($U$143,'TAR FIN'!$A$1:$O$85,15,0))*(1-0.06)</f>
        <v>209.68579999999997</v>
      </c>
      <c r="Y143" s="52"/>
      <c r="Z143" s="52">
        <f ca="1">('TUSD BE'!$AM$11+'TUSD BF'!$AM$11+'TUSD CVA'!$AM$11)*1*(1-0.03)</f>
        <v>3490.0216795225642</v>
      </c>
      <c r="AA143" s="52">
        <f>('TE BE'!$AB$5+'TE BF'!$AB$5+'TE CVA'!$AB$5)*1*(1-0.03)</f>
        <v>75.619613256969757</v>
      </c>
      <c r="AB143" s="52">
        <f>(SUBSIDIO!$J$143*SUBSIDIO!$V$143)*(0.06)/(1-0.06)</f>
        <v>0</v>
      </c>
      <c r="AC143" s="52">
        <f>((SUBSIDIO!$L$143*SUBSIDIO!$W$143)+(SUBSIDIO!$N$143*SUBSIDIO!$X$143))*(0.06)/(1-0.06)</f>
        <v>2745.8056962000001</v>
      </c>
      <c r="AD143" s="52">
        <f>(SUBSIDIO!$J$143*SUBSIDIO!$Y$143)*(0.03)/(1-0.03)</f>
        <v>0</v>
      </c>
      <c r="AE143" s="52">
        <f ca="1">((SUBSIDIO!$L$143*SUBSIDIO!$Z$143)+(SUBSIDIO!$N$143*SUBSIDIO!$AA$143))*(0.03)/(1-0.03)</f>
        <v>1822.5573292505371</v>
      </c>
      <c r="AF143" s="4" t="s">
        <v>691</v>
      </c>
    </row>
    <row r="144" spans="1:32" ht="11.25" customHeight="1" x14ac:dyDescent="0.3">
      <c r="A144" s="4" t="s">
        <v>21</v>
      </c>
      <c r="B144" s="4" t="s">
        <v>39</v>
      </c>
      <c r="C144" s="4" t="s">
        <v>40</v>
      </c>
      <c r="D144" s="4" t="s">
        <v>48</v>
      </c>
      <c r="E144" s="4" t="s">
        <v>49</v>
      </c>
      <c r="F144" s="4" t="s">
        <v>25</v>
      </c>
      <c r="G144" s="4" t="s">
        <v>25</v>
      </c>
      <c r="H144" s="4" t="s">
        <v>34</v>
      </c>
      <c r="I144" s="5">
        <v>44743</v>
      </c>
      <c r="J144" s="6">
        <v>0</v>
      </c>
      <c r="K144" s="52">
        <v>0</v>
      </c>
      <c r="L144" s="6">
        <v>17.495000000000001</v>
      </c>
      <c r="M144" s="52">
        <v>17.495000000000001</v>
      </c>
      <c r="N144" s="6">
        <v>17.495000000000001</v>
      </c>
      <c r="O144" s="52">
        <v>17.495000000000001</v>
      </c>
      <c r="P144" s="6">
        <v>0</v>
      </c>
      <c r="Q144" s="4" t="s">
        <v>26</v>
      </c>
      <c r="R144" s="4">
        <v>0</v>
      </c>
      <c r="S144" s="4">
        <v>0</v>
      </c>
      <c r="T144" s="4">
        <v>23</v>
      </c>
      <c r="U144" s="4">
        <v>25</v>
      </c>
      <c r="V144" s="52">
        <f>IF(ISERROR(VLOOKUP($S$144,'TAR FIN'!$A$1:$O$85,15,0)),0,VLOOKUP($S$144,'TAR FIN'!$A$1:$O$85,15,0))</f>
        <v>0</v>
      </c>
      <c r="W144" s="52">
        <f>IF(ISERROR(VLOOKUP($T$144,'TAR FIN'!$A$1:$O$85,15,0)),0,VLOOKUP($T$144,'TAR FIN'!$A$1:$O$85,15,0))*(1-0.06)</f>
        <v>2393.1835999999998</v>
      </c>
      <c r="X144" s="52">
        <f>IF(ISERROR(VLOOKUP($U$144,'TAR FIN'!$A$1:$O$85,15,0)),0,VLOOKUP($U$144,'TAR FIN'!$A$1:$O$85,15,0))*(1-0.06)</f>
        <v>209.68579999999997</v>
      </c>
      <c r="Y144" s="52"/>
      <c r="Z144" s="52">
        <f ca="1">('TUSD BE'!$AM$11+'TUSD BF'!$AM$11+'TUSD CVA'!$AM$11)*1*(1-0.03)</f>
        <v>3490.0216795225642</v>
      </c>
      <c r="AA144" s="52">
        <f>('TE BE'!$AB$5+'TE BF'!$AB$5+'TE CVA'!$AB$5)*1*(1-0.03)</f>
        <v>75.619613256969757</v>
      </c>
      <c r="AB144" s="52">
        <f>(SUBSIDIO!$J$144*SUBSIDIO!$V$144)*(0.06)/(1-0.06)</f>
        <v>0</v>
      </c>
      <c r="AC144" s="52">
        <f>((SUBSIDIO!$L$144*SUBSIDIO!$W$144)+(SUBSIDIO!$N$144*SUBSIDIO!$X$144))*(0.06)/(1-0.06)</f>
        <v>2906.6297970000001</v>
      </c>
      <c r="AD144" s="52">
        <f>(SUBSIDIO!$J$144*SUBSIDIO!$Y$144)*(0.03)/(1-0.03)</f>
        <v>0</v>
      </c>
      <c r="AE144" s="52">
        <f ca="1">((SUBSIDIO!$L$144*SUBSIDIO!$Z$144)+(SUBSIDIO!$N$144*SUBSIDIO!$AA$144))*(0.03)/(1-0.03)</f>
        <v>1929.3060129024109</v>
      </c>
      <c r="AF144" s="4" t="s">
        <v>691</v>
      </c>
    </row>
    <row r="145" spans="1:32" ht="11.25" customHeight="1" x14ac:dyDescent="0.3">
      <c r="A145" s="4" t="s">
        <v>21</v>
      </c>
      <c r="B145" s="4" t="s">
        <v>39</v>
      </c>
      <c r="C145" s="4" t="s">
        <v>40</v>
      </c>
      <c r="D145" s="4" t="s">
        <v>48</v>
      </c>
      <c r="E145" s="4" t="s">
        <v>49</v>
      </c>
      <c r="F145" s="4" t="s">
        <v>25</v>
      </c>
      <c r="G145" s="4" t="s">
        <v>25</v>
      </c>
      <c r="H145" s="4" t="s">
        <v>34</v>
      </c>
      <c r="I145" s="5">
        <v>44774</v>
      </c>
      <c r="J145" s="6">
        <v>0</v>
      </c>
      <c r="K145" s="52">
        <v>0</v>
      </c>
      <c r="L145" s="6">
        <v>17.931000000000001</v>
      </c>
      <c r="M145" s="52">
        <v>17.931000000000001</v>
      </c>
      <c r="N145" s="6">
        <v>17.931000000000001</v>
      </c>
      <c r="O145" s="52">
        <v>17.931000000000001</v>
      </c>
      <c r="P145" s="6">
        <v>0</v>
      </c>
      <c r="Q145" s="4" t="s">
        <v>26</v>
      </c>
      <c r="R145" s="4">
        <v>0</v>
      </c>
      <c r="S145" s="4">
        <v>0</v>
      </c>
      <c r="T145" s="4">
        <v>23</v>
      </c>
      <c r="U145" s="4">
        <v>25</v>
      </c>
      <c r="V145" s="52">
        <f>IF(ISERROR(VLOOKUP($S$145,'TAR FIN'!$A$1:$O$85,15,0)),0,VLOOKUP($S$145,'TAR FIN'!$A$1:$O$85,15,0))</f>
        <v>0</v>
      </c>
      <c r="W145" s="52">
        <f>IF(ISERROR(VLOOKUP($T$145,'TAR FIN'!$A$1:$O$85,15,0)),0,VLOOKUP($T$145,'TAR FIN'!$A$1:$O$85,15,0))*(1-0.06)</f>
        <v>2393.1835999999998</v>
      </c>
      <c r="X145" s="52">
        <f>IF(ISERROR(VLOOKUP($U$145,'TAR FIN'!$A$1:$O$85,15,0)),0,VLOOKUP($U$145,'TAR FIN'!$A$1:$O$85,15,0))*(1-0.06)</f>
        <v>209.68579999999997</v>
      </c>
      <c r="Y145" s="52"/>
      <c r="Z145" s="52">
        <f ca="1">('TUSD BE'!$AM$11+'TUSD BF'!$AM$11+'TUSD CVA'!$AM$11)*1*(1-0.03)</f>
        <v>3490.0216795225642</v>
      </c>
      <c r="AA145" s="52">
        <f>('TE BE'!$AB$5+'TE BF'!$AB$5+'TE CVA'!$AB$5)*1*(1-0.03)</f>
        <v>75.619613256969757</v>
      </c>
      <c r="AB145" s="52">
        <f>(SUBSIDIO!$J$145*SUBSIDIO!$V$145)*(0.06)/(1-0.06)</f>
        <v>0</v>
      </c>
      <c r="AC145" s="52">
        <f>((SUBSIDIO!$L$145*SUBSIDIO!$W$145)+(SUBSIDIO!$N$145*SUBSIDIO!$X$145))*(0.06)/(1-0.06)</f>
        <v>2979.0670986000005</v>
      </c>
      <c r="AD145" s="52">
        <f>(SUBSIDIO!$J$145*SUBSIDIO!$Y$145)*(0.03)/(1-0.03)</f>
        <v>0</v>
      </c>
      <c r="AE145" s="52">
        <f ca="1">((SUBSIDIO!$L$145*SUBSIDIO!$Z$145)+(SUBSIDIO!$N$145*SUBSIDIO!$AA$145))*(0.03)/(1-0.03)</f>
        <v>1977.3870315720567</v>
      </c>
      <c r="AF145" s="4" t="s">
        <v>691</v>
      </c>
    </row>
    <row r="146" spans="1:32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44440</v>
      </c>
      <c r="J146" s="6">
        <v>0</v>
      </c>
      <c r="K146" s="6">
        <v>0</v>
      </c>
      <c r="L146" s="6">
        <v>2217.5830000000001</v>
      </c>
      <c r="M146" s="6">
        <v>2217.5830000000001</v>
      </c>
      <c r="N146" s="6">
        <v>2217.5830000000001</v>
      </c>
      <c r="O146" s="6">
        <v>2217.5830000000001</v>
      </c>
      <c r="P146" s="6">
        <v>13311</v>
      </c>
      <c r="Q146" s="4" t="s">
        <v>26</v>
      </c>
      <c r="R146" s="4">
        <v>0</v>
      </c>
      <c r="S146" s="4">
        <v>0</v>
      </c>
      <c r="T146" s="4">
        <v>18</v>
      </c>
      <c r="U146" s="4">
        <v>42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482.65</v>
      </c>
      <c r="X146" s="6">
        <f>IF(ISERROR(VLOOKUP($U$146,'TAR FIN'!$A$1:$O$85,15,0)),0,VLOOKUP($U$146,'TAR FIN'!$A$1:$O$85,15,0))</f>
        <v>223.07</v>
      </c>
      <c r="Y146" s="6"/>
      <c r="Z146" s="6">
        <f ca="1">('TUSD BE'!$AM$20+'TUSD BF'!$AM$20+'TUSD CVA'!$AM$20)*1</f>
        <v>679.24595390998343</v>
      </c>
      <c r="AA146" s="6">
        <f>('TE BE'!$AB$10+'TE BF'!$AB$10+'TE CVA'!$AB$10)*1</f>
        <v>77.958364182443049</v>
      </c>
      <c r="AB146" s="6">
        <f t="shared" ref="AB146:AB193" si="12">(J146-K146)*V146</f>
        <v>0</v>
      </c>
      <c r="AC146" s="6">
        <f t="shared" ref="AC146" si="13">(L146-M146)*W146+(N146-O146)*X146</f>
        <v>0</v>
      </c>
      <c r="AD146" s="6">
        <f t="shared" ref="AD146:AD193" si="14">(J146-K146)*Y146</f>
        <v>0</v>
      </c>
      <c r="AE146" s="6">
        <f t="shared" ref="AE146" ca="1" si="15">(L146-M146)*Z146+(N146-O146)*AA146</f>
        <v>0</v>
      </c>
    </row>
    <row r="147" spans="1:32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29</v>
      </c>
      <c r="F147" s="4" t="s">
        <v>25</v>
      </c>
      <c r="G147" s="4" t="s">
        <v>25</v>
      </c>
      <c r="H147" s="4" t="s">
        <v>25</v>
      </c>
      <c r="I147" s="5">
        <v>44440</v>
      </c>
      <c r="J147" s="6">
        <v>0</v>
      </c>
      <c r="K147" s="6">
        <v>0</v>
      </c>
      <c r="L147" s="6">
        <v>5.7</v>
      </c>
      <c r="M147" s="6">
        <v>5.7</v>
      </c>
      <c r="N147" s="6">
        <v>5.7</v>
      </c>
      <c r="O147" s="6">
        <v>5.7</v>
      </c>
      <c r="P147" s="6">
        <v>11</v>
      </c>
      <c r="Q147" s="4" t="s">
        <v>26</v>
      </c>
      <c r="R147" s="4">
        <v>0</v>
      </c>
      <c r="S147" s="4">
        <v>0</v>
      </c>
      <c r="T147" s="4">
        <v>13</v>
      </c>
      <c r="U147" s="4">
        <v>68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146.74</v>
      </c>
      <c r="X147" s="6">
        <f>IF(ISERROR(VLOOKUP($U$147,'TAR FIN'!$A$1:$O$85,15,0)),0,VLOOKUP($U$147,'TAR FIN'!$A$1:$O$85,15,0))</f>
        <v>78.069999999999993</v>
      </c>
      <c r="Y147" s="6"/>
      <c r="Z147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47" s="6">
        <f>('TE BE'!$AB$11+'TE BF'!$AB$11+'TE CVA'!$AB$11)*(1-CUSTOS!$M$34)</f>
        <v>27.285427463855065</v>
      </c>
      <c r="AB147" s="6">
        <f t="shared" si="12"/>
        <v>0</v>
      </c>
      <c r="AC147" s="6">
        <f>(L147-M147)*(W147+X147)+($W$183+$X$183-$W$147-$X$147)*(L147)</f>
        <v>2379.9209999999998</v>
      </c>
      <c r="AD147" s="6">
        <f t="shared" si="14"/>
        <v>0</v>
      </c>
      <c r="AE147" s="6">
        <f ca="1">(L147-M147)*(Z147+AA147)+($Z$183+$AA$183-$Z$147-$AA$147)*(L147)</f>
        <v>2429.3855430652911</v>
      </c>
      <c r="AF147" s="4" t="s">
        <v>692</v>
      </c>
    </row>
    <row r="148" spans="1:32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29</v>
      </c>
      <c r="F148" s="4" t="s">
        <v>25</v>
      </c>
      <c r="G148" s="4" t="s">
        <v>25</v>
      </c>
      <c r="H148" s="4" t="s">
        <v>25</v>
      </c>
      <c r="I148" s="5">
        <v>44470</v>
      </c>
      <c r="J148" s="6">
        <v>0</v>
      </c>
      <c r="K148" s="6">
        <v>0</v>
      </c>
      <c r="L148" s="6">
        <v>5.7</v>
      </c>
      <c r="M148" s="6">
        <v>5.7</v>
      </c>
      <c r="N148" s="6">
        <v>5.7</v>
      </c>
      <c r="O148" s="6">
        <v>5.7</v>
      </c>
      <c r="P148" s="6">
        <v>9</v>
      </c>
      <c r="Q148" s="4" t="s">
        <v>26</v>
      </c>
      <c r="R148" s="4">
        <v>0</v>
      </c>
      <c r="S148" s="4">
        <v>0</v>
      </c>
      <c r="T148" s="4">
        <v>13</v>
      </c>
      <c r="U148" s="4">
        <v>68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146.74</v>
      </c>
      <c r="X148" s="6">
        <f>IF(ISERROR(VLOOKUP($U$148,'TAR FIN'!$A$1:$O$85,15,0)),0,VLOOKUP($U$148,'TAR FIN'!$A$1:$O$85,15,0))</f>
        <v>78.069999999999993</v>
      </c>
      <c r="Y148" s="6"/>
      <c r="Z148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48" s="6">
        <f>('TE BE'!$AB$11+'TE BF'!$AB$11+'TE CVA'!$AB$11)*(1-CUSTOS!$M$34)</f>
        <v>27.285427463855065</v>
      </c>
      <c r="AB148" s="6">
        <f t="shared" si="12"/>
        <v>0</v>
      </c>
      <c r="AC148" s="6">
        <f>(L148-M148)*(W148+X148)+($W$183+$X$183-$W$148-$X$148)*(L148)</f>
        <v>2379.9209999999998</v>
      </c>
      <c r="AD148" s="6">
        <f t="shared" si="14"/>
        <v>0</v>
      </c>
      <c r="AE148" s="6">
        <f ca="1">(L148-M148)*(Z148+AA148)+($Z$183+$AA$183-$Z$148-$AA$148)*(L148)</f>
        <v>2429.3855430652911</v>
      </c>
      <c r="AF148" s="4" t="s">
        <v>692</v>
      </c>
    </row>
    <row r="149" spans="1:32" ht="11.25" customHeight="1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29</v>
      </c>
      <c r="F149" s="4" t="s">
        <v>25</v>
      </c>
      <c r="G149" s="4" t="s">
        <v>25</v>
      </c>
      <c r="H149" s="4" t="s">
        <v>25</v>
      </c>
      <c r="I149" s="5">
        <v>44501</v>
      </c>
      <c r="J149" s="6">
        <v>0</v>
      </c>
      <c r="K149" s="6">
        <v>0</v>
      </c>
      <c r="L149" s="6">
        <v>5.82</v>
      </c>
      <c r="M149" s="6">
        <v>5.82</v>
      </c>
      <c r="N149" s="6">
        <v>5.82</v>
      </c>
      <c r="O149" s="6">
        <v>5.82</v>
      </c>
      <c r="P149" s="6">
        <v>6</v>
      </c>
      <c r="Q149" s="4" t="s">
        <v>26</v>
      </c>
      <c r="R149" s="4">
        <v>0</v>
      </c>
      <c r="S149" s="4">
        <v>0</v>
      </c>
      <c r="T149" s="4">
        <v>13</v>
      </c>
      <c r="U149" s="4">
        <v>68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146.74</v>
      </c>
      <c r="X149" s="6">
        <f>IF(ISERROR(VLOOKUP($U$149,'TAR FIN'!$A$1:$O$85,15,0)),0,VLOOKUP($U$149,'TAR FIN'!$A$1:$O$85,15,0))</f>
        <v>78.069999999999993</v>
      </c>
      <c r="Y149" s="6"/>
      <c r="Z149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49" s="6">
        <f>('TE BE'!$AB$11+'TE BF'!$AB$11+'TE CVA'!$AB$11)*(1-CUSTOS!$M$34)</f>
        <v>27.285427463855065</v>
      </c>
      <c r="AB149" s="6">
        <f t="shared" si="12"/>
        <v>0</v>
      </c>
      <c r="AC149" s="6">
        <f>(L149-M149)*(W149+X149)+($W$183+$X$183-$W$149-$X$149)*(L149)</f>
        <v>2430.0245999999997</v>
      </c>
      <c r="AD149" s="6">
        <f t="shared" si="14"/>
        <v>0</v>
      </c>
      <c r="AE149" s="6">
        <f ca="1">(L149-M149)*(Z149+AA149)+($Z$183+$AA$183-$Z$149-$AA$149)*(L149)</f>
        <v>2480.5305018666659</v>
      </c>
      <c r="AF149" s="4" t="s">
        <v>692</v>
      </c>
    </row>
    <row r="150" spans="1:32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29</v>
      </c>
      <c r="F150" s="4" t="s">
        <v>25</v>
      </c>
      <c r="G150" s="4" t="s">
        <v>25</v>
      </c>
      <c r="H150" s="4" t="s">
        <v>25</v>
      </c>
      <c r="I150" s="5">
        <v>44531</v>
      </c>
      <c r="J150" s="6">
        <v>0</v>
      </c>
      <c r="K150" s="6">
        <v>0</v>
      </c>
      <c r="L150" s="6">
        <v>5.79</v>
      </c>
      <c r="M150" s="6">
        <v>5.79</v>
      </c>
      <c r="N150" s="6">
        <v>5.79</v>
      </c>
      <c r="O150" s="6">
        <v>5.79</v>
      </c>
      <c r="P150" s="6">
        <v>6</v>
      </c>
      <c r="Q150" s="4" t="s">
        <v>26</v>
      </c>
      <c r="R150" s="4">
        <v>0</v>
      </c>
      <c r="S150" s="4">
        <v>0</v>
      </c>
      <c r="T150" s="4">
        <v>13</v>
      </c>
      <c r="U150" s="4">
        <v>68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146.74</v>
      </c>
      <c r="X150" s="6">
        <f>IF(ISERROR(VLOOKUP($U$150,'TAR FIN'!$A$1:$O$85,15,0)),0,VLOOKUP($U$150,'TAR FIN'!$A$1:$O$85,15,0))</f>
        <v>78.069999999999993</v>
      </c>
      <c r="Y150" s="6"/>
      <c r="Z150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0" s="6">
        <f>('TE BE'!$AB$11+'TE BF'!$AB$11+'TE CVA'!$AB$11)*(1-CUSTOS!$M$34)</f>
        <v>27.285427463855065</v>
      </c>
      <c r="AB150" s="6">
        <f t="shared" si="12"/>
        <v>0</v>
      </c>
      <c r="AC150" s="6">
        <f>(L150-M150)*(W150+X150)+($W$183+$X$183-$W$150-$X$150)*(L150)</f>
        <v>2417.4986999999996</v>
      </c>
      <c r="AD150" s="6">
        <f t="shared" si="14"/>
        <v>0</v>
      </c>
      <c r="AE150" s="6">
        <f ca="1">(L150-M150)*(Z150+AA150)+($Z$183+$AA$183-$Z$150-$AA$150)*(L150)</f>
        <v>2467.7442621663222</v>
      </c>
      <c r="AF150" s="4" t="s">
        <v>692</v>
      </c>
    </row>
    <row r="151" spans="1:32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29</v>
      </c>
      <c r="F151" s="4" t="s">
        <v>25</v>
      </c>
      <c r="G151" s="4" t="s">
        <v>25</v>
      </c>
      <c r="H151" s="4" t="s">
        <v>25</v>
      </c>
      <c r="I151" s="5">
        <v>44562</v>
      </c>
      <c r="J151" s="6">
        <v>0</v>
      </c>
      <c r="K151" s="6">
        <v>0</v>
      </c>
      <c r="L151" s="6">
        <v>5.73</v>
      </c>
      <c r="M151" s="6">
        <v>5.73</v>
      </c>
      <c r="N151" s="6">
        <v>5.73</v>
      </c>
      <c r="O151" s="6">
        <v>5.73</v>
      </c>
      <c r="P151" s="6">
        <v>4</v>
      </c>
      <c r="Q151" s="4" t="s">
        <v>26</v>
      </c>
      <c r="R151" s="4">
        <v>0</v>
      </c>
      <c r="S151" s="4">
        <v>0</v>
      </c>
      <c r="T151" s="4">
        <v>13</v>
      </c>
      <c r="U151" s="4">
        <v>68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146.74</v>
      </c>
      <c r="X151" s="6">
        <f>IF(ISERROR(VLOOKUP($U$151,'TAR FIN'!$A$1:$O$85,15,0)),0,VLOOKUP($U$151,'TAR FIN'!$A$1:$O$85,15,0))</f>
        <v>78.069999999999993</v>
      </c>
      <c r="Y151" s="6"/>
      <c r="Z151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1" s="6">
        <f>('TE BE'!$AB$11+'TE BF'!$AB$11+'TE CVA'!$AB$11)*(1-CUSTOS!$M$34)</f>
        <v>27.285427463855065</v>
      </c>
      <c r="AB151" s="6">
        <f t="shared" si="12"/>
        <v>0</v>
      </c>
      <c r="AC151" s="6">
        <f>(L151-M151)*(W151+X151)+($W$183+$X$183-$W$151-$X$151)*(L151)</f>
        <v>2392.4468999999999</v>
      </c>
      <c r="AD151" s="6">
        <f t="shared" si="14"/>
        <v>0</v>
      </c>
      <c r="AE151" s="6">
        <f ca="1">(L151-M151)*(Z151+AA151)+($Z$183+$AA$183-$Z$151-$AA$151)*(L151)</f>
        <v>2442.1717827656348</v>
      </c>
      <c r="AF151" s="4" t="s">
        <v>692</v>
      </c>
    </row>
    <row r="152" spans="1:32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29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5.85</v>
      </c>
      <c r="M152" s="6">
        <v>5.85</v>
      </c>
      <c r="N152" s="6">
        <v>5.85</v>
      </c>
      <c r="O152" s="6">
        <v>5.85</v>
      </c>
      <c r="P152" s="6">
        <v>3</v>
      </c>
      <c r="Q152" s="4" t="s">
        <v>26</v>
      </c>
      <c r="R152" s="4">
        <v>0</v>
      </c>
      <c r="S152" s="4">
        <v>0</v>
      </c>
      <c r="T152" s="4">
        <v>13</v>
      </c>
      <c r="U152" s="4">
        <v>68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146.74</v>
      </c>
      <c r="X152" s="6">
        <f>IF(ISERROR(VLOOKUP($U$152,'TAR FIN'!$A$1:$O$85,15,0)),0,VLOOKUP($U$152,'TAR FIN'!$A$1:$O$85,15,0))</f>
        <v>78.069999999999993</v>
      </c>
      <c r="Y152" s="6"/>
      <c r="Z152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2" s="6">
        <f>('TE BE'!$AB$11+'TE BF'!$AB$11+'TE CVA'!$AB$11)*(1-CUSTOS!$M$34)</f>
        <v>27.285427463855065</v>
      </c>
      <c r="AB152" s="6">
        <f t="shared" si="12"/>
        <v>0</v>
      </c>
      <c r="AC152" s="6">
        <f>(L152-M152)*(W152+X152)+($W$183+$X$183-$W$152-$X$152)*(L152)</f>
        <v>2442.5504999999994</v>
      </c>
      <c r="AD152" s="6">
        <f t="shared" si="14"/>
        <v>0</v>
      </c>
      <c r="AE152" s="6">
        <f ca="1">(L152-M152)*(Z152+AA152)+($Z$183+$AA$183-$Z$152-$AA$152)*(L152)</f>
        <v>2493.3167415670091</v>
      </c>
      <c r="AF152" s="4" t="s">
        <v>692</v>
      </c>
    </row>
    <row r="153" spans="1:32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29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6</v>
      </c>
      <c r="M153" s="6">
        <v>6</v>
      </c>
      <c r="N153" s="6">
        <v>6</v>
      </c>
      <c r="O153" s="6">
        <v>6</v>
      </c>
      <c r="P153" s="6">
        <v>4</v>
      </c>
      <c r="Q153" s="4" t="s">
        <v>26</v>
      </c>
      <c r="R153" s="4">
        <v>0</v>
      </c>
      <c r="S153" s="4">
        <v>0</v>
      </c>
      <c r="T153" s="4">
        <v>13</v>
      </c>
      <c r="U153" s="4">
        <v>68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146.74</v>
      </c>
      <c r="X153" s="6">
        <f>IF(ISERROR(VLOOKUP($U$153,'TAR FIN'!$A$1:$O$85,15,0)),0,VLOOKUP($U$153,'TAR FIN'!$A$1:$O$85,15,0))</f>
        <v>78.069999999999993</v>
      </c>
      <c r="Y153" s="6"/>
      <c r="Z153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3" s="6">
        <f>('TE BE'!$AB$11+'TE BF'!$AB$11+'TE CVA'!$AB$11)*(1-CUSTOS!$M$34)</f>
        <v>27.285427463855065</v>
      </c>
      <c r="AB153" s="6">
        <f t="shared" si="12"/>
        <v>0</v>
      </c>
      <c r="AC153" s="6">
        <f>(L153-M153)*(W153+X153)+($W$183+$X$183-$W$153-$X$153)*(L153)</f>
        <v>2505.1799999999994</v>
      </c>
      <c r="AD153" s="6">
        <f t="shared" si="14"/>
        <v>0</v>
      </c>
      <c r="AE153" s="6">
        <f ca="1">(L153-M153)*(Z153+AA153)+($Z$183+$AA$183-$Z$153-$AA$153)*(L153)</f>
        <v>2557.2479400687275</v>
      </c>
      <c r="AF153" s="4" t="s">
        <v>692</v>
      </c>
    </row>
    <row r="154" spans="1:32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0</v>
      </c>
      <c r="K154" s="6">
        <v>0</v>
      </c>
      <c r="L154" s="6">
        <v>8.82</v>
      </c>
      <c r="M154" s="6">
        <v>8.82</v>
      </c>
      <c r="N154" s="6">
        <v>8.82</v>
      </c>
      <c r="O154" s="6">
        <v>8.82</v>
      </c>
      <c r="P154" s="6">
        <v>14</v>
      </c>
      <c r="Q154" s="4" t="s">
        <v>26</v>
      </c>
      <c r="R154" s="4">
        <v>0</v>
      </c>
      <c r="S154" s="4">
        <v>0</v>
      </c>
      <c r="T154" s="4">
        <v>13</v>
      </c>
      <c r="U154" s="4">
        <v>68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146.74</v>
      </c>
      <c r="X154" s="6">
        <f>IF(ISERROR(VLOOKUP($U$154,'TAR FIN'!$A$1:$O$85,15,0)),0,VLOOKUP($U$154,'TAR FIN'!$A$1:$O$85,15,0))</f>
        <v>78.069999999999993</v>
      </c>
      <c r="Y154" s="6"/>
      <c r="Z154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4" s="6">
        <f>('TE BE'!$AB$11+'TE BF'!$AB$11+'TE CVA'!$AB$11)*(1-CUSTOS!$M$34)</f>
        <v>27.285427463855065</v>
      </c>
      <c r="AB154" s="6">
        <f t="shared" si="12"/>
        <v>0</v>
      </c>
      <c r="AC154" s="6">
        <f>(L154-M154)*(W154+X154)+($W$183+$X$183-$W$154-$X$154)*(L154)</f>
        <v>3682.6145999999994</v>
      </c>
      <c r="AD154" s="6">
        <f t="shared" si="14"/>
        <v>0</v>
      </c>
      <c r="AE154" s="6">
        <f ca="1">(L154-M154)*(Z154+AA154)+($Z$183+$AA$183-$Z$154-$AA$154)*(L154)</f>
        <v>3759.1544719010294</v>
      </c>
      <c r="AF154" s="4" t="s">
        <v>692</v>
      </c>
    </row>
    <row r="155" spans="1:32" ht="11.25" customHeight="1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29</v>
      </c>
      <c r="F155" s="4" t="s">
        <v>25</v>
      </c>
      <c r="G155" s="4" t="s">
        <v>25</v>
      </c>
      <c r="H155" s="4" t="s">
        <v>25</v>
      </c>
      <c r="I155" s="5">
        <v>44682</v>
      </c>
      <c r="J155" s="6">
        <v>0</v>
      </c>
      <c r="K155" s="6">
        <v>0</v>
      </c>
      <c r="L155" s="6">
        <v>8.82</v>
      </c>
      <c r="M155" s="6">
        <v>8.82</v>
      </c>
      <c r="N155" s="6">
        <v>8.82</v>
      </c>
      <c r="O155" s="6">
        <v>8.82</v>
      </c>
      <c r="P155" s="6">
        <v>11</v>
      </c>
      <c r="Q155" s="4" t="s">
        <v>26</v>
      </c>
      <c r="R155" s="4">
        <v>0</v>
      </c>
      <c r="S155" s="4">
        <v>0</v>
      </c>
      <c r="T155" s="4">
        <v>13</v>
      </c>
      <c r="U155" s="4">
        <v>68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146.74</v>
      </c>
      <c r="X155" s="6">
        <f>IF(ISERROR(VLOOKUP($U$155,'TAR FIN'!$A$1:$O$85,15,0)),0,VLOOKUP($U$155,'TAR FIN'!$A$1:$O$85,15,0))</f>
        <v>78.069999999999993</v>
      </c>
      <c r="Y155" s="6"/>
      <c r="Z155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5" s="6">
        <f>('TE BE'!$AB$11+'TE BF'!$AB$11+'TE CVA'!$AB$11)*(1-CUSTOS!$M$34)</f>
        <v>27.285427463855065</v>
      </c>
      <c r="AB155" s="6">
        <f t="shared" si="12"/>
        <v>0</v>
      </c>
      <c r="AC155" s="6">
        <f>(L155-M155)*(W155+X155)+($W$183+$X$183-$W$155-$X$155)*(L155)</f>
        <v>3682.6145999999994</v>
      </c>
      <c r="AD155" s="6">
        <f t="shared" si="14"/>
        <v>0</v>
      </c>
      <c r="AE155" s="6">
        <f ca="1">(L155-M155)*(Z155+AA155)+($Z$183+$AA$183-$Z$155-$AA$155)*(L155)</f>
        <v>3759.1544719010294</v>
      </c>
      <c r="AF155" s="4" t="s">
        <v>692</v>
      </c>
    </row>
    <row r="156" spans="1:32" ht="11.25" customHeight="1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29</v>
      </c>
      <c r="F156" s="4" t="s">
        <v>25</v>
      </c>
      <c r="G156" s="4" t="s">
        <v>25</v>
      </c>
      <c r="H156" s="4" t="s">
        <v>25</v>
      </c>
      <c r="I156" s="5">
        <v>44713</v>
      </c>
      <c r="J156" s="6">
        <v>0</v>
      </c>
      <c r="K156" s="6">
        <v>0</v>
      </c>
      <c r="L156" s="6">
        <v>8.58</v>
      </c>
      <c r="M156" s="6">
        <v>8.58</v>
      </c>
      <c r="N156" s="6">
        <v>8.58</v>
      </c>
      <c r="O156" s="6">
        <v>8.58</v>
      </c>
      <c r="P156" s="6">
        <v>13</v>
      </c>
      <c r="Q156" s="4" t="s">
        <v>26</v>
      </c>
      <c r="R156" s="4">
        <v>0</v>
      </c>
      <c r="S156" s="4">
        <v>0</v>
      </c>
      <c r="T156" s="4">
        <v>13</v>
      </c>
      <c r="U156" s="4">
        <v>68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146.74</v>
      </c>
      <c r="X156" s="6">
        <f>IF(ISERROR(VLOOKUP($U$156,'TAR FIN'!$A$1:$O$85,15,0)),0,VLOOKUP($U$156,'TAR FIN'!$A$1:$O$85,15,0))</f>
        <v>78.069999999999993</v>
      </c>
      <c r="Y156" s="6"/>
      <c r="Z156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6" s="6">
        <f>('TE BE'!$AB$11+'TE BF'!$AB$11+'TE CVA'!$AB$11)*(1-CUSTOS!$M$34)</f>
        <v>27.285427463855065</v>
      </c>
      <c r="AB156" s="6">
        <f t="shared" si="12"/>
        <v>0</v>
      </c>
      <c r="AC156" s="6">
        <f>(L156-M156)*(W156+X156)+($W$183+$X$183-$W$156-$X$156)*(L156)</f>
        <v>3582.4073999999991</v>
      </c>
      <c r="AD156" s="6">
        <f t="shared" si="14"/>
        <v>0</v>
      </c>
      <c r="AE156" s="6">
        <f ca="1">(L156-M156)*(Z156+AA156)+($Z$183+$AA$183-$Z$156-$AA$156)*(L156)</f>
        <v>3656.8645542982804</v>
      </c>
      <c r="AF156" s="4" t="s">
        <v>692</v>
      </c>
    </row>
    <row r="157" spans="1:32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29</v>
      </c>
      <c r="F157" s="4" t="s">
        <v>25</v>
      </c>
      <c r="G157" s="4" t="s">
        <v>25</v>
      </c>
      <c r="H157" s="4" t="s">
        <v>25</v>
      </c>
      <c r="I157" s="5">
        <v>44743</v>
      </c>
      <c r="J157" s="6">
        <v>0</v>
      </c>
      <c r="K157" s="6">
        <v>0</v>
      </c>
      <c r="L157" s="6">
        <v>8.3230000000000004</v>
      </c>
      <c r="M157" s="6">
        <v>8.3230000000000004</v>
      </c>
      <c r="N157" s="6">
        <v>8.3230000000000004</v>
      </c>
      <c r="O157" s="6">
        <v>8.3230000000000004</v>
      </c>
      <c r="P157" s="6">
        <v>15</v>
      </c>
      <c r="Q157" s="4" t="s">
        <v>26</v>
      </c>
      <c r="R157" s="4">
        <v>0</v>
      </c>
      <c r="S157" s="4">
        <v>0</v>
      </c>
      <c r="T157" s="4">
        <v>13</v>
      </c>
      <c r="U157" s="4">
        <v>68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146.74</v>
      </c>
      <c r="X157" s="6">
        <f>IF(ISERROR(VLOOKUP($U$157,'TAR FIN'!$A$1:$O$85,15,0)),0,VLOOKUP($U$157,'TAR FIN'!$A$1:$O$85,15,0))</f>
        <v>78.069999999999993</v>
      </c>
      <c r="Y157" s="6"/>
      <c r="Z157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7" s="6">
        <f>('TE BE'!$AB$11+'TE BF'!$AB$11+'TE CVA'!$AB$11)*(1-CUSTOS!$M$34)</f>
        <v>27.285427463855065</v>
      </c>
      <c r="AB157" s="6">
        <f t="shared" si="12"/>
        <v>0</v>
      </c>
      <c r="AC157" s="6">
        <f>(L157-M157)*(W157+X157)+($W$183+$X$183-$W$157-$X$157)*(L157)</f>
        <v>3475.1021899999996</v>
      </c>
      <c r="AD157" s="6">
        <f t="shared" si="14"/>
        <v>0</v>
      </c>
      <c r="AE157" s="6">
        <f ca="1">(L157-M157)*(Z157+AA157)+($Z$183+$AA$183-$Z$157-$AA$157)*(L157)</f>
        <v>3547.3291008653364</v>
      </c>
      <c r="AF157" s="4" t="s">
        <v>692</v>
      </c>
    </row>
    <row r="158" spans="1:32" ht="11.25" customHeight="1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29</v>
      </c>
      <c r="F158" s="4" t="s">
        <v>25</v>
      </c>
      <c r="G158" s="4" t="s">
        <v>25</v>
      </c>
      <c r="H158" s="4" t="s">
        <v>25</v>
      </c>
      <c r="I158" s="5">
        <v>44774</v>
      </c>
      <c r="J158" s="6">
        <v>0</v>
      </c>
      <c r="K158" s="6">
        <v>0</v>
      </c>
      <c r="L158" s="6">
        <v>8.19</v>
      </c>
      <c r="M158" s="6">
        <v>8.19</v>
      </c>
      <c r="N158" s="6">
        <v>8.19</v>
      </c>
      <c r="O158" s="6">
        <v>8.19</v>
      </c>
      <c r="P158" s="6">
        <v>9</v>
      </c>
      <c r="Q158" s="4" t="s">
        <v>26</v>
      </c>
      <c r="R158" s="4">
        <v>0</v>
      </c>
      <c r="S158" s="4">
        <v>0</v>
      </c>
      <c r="T158" s="4">
        <v>13</v>
      </c>
      <c r="U158" s="4">
        <v>68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146.74</v>
      </c>
      <c r="X158" s="6">
        <f>IF(ISERROR(VLOOKUP($U$158,'TAR FIN'!$A$1:$O$85,15,0)),0,VLOOKUP($U$158,'TAR FIN'!$A$1:$O$85,15,0))</f>
        <v>78.069999999999993</v>
      </c>
      <c r="Y158" s="6"/>
      <c r="Z158" s="6">
        <f ca="1">('TUSD BE'!$AM$21+'TUSD BF'!$AM$21+'TUSD CVA'!$AM$21-('TUSD BE'!$P$21+'TUSD BF'!$P$21+'TUSD CVA'!$P$21)-('TUSD BE'!$Q$21+'TUSD BF'!$Q$21+'TUSD CVA'!$Q$21)-('TUSD BE'!$R$21+'TUSD BF'!$R$21+'TUSD CVA'!$R$21))*(1-CUSTOS!$M$34)</f>
        <v>202.21118254231277</v>
      </c>
      <c r="AA158" s="6">
        <f>('TE BE'!$AB$11+'TE BF'!$AB$11+'TE CVA'!$AB$11)*(1-CUSTOS!$M$34)</f>
        <v>27.285427463855065</v>
      </c>
      <c r="AB158" s="6">
        <f t="shared" si="12"/>
        <v>0</v>
      </c>
      <c r="AC158" s="6">
        <f>(L158-M158)*(W158+X158)+($W$183+$X$183-$W$158-$X$158)*(L158)</f>
        <v>3419.5706999999993</v>
      </c>
      <c r="AD158" s="6">
        <f t="shared" si="14"/>
        <v>0</v>
      </c>
      <c r="AE158" s="6">
        <f ca="1">(L158-M158)*(Z158+AA158)+($Z$183+$AA$183-$Z$158-$AA$158)*(L158)</f>
        <v>3490.6434381938129</v>
      </c>
      <c r="AF158" s="4" t="s">
        <v>692</v>
      </c>
    </row>
    <row r="159" spans="1:32" ht="11.25" customHeight="1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30</v>
      </c>
      <c r="F159" s="4" t="s">
        <v>25</v>
      </c>
      <c r="G159" s="4" t="s">
        <v>25</v>
      </c>
      <c r="H159" s="4" t="s">
        <v>25</v>
      </c>
      <c r="I159" s="5">
        <v>44440</v>
      </c>
      <c r="J159" s="6">
        <v>0</v>
      </c>
      <c r="K159" s="6">
        <v>0</v>
      </c>
      <c r="L159" s="6">
        <v>11.907999999999999</v>
      </c>
      <c r="M159" s="6">
        <v>11.907999999999999</v>
      </c>
      <c r="N159" s="6">
        <v>11.907999999999999</v>
      </c>
      <c r="O159" s="6">
        <v>11.907999999999999</v>
      </c>
      <c r="P159" s="6">
        <v>22</v>
      </c>
      <c r="Q159" s="4" t="s">
        <v>26</v>
      </c>
      <c r="R159" s="4">
        <v>0</v>
      </c>
      <c r="S159" s="4">
        <v>0</v>
      </c>
      <c r="T159" s="4">
        <v>9</v>
      </c>
      <c r="U159" s="4">
        <v>66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251.56</v>
      </c>
      <c r="X159" s="6">
        <f>IF(ISERROR(VLOOKUP($U$159,'TAR FIN'!$A$1:$O$85,15,0)),0,VLOOKUP($U$159,'TAR FIN'!$A$1:$O$85,15,0))</f>
        <v>133.84</v>
      </c>
      <c r="Y159" s="6"/>
      <c r="Z159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59" s="6">
        <f>('TE BE'!$AB$12+'TE BF'!$AB$12+'TE CVA'!$AB$12)*(1-CUSTOS!$M$35)</f>
        <v>46.775018509465831</v>
      </c>
      <c r="AB159" s="6">
        <f t="shared" si="12"/>
        <v>0</v>
      </c>
      <c r="AC159" s="6">
        <f>(L159-M159)*(W159+X159)+($W$183+$X$183-$W$159-$X$159)*(L159)</f>
        <v>3059.6415199999992</v>
      </c>
      <c r="AD159" s="6">
        <f t="shared" si="14"/>
        <v>0</v>
      </c>
      <c r="AE159" s="6">
        <f ca="1">(L159-M159)*(Z159+AA159)+($Z$183+$AA$183-$Z$159-$AA$159)*(L159)</f>
        <v>3123.2521508039385</v>
      </c>
      <c r="AF159" s="4" t="s">
        <v>692</v>
      </c>
    </row>
    <row r="160" spans="1:32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30</v>
      </c>
      <c r="F160" s="4" t="s">
        <v>25</v>
      </c>
      <c r="G160" s="4" t="s">
        <v>25</v>
      </c>
      <c r="H160" s="4" t="s">
        <v>25</v>
      </c>
      <c r="I160" s="5">
        <v>44470</v>
      </c>
      <c r="J160" s="6">
        <v>0</v>
      </c>
      <c r="K160" s="6">
        <v>0</v>
      </c>
      <c r="L160" s="6">
        <v>11.816000000000001</v>
      </c>
      <c r="M160" s="6">
        <v>11.816000000000001</v>
      </c>
      <c r="N160" s="6">
        <v>11.816000000000001</v>
      </c>
      <c r="O160" s="6">
        <v>11.816000000000001</v>
      </c>
      <c r="P160" s="6">
        <v>31</v>
      </c>
      <c r="Q160" s="4" t="s">
        <v>26</v>
      </c>
      <c r="R160" s="4">
        <v>0</v>
      </c>
      <c r="S160" s="4">
        <v>0</v>
      </c>
      <c r="T160" s="4">
        <v>9</v>
      </c>
      <c r="U160" s="4">
        <v>66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251.56</v>
      </c>
      <c r="X160" s="6">
        <f>IF(ISERROR(VLOOKUP($U$160,'TAR FIN'!$A$1:$O$85,15,0)),0,VLOOKUP($U$160,'TAR FIN'!$A$1:$O$85,15,0))</f>
        <v>133.84</v>
      </c>
      <c r="Y160" s="6"/>
      <c r="Z160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0" s="6">
        <f>('TE BE'!$AB$12+'TE BF'!$AB$12+'TE CVA'!$AB$12)*(1-CUSTOS!$M$35)</f>
        <v>46.775018509465831</v>
      </c>
      <c r="AB160" s="6">
        <f t="shared" si="12"/>
        <v>0</v>
      </c>
      <c r="AC160" s="6">
        <f>(L160-M160)*(W160+X160)+($W$183+$X$183-$W$160-$X$160)*(L160)</f>
        <v>3036.0030399999996</v>
      </c>
      <c r="AD160" s="6">
        <f t="shared" si="14"/>
        <v>0</v>
      </c>
      <c r="AE160" s="6">
        <f ca="1">(L160-M160)*(Z160+AA160)+($Z$183+$AA$183-$Z$160-$AA$160)*(L160)</f>
        <v>3099.1222215232901</v>
      </c>
      <c r="AF160" s="4" t="s">
        <v>692</v>
      </c>
    </row>
    <row r="161" spans="1:32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30</v>
      </c>
      <c r="F161" s="4" t="s">
        <v>25</v>
      </c>
      <c r="G161" s="4" t="s">
        <v>25</v>
      </c>
      <c r="H161" s="4" t="s">
        <v>25</v>
      </c>
      <c r="I161" s="5">
        <v>44501</v>
      </c>
      <c r="J161" s="6">
        <v>0</v>
      </c>
      <c r="K161" s="6">
        <v>0</v>
      </c>
      <c r="L161" s="6">
        <v>12.362</v>
      </c>
      <c r="M161" s="6">
        <v>12.362</v>
      </c>
      <c r="N161" s="6">
        <v>12.362</v>
      </c>
      <c r="O161" s="6">
        <v>12.362</v>
      </c>
      <c r="P161" s="6">
        <v>26</v>
      </c>
      <c r="Q161" s="4" t="s">
        <v>26</v>
      </c>
      <c r="R161" s="4">
        <v>0</v>
      </c>
      <c r="S161" s="4">
        <v>0</v>
      </c>
      <c r="T161" s="4">
        <v>9</v>
      </c>
      <c r="U161" s="4">
        <v>66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251.56</v>
      </c>
      <c r="X161" s="6">
        <f>IF(ISERROR(VLOOKUP($U$161,'TAR FIN'!$A$1:$O$85,15,0)),0,VLOOKUP($U$161,'TAR FIN'!$A$1:$O$85,15,0))</f>
        <v>133.84</v>
      </c>
      <c r="Y161" s="6"/>
      <c r="Z161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1" s="6">
        <f>('TE BE'!$AB$12+'TE BF'!$AB$12+'TE CVA'!$AB$12)*(1-CUSTOS!$M$35)</f>
        <v>46.775018509465831</v>
      </c>
      <c r="AB161" s="6">
        <f t="shared" si="12"/>
        <v>0</v>
      </c>
      <c r="AC161" s="6">
        <f>(L161-M161)*(W161+X161)+($W$183+$X$183-$W$161-$X$161)*(L161)</f>
        <v>3176.2922799999992</v>
      </c>
      <c r="AD161" s="6">
        <f t="shared" si="14"/>
        <v>0</v>
      </c>
      <c r="AE161" s="6">
        <f ca="1">(L161-M161)*(Z161+AA161)+($Z$183+$AA$183-$Z$161-$AA$161)*(L161)</f>
        <v>3242.3281061671387</v>
      </c>
      <c r="AF161" s="4" t="s">
        <v>692</v>
      </c>
    </row>
    <row r="162" spans="1:32" ht="11.25" customHeight="1" x14ac:dyDescent="0.3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30</v>
      </c>
      <c r="F162" s="4" t="s">
        <v>25</v>
      </c>
      <c r="G162" s="4" t="s">
        <v>25</v>
      </c>
      <c r="H162" s="4" t="s">
        <v>25</v>
      </c>
      <c r="I162" s="5">
        <v>44531</v>
      </c>
      <c r="J162" s="6">
        <v>0</v>
      </c>
      <c r="K162" s="6">
        <v>0</v>
      </c>
      <c r="L162" s="6">
        <v>12.407</v>
      </c>
      <c r="M162" s="6">
        <v>12.407</v>
      </c>
      <c r="N162" s="6">
        <v>12.407</v>
      </c>
      <c r="O162" s="6">
        <v>12.407</v>
      </c>
      <c r="P162" s="6">
        <v>33</v>
      </c>
      <c r="Q162" s="4" t="s">
        <v>26</v>
      </c>
      <c r="R162" s="4">
        <v>0</v>
      </c>
      <c r="S162" s="4">
        <v>0</v>
      </c>
      <c r="T162" s="4">
        <v>9</v>
      </c>
      <c r="U162" s="4">
        <v>66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251.56</v>
      </c>
      <c r="X162" s="6">
        <f>IF(ISERROR(VLOOKUP($U$162,'TAR FIN'!$A$1:$O$85,15,0)),0,VLOOKUP($U$162,'TAR FIN'!$A$1:$O$85,15,0))</f>
        <v>133.84</v>
      </c>
      <c r="Y162" s="6"/>
      <c r="Z162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2" s="6">
        <f>('TE BE'!$AB$12+'TE BF'!$AB$12+'TE CVA'!$AB$12)*(1-CUSTOS!$M$35)</f>
        <v>46.775018509465831</v>
      </c>
      <c r="AB162" s="6">
        <f t="shared" si="12"/>
        <v>0</v>
      </c>
      <c r="AC162" s="6">
        <f>(L162-M162)*(W162+X162)+($W$183+$X$183-$W$162-$X$162)*(L162)</f>
        <v>3187.8545799999993</v>
      </c>
      <c r="AD162" s="6">
        <f t="shared" si="14"/>
        <v>0</v>
      </c>
      <c r="AE162" s="6">
        <f ca="1">(L162-M162)*(Z162+AA162)+($Z$183+$AA$183-$Z$162-$AA$162)*(L162)</f>
        <v>3254.1307889674558</v>
      </c>
      <c r="AF162" s="4" t="s">
        <v>692</v>
      </c>
    </row>
    <row r="163" spans="1:32" ht="11.25" customHeight="1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30</v>
      </c>
      <c r="F163" s="4" t="s">
        <v>25</v>
      </c>
      <c r="G163" s="4" t="s">
        <v>25</v>
      </c>
      <c r="H163" s="4" t="s">
        <v>25</v>
      </c>
      <c r="I163" s="5">
        <v>44562</v>
      </c>
      <c r="J163" s="6">
        <v>0</v>
      </c>
      <c r="K163" s="6">
        <v>0</v>
      </c>
      <c r="L163" s="6">
        <v>12.515000000000001</v>
      </c>
      <c r="M163" s="6">
        <v>12.515000000000001</v>
      </c>
      <c r="N163" s="6">
        <v>12.515000000000001</v>
      </c>
      <c r="O163" s="6">
        <v>12.515000000000001</v>
      </c>
      <c r="P163" s="6">
        <v>24</v>
      </c>
      <c r="Q163" s="4" t="s">
        <v>26</v>
      </c>
      <c r="R163" s="4">
        <v>0</v>
      </c>
      <c r="S163" s="4">
        <v>0</v>
      </c>
      <c r="T163" s="4">
        <v>9</v>
      </c>
      <c r="U163" s="4">
        <v>66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251.56</v>
      </c>
      <c r="X163" s="6">
        <f>IF(ISERROR(VLOOKUP($U$163,'TAR FIN'!$A$1:$O$85,15,0)),0,VLOOKUP($U$163,'TAR FIN'!$A$1:$O$85,15,0))</f>
        <v>133.84</v>
      </c>
      <c r="Y163" s="6"/>
      <c r="Z163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3" s="6">
        <f>('TE BE'!$AB$12+'TE BF'!$AB$12+'TE CVA'!$AB$12)*(1-CUSTOS!$M$35)</f>
        <v>46.775018509465831</v>
      </c>
      <c r="AB163" s="6">
        <f t="shared" si="12"/>
        <v>0</v>
      </c>
      <c r="AC163" s="6">
        <f>(L163-M163)*(W163+X163)+($W$183+$X$183-$W$163-$X$163)*(L163)</f>
        <v>3215.6040999999996</v>
      </c>
      <c r="AD163" s="6">
        <f t="shared" si="14"/>
        <v>0</v>
      </c>
      <c r="AE163" s="6">
        <f ca="1">(L163-M163)*(Z163+AA163)+($Z$183+$AA$183-$Z$163-$AA$163)*(L163)</f>
        <v>3282.4572276882172</v>
      </c>
      <c r="AF163" s="4" t="s">
        <v>692</v>
      </c>
    </row>
    <row r="164" spans="1:32" ht="11.25" customHeight="1" x14ac:dyDescent="0.3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30</v>
      </c>
      <c r="F164" s="4" t="s">
        <v>25</v>
      </c>
      <c r="G164" s="4" t="s">
        <v>25</v>
      </c>
      <c r="H164" s="4" t="s">
        <v>25</v>
      </c>
      <c r="I164" s="5">
        <v>44593</v>
      </c>
      <c r="J164" s="6">
        <v>0</v>
      </c>
      <c r="K164" s="6">
        <v>0</v>
      </c>
      <c r="L164" s="6">
        <v>12.965</v>
      </c>
      <c r="M164" s="6">
        <v>12.965</v>
      </c>
      <c r="N164" s="6">
        <v>12.965</v>
      </c>
      <c r="O164" s="6">
        <v>12.965</v>
      </c>
      <c r="P164" s="6">
        <v>16</v>
      </c>
      <c r="Q164" s="4" t="s">
        <v>26</v>
      </c>
      <c r="R164" s="4">
        <v>0</v>
      </c>
      <c r="S164" s="4">
        <v>0</v>
      </c>
      <c r="T164" s="4">
        <v>9</v>
      </c>
      <c r="U164" s="4">
        <v>66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251.56</v>
      </c>
      <c r="X164" s="6">
        <f>IF(ISERROR(VLOOKUP($U$164,'TAR FIN'!$A$1:$O$85,15,0)),0,VLOOKUP($U$164,'TAR FIN'!$A$1:$O$85,15,0))</f>
        <v>133.84</v>
      </c>
      <c r="Y164" s="6"/>
      <c r="Z164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4" s="6">
        <f>('TE BE'!$AB$12+'TE BF'!$AB$12+'TE CVA'!$AB$12)*(1-CUSTOS!$M$35)</f>
        <v>46.775018509465831</v>
      </c>
      <c r="AB164" s="6">
        <f t="shared" si="12"/>
        <v>0</v>
      </c>
      <c r="AC164" s="6">
        <f>(L164-M164)*(W164+X164)+($W$183+$X$183-$W$164-$X$164)*(L164)</f>
        <v>3331.2270999999992</v>
      </c>
      <c r="AD164" s="6">
        <f t="shared" si="14"/>
        <v>0</v>
      </c>
      <c r="AE164" s="6">
        <f ca="1">(L164-M164)*(Z164+AA164)+($Z$183+$AA$183-$Z$164-$AA$164)*(L164)</f>
        <v>3400.4840556913891</v>
      </c>
      <c r="AF164" s="4" t="s">
        <v>692</v>
      </c>
    </row>
    <row r="165" spans="1:32" ht="11.25" customHeight="1" x14ac:dyDescent="0.3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30</v>
      </c>
      <c r="F165" s="4" t="s">
        <v>25</v>
      </c>
      <c r="G165" s="4" t="s">
        <v>25</v>
      </c>
      <c r="H165" s="4" t="s">
        <v>25</v>
      </c>
      <c r="I165" s="5">
        <v>44621</v>
      </c>
      <c r="J165" s="6">
        <v>0</v>
      </c>
      <c r="K165" s="6">
        <v>0</v>
      </c>
      <c r="L165" s="6">
        <v>13.321999999999999</v>
      </c>
      <c r="M165" s="6">
        <v>13.321999999999999</v>
      </c>
      <c r="N165" s="6">
        <v>13.321999999999999</v>
      </c>
      <c r="O165" s="6">
        <v>13.321999999999999</v>
      </c>
      <c r="P165" s="6">
        <v>17</v>
      </c>
      <c r="Q165" s="4" t="s">
        <v>26</v>
      </c>
      <c r="R165" s="4">
        <v>0</v>
      </c>
      <c r="S165" s="4">
        <v>0</v>
      </c>
      <c r="T165" s="4">
        <v>9</v>
      </c>
      <c r="U165" s="4">
        <v>66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251.56</v>
      </c>
      <c r="X165" s="6">
        <f>IF(ISERROR(VLOOKUP($U$165,'TAR FIN'!$A$1:$O$85,15,0)),0,VLOOKUP($U$165,'TAR FIN'!$A$1:$O$85,15,0))</f>
        <v>133.84</v>
      </c>
      <c r="Y165" s="6"/>
      <c r="Z165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5" s="6">
        <f>('TE BE'!$AB$12+'TE BF'!$AB$12+'TE CVA'!$AB$12)*(1-CUSTOS!$M$35)</f>
        <v>46.775018509465831</v>
      </c>
      <c r="AB165" s="6">
        <f t="shared" si="12"/>
        <v>0</v>
      </c>
      <c r="AC165" s="6">
        <f>(L165-M165)*(W165+X165)+($W$183+$X$183-$W$165-$X$165)*(L165)</f>
        <v>3422.9546799999989</v>
      </c>
      <c r="AD165" s="6">
        <f t="shared" si="14"/>
        <v>0</v>
      </c>
      <c r="AE165" s="6">
        <f ca="1">(L165-M165)*(Z165+AA165)+($Z$183+$AA$183-$Z$165-$AA$165)*(L165)</f>
        <v>3494.1186725739053</v>
      </c>
      <c r="AF165" s="4" t="s">
        <v>692</v>
      </c>
    </row>
    <row r="166" spans="1:32" ht="11.25" customHeight="1" x14ac:dyDescent="0.3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30</v>
      </c>
      <c r="F166" s="4" t="s">
        <v>25</v>
      </c>
      <c r="G166" s="4" t="s">
        <v>25</v>
      </c>
      <c r="H166" s="4" t="s">
        <v>25</v>
      </c>
      <c r="I166" s="5">
        <v>44652</v>
      </c>
      <c r="J166" s="6">
        <v>0</v>
      </c>
      <c r="K166" s="6">
        <v>0</v>
      </c>
      <c r="L166" s="6">
        <v>18.669</v>
      </c>
      <c r="M166" s="6">
        <v>18.669</v>
      </c>
      <c r="N166" s="6">
        <v>18.669</v>
      </c>
      <c r="O166" s="6">
        <v>18.669</v>
      </c>
      <c r="P166" s="6">
        <v>38</v>
      </c>
      <c r="Q166" s="4" t="s">
        <v>26</v>
      </c>
      <c r="R166" s="4">
        <v>0</v>
      </c>
      <c r="S166" s="4">
        <v>0</v>
      </c>
      <c r="T166" s="4">
        <v>9</v>
      </c>
      <c r="U166" s="4">
        <v>66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251.56</v>
      </c>
      <c r="X166" s="6">
        <f>IF(ISERROR(VLOOKUP($U$166,'TAR FIN'!$A$1:$O$85,15,0)),0,VLOOKUP($U$166,'TAR FIN'!$A$1:$O$85,15,0))</f>
        <v>133.84</v>
      </c>
      <c r="Y166" s="6"/>
      <c r="Z166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6" s="6">
        <f>('TE BE'!$AB$12+'TE BF'!$AB$12+'TE CVA'!$AB$12)*(1-CUSTOS!$M$35)</f>
        <v>46.775018509465831</v>
      </c>
      <c r="AB166" s="6">
        <f t="shared" si="12"/>
        <v>0</v>
      </c>
      <c r="AC166" s="6">
        <f>(L166-M166)*(W166+X166)+($W$183+$X$183-$W$166-$X$166)*(L166)</f>
        <v>4796.8128599999991</v>
      </c>
      <c r="AD166" s="6">
        <f t="shared" si="14"/>
        <v>0</v>
      </c>
      <c r="AE166" s="6">
        <f ca="1">(L166-M166)*(Z166+AA166)+($Z$183+$AA$183-$Z$166-$AA$166)*(L166)</f>
        <v>4896.5396710915966</v>
      </c>
      <c r="AF166" s="4" t="s">
        <v>692</v>
      </c>
    </row>
    <row r="167" spans="1:32" ht="11.25" customHeight="1" x14ac:dyDescent="0.3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30</v>
      </c>
      <c r="F167" s="4" t="s">
        <v>25</v>
      </c>
      <c r="G167" s="4" t="s">
        <v>25</v>
      </c>
      <c r="H167" s="4" t="s">
        <v>25</v>
      </c>
      <c r="I167" s="5">
        <v>44682</v>
      </c>
      <c r="J167" s="6">
        <v>0</v>
      </c>
      <c r="K167" s="6">
        <v>0</v>
      </c>
      <c r="L167" s="6">
        <v>18.667000000000002</v>
      </c>
      <c r="M167" s="6">
        <v>18.667000000000002</v>
      </c>
      <c r="N167" s="6">
        <v>18.667000000000002</v>
      </c>
      <c r="O167" s="6">
        <v>18.667000000000002</v>
      </c>
      <c r="P167" s="6">
        <v>37</v>
      </c>
      <c r="Q167" s="4" t="s">
        <v>26</v>
      </c>
      <c r="R167" s="4">
        <v>0</v>
      </c>
      <c r="S167" s="4">
        <v>0</v>
      </c>
      <c r="T167" s="4">
        <v>9</v>
      </c>
      <c r="U167" s="4">
        <v>66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251.56</v>
      </c>
      <c r="X167" s="6">
        <f>IF(ISERROR(VLOOKUP($U$167,'TAR FIN'!$A$1:$O$85,15,0)),0,VLOOKUP($U$167,'TAR FIN'!$A$1:$O$85,15,0))</f>
        <v>133.84</v>
      </c>
      <c r="Y167" s="6"/>
      <c r="Z167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7" s="6">
        <f>('TE BE'!$AB$12+'TE BF'!$AB$12+'TE CVA'!$AB$12)*(1-CUSTOS!$M$35)</f>
        <v>46.775018509465831</v>
      </c>
      <c r="AB167" s="6">
        <f t="shared" si="12"/>
        <v>0</v>
      </c>
      <c r="AC167" s="6">
        <f>(L167-M167)*(W167+X167)+($W$183+$X$183-$W$167-$X$167)*(L167)</f>
        <v>4796.2989799999996</v>
      </c>
      <c r="AD167" s="6">
        <f t="shared" si="14"/>
        <v>0</v>
      </c>
      <c r="AE167" s="6">
        <f ca="1">(L167-M167)*(Z167+AA167)+($Z$183+$AA$183-$Z$167-$AA$167)*(L167)</f>
        <v>4896.0151074115829</v>
      </c>
      <c r="AF167" s="4" t="s">
        <v>692</v>
      </c>
    </row>
    <row r="168" spans="1:32" ht="11.25" customHeight="1" x14ac:dyDescent="0.3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30</v>
      </c>
      <c r="F168" s="4" t="s">
        <v>25</v>
      </c>
      <c r="G168" s="4" t="s">
        <v>25</v>
      </c>
      <c r="H168" s="4" t="s">
        <v>25</v>
      </c>
      <c r="I168" s="5">
        <v>44713</v>
      </c>
      <c r="J168" s="6">
        <v>0</v>
      </c>
      <c r="K168" s="6">
        <v>0</v>
      </c>
      <c r="L168" s="6">
        <v>17.456</v>
      </c>
      <c r="M168" s="6">
        <v>17.456</v>
      </c>
      <c r="N168" s="6">
        <v>17.456</v>
      </c>
      <c r="O168" s="6">
        <v>17.456</v>
      </c>
      <c r="P168" s="6">
        <v>54</v>
      </c>
      <c r="Q168" s="4" t="s">
        <v>26</v>
      </c>
      <c r="R168" s="4">
        <v>0</v>
      </c>
      <c r="S168" s="4">
        <v>0</v>
      </c>
      <c r="T168" s="4">
        <v>9</v>
      </c>
      <c r="U168" s="4">
        <v>66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251.56</v>
      </c>
      <c r="X168" s="6">
        <f>IF(ISERROR(VLOOKUP($U$168,'TAR FIN'!$A$1:$O$85,15,0)),0,VLOOKUP($U$168,'TAR FIN'!$A$1:$O$85,15,0))</f>
        <v>133.84</v>
      </c>
      <c r="Y168" s="6"/>
      <c r="Z168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8" s="6">
        <f>('TE BE'!$AB$12+'TE BF'!$AB$12+'TE CVA'!$AB$12)*(1-CUSTOS!$M$35)</f>
        <v>46.775018509465831</v>
      </c>
      <c r="AB168" s="6">
        <f t="shared" si="12"/>
        <v>0</v>
      </c>
      <c r="AC168" s="6">
        <f>(L168-M168)*(W168+X168)+($W$183+$X$183-$W$168-$X$168)*(L168)</f>
        <v>4485.1446399999986</v>
      </c>
      <c r="AD168" s="6">
        <f t="shared" si="14"/>
        <v>0</v>
      </c>
      <c r="AE168" s="6">
        <f ca="1">(L168-M168)*(Z168+AA168)+($Z$183+$AA$183-$Z$168-$AA$168)*(L168)</f>
        <v>4578.391799163046</v>
      </c>
      <c r="AF168" s="4" t="s">
        <v>692</v>
      </c>
    </row>
    <row r="169" spans="1:32" ht="11.25" customHeight="1" x14ac:dyDescent="0.3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30</v>
      </c>
      <c r="F169" s="4" t="s">
        <v>25</v>
      </c>
      <c r="G169" s="4" t="s">
        <v>25</v>
      </c>
      <c r="H169" s="4" t="s">
        <v>25</v>
      </c>
      <c r="I169" s="5">
        <v>44743</v>
      </c>
      <c r="J169" s="6">
        <v>0</v>
      </c>
      <c r="K169" s="6">
        <v>0</v>
      </c>
      <c r="L169" s="6">
        <v>16.745999999999999</v>
      </c>
      <c r="M169" s="6">
        <v>16.745999999999999</v>
      </c>
      <c r="N169" s="6">
        <v>16.745999999999999</v>
      </c>
      <c r="O169" s="6">
        <v>16.745999999999999</v>
      </c>
      <c r="P169" s="6">
        <v>57</v>
      </c>
      <c r="Q169" s="4" t="s">
        <v>26</v>
      </c>
      <c r="R169" s="4">
        <v>0</v>
      </c>
      <c r="S169" s="4">
        <v>0</v>
      </c>
      <c r="T169" s="4">
        <v>9</v>
      </c>
      <c r="U169" s="4">
        <v>66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251.56</v>
      </c>
      <c r="X169" s="6">
        <f>IF(ISERROR(VLOOKUP($U$169,'TAR FIN'!$A$1:$O$85,15,0)),0,VLOOKUP($U$169,'TAR FIN'!$A$1:$O$85,15,0))</f>
        <v>133.84</v>
      </c>
      <c r="Y169" s="6"/>
      <c r="Z169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69" s="6">
        <f>('TE BE'!$AB$12+'TE BF'!$AB$12+'TE CVA'!$AB$12)*(1-CUSTOS!$M$35)</f>
        <v>46.775018509465831</v>
      </c>
      <c r="AB169" s="6">
        <f t="shared" si="12"/>
        <v>0</v>
      </c>
      <c r="AC169" s="6">
        <f>(L169-M169)*(W169+X169)+($W$183+$X$183-$W$169-$X$169)*(L169)</f>
        <v>4302.717239999999</v>
      </c>
      <c r="AD169" s="6">
        <f t="shared" si="14"/>
        <v>0</v>
      </c>
      <c r="AE169" s="6">
        <f ca="1">(L169-M169)*(Z169+AA169)+($Z$183+$AA$183-$Z$169-$AA$169)*(L169)</f>
        <v>4392.171692758041</v>
      </c>
      <c r="AF169" s="4" t="s">
        <v>692</v>
      </c>
    </row>
    <row r="170" spans="1:32" ht="11.25" customHeight="1" x14ac:dyDescent="0.3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30</v>
      </c>
      <c r="F170" s="4" t="s">
        <v>25</v>
      </c>
      <c r="G170" s="4" t="s">
        <v>25</v>
      </c>
      <c r="H170" s="4" t="s">
        <v>25</v>
      </c>
      <c r="I170" s="5">
        <v>44774</v>
      </c>
      <c r="J170" s="6">
        <v>0</v>
      </c>
      <c r="K170" s="6">
        <v>0</v>
      </c>
      <c r="L170" s="6">
        <v>17.123000000000001</v>
      </c>
      <c r="M170" s="6">
        <v>17.123000000000001</v>
      </c>
      <c r="N170" s="6">
        <v>17.123000000000001</v>
      </c>
      <c r="O170" s="6">
        <v>17.123000000000001</v>
      </c>
      <c r="P170" s="6">
        <v>43</v>
      </c>
      <c r="Q170" s="4" t="s">
        <v>26</v>
      </c>
      <c r="R170" s="4">
        <v>0</v>
      </c>
      <c r="S170" s="4">
        <v>0</v>
      </c>
      <c r="T170" s="4">
        <v>9</v>
      </c>
      <c r="U170" s="4">
        <v>66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251.56</v>
      </c>
      <c r="X170" s="6">
        <f>IF(ISERROR(VLOOKUP($U$170,'TAR FIN'!$A$1:$O$85,15,0)),0,VLOOKUP($U$170,'TAR FIN'!$A$1:$O$85,15,0))</f>
        <v>133.84</v>
      </c>
      <c r="Y170" s="6"/>
      <c r="Z170" s="6">
        <f ca="1">('TUSD BE'!$AM$22+'TUSD BF'!$AM$22+'TUSD CVA'!$AM$22-('TUSD BE'!$P$22+'TUSD BF'!$P$22+'TUSD CVA'!$P$22)-('TUSD BE'!$Q$22+'TUSD BF'!$Q$22+'TUSD CVA'!$Q$22)-('TUSD BE'!$R$22+'TUSD BF'!$R$22+'TUSD CVA'!$R$22))*(1-CUSTOS!$M$35)</f>
        <v>346.64774150110765</v>
      </c>
      <c r="AA170" s="6">
        <f>('TE BE'!$AB$12+'TE BF'!$AB$12+'TE CVA'!$AB$12)*(1-CUSTOS!$M$35)</f>
        <v>46.775018509465831</v>
      </c>
      <c r="AB170" s="6">
        <f t="shared" si="12"/>
        <v>0</v>
      </c>
      <c r="AC170" s="6">
        <f>(L170-M170)*(W170+X170)+($W$183+$X$183-$W$170-$X$170)*(L170)</f>
        <v>4399.5836199999994</v>
      </c>
      <c r="AD170" s="6">
        <f t="shared" si="14"/>
        <v>0</v>
      </c>
      <c r="AE170" s="6">
        <f ca="1">(L170-M170)*(Z170+AA170)+($Z$183+$AA$183-$Z$170-$AA$170)*(L170)</f>
        <v>4491.0519464406989</v>
      </c>
      <c r="AF170" s="4" t="s">
        <v>692</v>
      </c>
    </row>
    <row r="171" spans="1:32" ht="11.25" customHeight="1" x14ac:dyDescent="0.3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31</v>
      </c>
      <c r="F171" s="4" t="s">
        <v>25</v>
      </c>
      <c r="G171" s="4" t="s">
        <v>25</v>
      </c>
      <c r="H171" s="4" t="s">
        <v>25</v>
      </c>
      <c r="I171" s="5">
        <v>44440</v>
      </c>
      <c r="J171" s="6">
        <v>0</v>
      </c>
      <c r="K171" s="6">
        <v>0</v>
      </c>
      <c r="L171" s="6">
        <v>13.037000000000001</v>
      </c>
      <c r="M171" s="6">
        <v>13.037000000000001</v>
      </c>
      <c r="N171" s="6">
        <v>13.037000000000001</v>
      </c>
      <c r="O171" s="6">
        <v>13.037000000000001</v>
      </c>
      <c r="P171" s="6">
        <v>96</v>
      </c>
      <c r="Q171" s="4" t="s">
        <v>26</v>
      </c>
      <c r="R171" s="4">
        <v>0</v>
      </c>
      <c r="S171" s="4">
        <v>0</v>
      </c>
      <c r="T171" s="4">
        <v>11</v>
      </c>
      <c r="U171" s="4">
        <v>79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377.34</v>
      </c>
      <c r="X171" s="6">
        <f>IF(ISERROR(VLOOKUP($U$171,'TAR FIN'!$A$1:$O$85,15,0)),0,VLOOKUP($U$171,'TAR FIN'!$A$1:$O$85,15,0))</f>
        <v>200.76</v>
      </c>
      <c r="Y171" s="6"/>
      <c r="Z171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1" s="6">
        <f>('TE BE'!$AB$13+'TE BF'!$AB$13+'TE CVA'!$AB$13)*(1-CUSTOS!$M$36)</f>
        <v>70.162527764198742</v>
      </c>
      <c r="AB171" s="6">
        <f t="shared" si="12"/>
        <v>0</v>
      </c>
      <c r="AC171" s="6">
        <f>(L171-M171)*(W171+X171)+($W$183+$X$183-$W$171-$X$171)*(L171)</f>
        <v>837.49687999999946</v>
      </c>
      <c r="AD171" s="6">
        <f t="shared" si="14"/>
        <v>0</v>
      </c>
      <c r="AE171" s="6">
        <f ca="1">(L171-M171)*(Z171+AA171)+($Z$183+$AA$183-$Z$171-$AA$171)*(L171)</f>
        <v>854.84208704297407</v>
      </c>
      <c r="AF171" s="4" t="s">
        <v>692</v>
      </c>
    </row>
    <row r="172" spans="1:32" ht="11.25" customHeight="1" x14ac:dyDescent="0.3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31</v>
      </c>
      <c r="F172" s="4" t="s">
        <v>25</v>
      </c>
      <c r="G172" s="4" t="s">
        <v>25</v>
      </c>
      <c r="H172" s="4" t="s">
        <v>25</v>
      </c>
      <c r="I172" s="5">
        <v>44470</v>
      </c>
      <c r="J172" s="6">
        <v>0</v>
      </c>
      <c r="K172" s="6">
        <v>0</v>
      </c>
      <c r="L172" s="6">
        <v>11.964</v>
      </c>
      <c r="M172" s="6">
        <v>11.964</v>
      </c>
      <c r="N172" s="6">
        <v>11.964</v>
      </c>
      <c r="O172" s="6">
        <v>11.964</v>
      </c>
      <c r="P172" s="6">
        <v>98</v>
      </c>
      <c r="Q172" s="4" t="s">
        <v>26</v>
      </c>
      <c r="R172" s="4">
        <v>0</v>
      </c>
      <c r="S172" s="4">
        <v>0</v>
      </c>
      <c r="T172" s="4">
        <v>11</v>
      </c>
      <c r="U172" s="4">
        <v>79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377.34</v>
      </c>
      <c r="X172" s="6">
        <f>IF(ISERROR(VLOOKUP($U$172,'TAR FIN'!$A$1:$O$85,15,0)),0,VLOOKUP($U$172,'TAR FIN'!$A$1:$O$85,15,0))</f>
        <v>200.76</v>
      </c>
      <c r="Y172" s="6"/>
      <c r="Z172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2" s="6">
        <f>('TE BE'!$AB$13+'TE BF'!$AB$13+'TE CVA'!$AB$13)*(1-CUSTOS!$M$36)</f>
        <v>70.162527764198742</v>
      </c>
      <c r="AB172" s="6">
        <f t="shared" si="12"/>
        <v>0</v>
      </c>
      <c r="AC172" s="6">
        <f>(L172-M172)*(W172+X172)+($W$183+$X$183-$W$172-$X$172)*(L172)</f>
        <v>768.56735999999944</v>
      </c>
      <c r="AD172" s="6">
        <f t="shared" si="14"/>
        <v>0</v>
      </c>
      <c r="AE172" s="6">
        <f ca="1">(L172-M172)*(Z172+AA172)+($Z$183+$AA$183-$Z$172-$AA$172)*(L172)</f>
        <v>784.48498346108317</v>
      </c>
      <c r="AF172" s="4" t="s">
        <v>692</v>
      </c>
    </row>
    <row r="173" spans="1:32" ht="11.25" customHeight="1" x14ac:dyDescent="0.3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31</v>
      </c>
      <c r="F173" s="4" t="s">
        <v>25</v>
      </c>
      <c r="G173" s="4" t="s">
        <v>25</v>
      </c>
      <c r="H173" s="4" t="s">
        <v>25</v>
      </c>
      <c r="I173" s="5">
        <v>44501</v>
      </c>
      <c r="J173" s="6">
        <v>0</v>
      </c>
      <c r="K173" s="6">
        <v>0</v>
      </c>
      <c r="L173" s="6">
        <v>12.827999999999999</v>
      </c>
      <c r="M173" s="6">
        <v>12.827999999999999</v>
      </c>
      <c r="N173" s="6">
        <v>12.827999999999999</v>
      </c>
      <c r="O173" s="6">
        <v>12.827999999999999</v>
      </c>
      <c r="P173" s="6">
        <v>105</v>
      </c>
      <c r="Q173" s="4" t="s">
        <v>26</v>
      </c>
      <c r="R173" s="4">
        <v>0</v>
      </c>
      <c r="S173" s="4">
        <v>0</v>
      </c>
      <c r="T173" s="4">
        <v>11</v>
      </c>
      <c r="U173" s="4">
        <v>79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377.34</v>
      </c>
      <c r="X173" s="6">
        <f>IF(ISERROR(VLOOKUP($U$173,'TAR FIN'!$A$1:$O$85,15,0)),0,VLOOKUP($U$173,'TAR FIN'!$A$1:$O$85,15,0))</f>
        <v>200.76</v>
      </c>
      <c r="Y173" s="6"/>
      <c r="Z173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3" s="6">
        <f>('TE BE'!$AB$13+'TE BF'!$AB$13+'TE CVA'!$AB$13)*(1-CUSTOS!$M$36)</f>
        <v>70.162527764198742</v>
      </c>
      <c r="AB173" s="6">
        <f t="shared" si="12"/>
        <v>0</v>
      </c>
      <c r="AC173" s="6">
        <f>(L173-M173)*(W173+X173)+($W$183+$X$183-$W$173-$X$173)*(L173)</f>
        <v>824.07071999999937</v>
      </c>
      <c r="AD173" s="6">
        <f t="shared" si="14"/>
        <v>0</v>
      </c>
      <c r="AE173" s="6">
        <f ca="1">(L173-M173)*(Z173+AA173)+($Z$183+$AA$183-$Z$173-$AA$173)*(L173)</f>
        <v>841.13786090260567</v>
      </c>
      <c r="AF173" s="4" t="s">
        <v>692</v>
      </c>
    </row>
    <row r="174" spans="1:32" ht="11.25" customHeight="1" x14ac:dyDescent="0.3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31</v>
      </c>
      <c r="F174" s="4" t="s">
        <v>25</v>
      </c>
      <c r="G174" s="4" t="s">
        <v>25</v>
      </c>
      <c r="H174" s="4" t="s">
        <v>25</v>
      </c>
      <c r="I174" s="5">
        <v>44531</v>
      </c>
      <c r="J174" s="6">
        <v>0</v>
      </c>
      <c r="K174" s="6">
        <v>0</v>
      </c>
      <c r="L174" s="6">
        <v>11.624000000000001</v>
      </c>
      <c r="M174" s="6">
        <v>11.624000000000001</v>
      </c>
      <c r="N174" s="6">
        <v>11.624000000000001</v>
      </c>
      <c r="O174" s="6">
        <v>11.624000000000001</v>
      </c>
      <c r="P174" s="6">
        <v>109</v>
      </c>
      <c r="Q174" s="4" t="s">
        <v>26</v>
      </c>
      <c r="R174" s="4">
        <v>0</v>
      </c>
      <c r="S174" s="4">
        <v>0</v>
      </c>
      <c r="T174" s="4">
        <v>11</v>
      </c>
      <c r="U174" s="4">
        <v>79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377.34</v>
      </c>
      <c r="X174" s="6">
        <f>IF(ISERROR(VLOOKUP($U$174,'TAR FIN'!$A$1:$O$85,15,0)),0,VLOOKUP($U$174,'TAR FIN'!$A$1:$O$85,15,0))</f>
        <v>200.76</v>
      </c>
      <c r="Y174" s="6"/>
      <c r="Z174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4" s="6">
        <f>('TE BE'!$AB$13+'TE BF'!$AB$13+'TE CVA'!$AB$13)*(1-CUSTOS!$M$36)</f>
        <v>70.162527764198742</v>
      </c>
      <c r="AB174" s="6">
        <f t="shared" si="12"/>
        <v>0</v>
      </c>
      <c r="AC174" s="6">
        <f>(L174-M174)*(W174+X174)+($W$183+$X$183-$W$174-$X$174)*(L174)</f>
        <v>746.72575999999947</v>
      </c>
      <c r="AD174" s="6">
        <f t="shared" si="14"/>
        <v>0</v>
      </c>
      <c r="AE174" s="6">
        <f ca="1">(L174-M174)*(Z174+AA174)+($Z$183+$AA$183-$Z$174-$AA$174)*(L174)</f>
        <v>762.19102706048398</v>
      </c>
      <c r="AF174" s="4" t="s">
        <v>692</v>
      </c>
    </row>
    <row r="175" spans="1:32" ht="11.25" customHeight="1" x14ac:dyDescent="0.3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31</v>
      </c>
      <c r="F175" s="4" t="s">
        <v>25</v>
      </c>
      <c r="G175" s="4" t="s">
        <v>25</v>
      </c>
      <c r="H175" s="4" t="s">
        <v>25</v>
      </c>
      <c r="I175" s="5">
        <v>44562</v>
      </c>
      <c r="J175" s="6">
        <v>0</v>
      </c>
      <c r="K175" s="6">
        <v>0</v>
      </c>
      <c r="L175" s="6">
        <v>13.792999999999999</v>
      </c>
      <c r="M175" s="6">
        <v>13.792999999999999</v>
      </c>
      <c r="N175" s="6">
        <v>13.792999999999999</v>
      </c>
      <c r="O175" s="6">
        <v>13.792999999999999</v>
      </c>
      <c r="P175" s="6">
        <v>96</v>
      </c>
      <c r="Q175" s="4" t="s">
        <v>26</v>
      </c>
      <c r="R175" s="4">
        <v>0</v>
      </c>
      <c r="S175" s="4">
        <v>0</v>
      </c>
      <c r="T175" s="4">
        <v>11</v>
      </c>
      <c r="U175" s="4">
        <v>79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377.34</v>
      </c>
      <c r="X175" s="6">
        <f>IF(ISERROR(VLOOKUP($U$175,'TAR FIN'!$A$1:$O$85,15,0)),0,VLOOKUP($U$175,'TAR FIN'!$A$1:$O$85,15,0))</f>
        <v>200.76</v>
      </c>
      <c r="Y175" s="6"/>
      <c r="Z175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5" s="6">
        <f>('TE BE'!$AB$13+'TE BF'!$AB$13+'TE CVA'!$AB$13)*(1-CUSTOS!$M$36)</f>
        <v>70.162527764198742</v>
      </c>
      <c r="AB175" s="6">
        <f t="shared" si="12"/>
        <v>0</v>
      </c>
      <c r="AC175" s="6">
        <f>(L175-M175)*(W175+X175)+($W$183+$X$183-$W$175-$X$175)*(L175)</f>
        <v>886.06231999999932</v>
      </c>
      <c r="AD175" s="6">
        <f t="shared" si="14"/>
        <v>0</v>
      </c>
      <c r="AE175" s="6">
        <f ca="1">(L175-M175)*(Z175+AA175)+($Z$183+$AA$183-$Z$175-$AA$175)*(L175)</f>
        <v>904.41335480430621</v>
      </c>
      <c r="AF175" s="4" t="s">
        <v>692</v>
      </c>
    </row>
    <row r="176" spans="1:32" ht="11.25" customHeight="1" x14ac:dyDescent="0.3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31</v>
      </c>
      <c r="F176" s="4" t="s">
        <v>25</v>
      </c>
      <c r="G176" s="4" t="s">
        <v>25</v>
      </c>
      <c r="H176" s="4" t="s">
        <v>25</v>
      </c>
      <c r="I176" s="5">
        <v>44593</v>
      </c>
      <c r="J176" s="6">
        <v>0</v>
      </c>
      <c r="K176" s="6">
        <v>0</v>
      </c>
      <c r="L176" s="6">
        <v>16.074000000000002</v>
      </c>
      <c r="M176" s="6">
        <v>16.074000000000002</v>
      </c>
      <c r="N176" s="6">
        <v>16.074000000000002</v>
      </c>
      <c r="O176" s="6">
        <v>16.074000000000002</v>
      </c>
      <c r="P176" s="6">
        <v>83</v>
      </c>
      <c r="Q176" s="4" t="s">
        <v>26</v>
      </c>
      <c r="R176" s="4">
        <v>0</v>
      </c>
      <c r="S176" s="4">
        <v>0</v>
      </c>
      <c r="T176" s="4">
        <v>11</v>
      </c>
      <c r="U176" s="4">
        <v>79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377.34</v>
      </c>
      <c r="X176" s="6">
        <f>IF(ISERROR(VLOOKUP($U$176,'TAR FIN'!$A$1:$O$85,15,0)),0,VLOOKUP($U$176,'TAR FIN'!$A$1:$O$85,15,0))</f>
        <v>200.76</v>
      </c>
      <c r="Y176" s="6"/>
      <c r="Z176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6" s="6">
        <f>('TE BE'!$AB$13+'TE BF'!$AB$13+'TE CVA'!$AB$13)*(1-CUSTOS!$M$36)</f>
        <v>70.162527764198742</v>
      </c>
      <c r="AB176" s="6">
        <f t="shared" si="12"/>
        <v>0</v>
      </c>
      <c r="AC176" s="6">
        <f>(L176-M176)*(W176+X176)+($W$183+$X$183-$W$176-$X$176)*(L176)</f>
        <v>1032.5937599999993</v>
      </c>
      <c r="AD176" s="6">
        <f t="shared" si="14"/>
        <v>0</v>
      </c>
      <c r="AE176" s="6">
        <f ca="1">(L176-M176)*(Z176+AA176)+($Z$183+$AA$183-$Z$176-$AA$176)*(L176)</f>
        <v>1053.979574068326</v>
      </c>
      <c r="AF176" s="4" t="s">
        <v>692</v>
      </c>
    </row>
    <row r="177" spans="1:32" ht="11.25" customHeight="1" x14ac:dyDescent="0.3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31</v>
      </c>
      <c r="F177" s="4" t="s">
        <v>25</v>
      </c>
      <c r="G177" s="4" t="s">
        <v>25</v>
      </c>
      <c r="H177" s="4" t="s">
        <v>25</v>
      </c>
      <c r="I177" s="5">
        <v>44621</v>
      </c>
      <c r="J177" s="6">
        <v>0</v>
      </c>
      <c r="K177" s="6">
        <v>0</v>
      </c>
      <c r="L177" s="6">
        <v>16.405999999999999</v>
      </c>
      <c r="M177" s="6">
        <v>16.405999999999999</v>
      </c>
      <c r="N177" s="6">
        <v>16.405999999999999</v>
      </c>
      <c r="O177" s="6">
        <v>16.405999999999999</v>
      </c>
      <c r="P177" s="6">
        <v>92</v>
      </c>
      <c r="Q177" s="4" t="s">
        <v>26</v>
      </c>
      <c r="R177" s="4">
        <v>0</v>
      </c>
      <c r="S177" s="4">
        <v>0</v>
      </c>
      <c r="T177" s="4">
        <v>11</v>
      </c>
      <c r="U177" s="4">
        <v>79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377.34</v>
      </c>
      <c r="X177" s="6">
        <f>IF(ISERROR(VLOOKUP($U$177,'TAR FIN'!$A$1:$O$85,15,0)),0,VLOOKUP($U$177,'TAR FIN'!$A$1:$O$85,15,0))</f>
        <v>200.76</v>
      </c>
      <c r="Y177" s="6"/>
      <c r="Z177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7" s="6">
        <f>('TE BE'!$AB$13+'TE BF'!$AB$13+'TE CVA'!$AB$13)*(1-CUSTOS!$M$36)</f>
        <v>70.162527764198742</v>
      </c>
      <c r="AB177" s="6">
        <f t="shared" si="12"/>
        <v>0</v>
      </c>
      <c r="AC177" s="6">
        <f>(L177-M177)*(W177+X177)+($W$183+$X$183-$W$177-$X$177)*(L177)</f>
        <v>1053.9214399999992</v>
      </c>
      <c r="AD177" s="6">
        <f t="shared" si="14"/>
        <v>0</v>
      </c>
      <c r="AE177" s="6">
        <f ca="1">(L177-M177)*(Z177+AA177)+($Z$183+$AA$183-$Z$177-$AA$177)*(L177)</f>
        <v>1075.7489667889108</v>
      </c>
      <c r="AF177" s="4" t="s">
        <v>692</v>
      </c>
    </row>
    <row r="178" spans="1:32" ht="11.25" customHeight="1" x14ac:dyDescent="0.3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31</v>
      </c>
      <c r="F178" s="4" t="s">
        <v>25</v>
      </c>
      <c r="G178" s="4" t="s">
        <v>25</v>
      </c>
      <c r="H178" s="4" t="s">
        <v>25</v>
      </c>
      <c r="I178" s="5">
        <v>44652</v>
      </c>
      <c r="J178" s="6">
        <v>0</v>
      </c>
      <c r="K178" s="6">
        <v>0</v>
      </c>
      <c r="L178" s="6">
        <v>20.940999999999999</v>
      </c>
      <c r="M178" s="6">
        <v>20.940999999999999</v>
      </c>
      <c r="N178" s="6">
        <v>20.940999999999999</v>
      </c>
      <c r="O178" s="6">
        <v>20.940999999999999</v>
      </c>
      <c r="P178" s="6">
        <v>140</v>
      </c>
      <c r="Q178" s="4" t="s">
        <v>26</v>
      </c>
      <c r="R178" s="4">
        <v>0</v>
      </c>
      <c r="S178" s="4">
        <v>0</v>
      </c>
      <c r="T178" s="4">
        <v>11</v>
      </c>
      <c r="U178" s="4">
        <v>79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377.34</v>
      </c>
      <c r="X178" s="6">
        <f>IF(ISERROR(VLOOKUP($U$178,'TAR FIN'!$A$1:$O$85,15,0)),0,VLOOKUP($U$178,'TAR FIN'!$A$1:$O$85,15,0))</f>
        <v>200.76</v>
      </c>
      <c r="Y178" s="6"/>
      <c r="Z178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8" s="6">
        <f>('TE BE'!$AB$13+'TE BF'!$AB$13+'TE CVA'!$AB$13)*(1-CUSTOS!$M$36)</f>
        <v>70.162527764198742</v>
      </c>
      <c r="AB178" s="6">
        <f t="shared" si="12"/>
        <v>0</v>
      </c>
      <c r="AC178" s="6">
        <f>(L178-M178)*(W178+X178)+($W$183+$X$183-$W$178-$X$178)*(L178)</f>
        <v>1345.249839999999</v>
      </c>
      <c r="AD178" s="6">
        <f t="shared" si="14"/>
        <v>0</v>
      </c>
      <c r="AE178" s="6">
        <f ca="1">(L178-M178)*(Z178+AA178)+($Z$183+$AA$183-$Z$178-$AA$178)*(L178)</f>
        <v>1373.1110028969024</v>
      </c>
      <c r="AF178" s="4" t="s">
        <v>692</v>
      </c>
    </row>
    <row r="179" spans="1:32" ht="11.25" customHeight="1" x14ac:dyDescent="0.3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31</v>
      </c>
      <c r="F179" s="4" t="s">
        <v>25</v>
      </c>
      <c r="G179" s="4" t="s">
        <v>25</v>
      </c>
      <c r="H179" s="4" t="s">
        <v>25</v>
      </c>
      <c r="I179" s="5">
        <v>44682</v>
      </c>
      <c r="J179" s="6">
        <v>0</v>
      </c>
      <c r="K179" s="6">
        <v>0</v>
      </c>
      <c r="L179" s="6">
        <v>20.719000000000001</v>
      </c>
      <c r="M179" s="6">
        <v>20.719000000000001</v>
      </c>
      <c r="N179" s="6">
        <v>20.719000000000001</v>
      </c>
      <c r="O179" s="6">
        <v>20.719000000000001</v>
      </c>
      <c r="P179" s="6">
        <v>141</v>
      </c>
      <c r="Q179" s="4" t="s">
        <v>26</v>
      </c>
      <c r="R179" s="4">
        <v>0</v>
      </c>
      <c r="S179" s="4">
        <v>0</v>
      </c>
      <c r="T179" s="4">
        <v>11</v>
      </c>
      <c r="U179" s="4">
        <v>79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377.34</v>
      </c>
      <c r="X179" s="6">
        <f>IF(ISERROR(VLOOKUP($U$179,'TAR FIN'!$A$1:$O$85,15,0)),0,VLOOKUP($U$179,'TAR FIN'!$A$1:$O$85,15,0))</f>
        <v>200.76</v>
      </c>
      <c r="Y179" s="6"/>
      <c r="Z179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79" s="6">
        <f>('TE BE'!$AB$13+'TE BF'!$AB$13+'TE CVA'!$AB$13)*(1-CUSTOS!$M$36)</f>
        <v>70.162527764198742</v>
      </c>
      <c r="AB179" s="6">
        <f t="shared" si="12"/>
        <v>0</v>
      </c>
      <c r="AC179" s="6">
        <f>(L179-M179)*(W179+X179)+($W$183+$X$183-$W$179-$X$179)*(L179)</f>
        <v>1330.9885599999991</v>
      </c>
      <c r="AD179" s="6">
        <f t="shared" si="14"/>
        <v>0</v>
      </c>
      <c r="AE179" s="6">
        <f ca="1">(L179-M179)*(Z179+AA179)+($Z$183+$AA$183-$Z$179-$AA$179)*(L179)</f>
        <v>1358.5543607765114</v>
      </c>
      <c r="AF179" s="4" t="s">
        <v>692</v>
      </c>
    </row>
    <row r="180" spans="1:32" ht="11.25" customHeight="1" x14ac:dyDescent="0.3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31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0</v>
      </c>
      <c r="K180" s="6">
        <v>0</v>
      </c>
      <c r="L180" s="6">
        <v>20.085000000000001</v>
      </c>
      <c r="M180" s="6">
        <v>20.085000000000001</v>
      </c>
      <c r="N180" s="6">
        <v>20.085000000000001</v>
      </c>
      <c r="O180" s="6">
        <v>20.085000000000001</v>
      </c>
      <c r="P180" s="6">
        <v>118</v>
      </c>
      <c r="Q180" s="4" t="s">
        <v>26</v>
      </c>
      <c r="R180" s="4">
        <v>0</v>
      </c>
      <c r="S180" s="4">
        <v>0</v>
      </c>
      <c r="T180" s="4">
        <v>11</v>
      </c>
      <c r="U180" s="4">
        <v>79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377.34</v>
      </c>
      <c r="X180" s="6">
        <f>IF(ISERROR(VLOOKUP($U$180,'TAR FIN'!$A$1:$O$85,15,0)),0,VLOOKUP($U$180,'TAR FIN'!$A$1:$O$85,15,0))</f>
        <v>200.76</v>
      </c>
      <c r="Y180" s="6"/>
      <c r="Z180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80" s="6">
        <f>('TE BE'!$AB$13+'TE BF'!$AB$13+'TE CVA'!$AB$13)*(1-CUSTOS!$M$36)</f>
        <v>70.162527764198742</v>
      </c>
      <c r="AB180" s="6">
        <f t="shared" si="12"/>
        <v>0</v>
      </c>
      <c r="AC180" s="6">
        <f>(L180-M180)*(W180+X180)+($W$183+$X$183-$W$180-$X$180)*(L180)</f>
        <v>1290.2603999999992</v>
      </c>
      <c r="AD180" s="6">
        <f t="shared" si="14"/>
        <v>0</v>
      </c>
      <c r="AE180" s="6">
        <f ca="1">(L180-M180)*(Z180+AA180)+($Z$183+$AA$183-$Z$180-$AA$180)*(L180)</f>
        <v>1316.9826891353941</v>
      </c>
      <c r="AF180" s="4" t="s">
        <v>692</v>
      </c>
    </row>
    <row r="181" spans="1:32" ht="11.25" customHeight="1" x14ac:dyDescent="0.3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31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0</v>
      </c>
      <c r="K181" s="6">
        <v>0</v>
      </c>
      <c r="L181" s="6">
        <v>16.491</v>
      </c>
      <c r="M181" s="6">
        <v>16.491</v>
      </c>
      <c r="N181" s="6">
        <v>16.491</v>
      </c>
      <c r="O181" s="6">
        <v>16.491</v>
      </c>
      <c r="P181" s="6">
        <v>134</v>
      </c>
      <c r="Q181" s="4" t="s">
        <v>26</v>
      </c>
      <c r="R181" s="4">
        <v>0</v>
      </c>
      <c r="S181" s="4">
        <v>0</v>
      </c>
      <c r="T181" s="4">
        <v>11</v>
      </c>
      <c r="U181" s="4">
        <v>79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377.34</v>
      </c>
      <c r="X181" s="6">
        <f>IF(ISERROR(VLOOKUP($U$181,'TAR FIN'!$A$1:$O$85,15,0)),0,VLOOKUP($U$181,'TAR FIN'!$A$1:$O$85,15,0))</f>
        <v>200.76</v>
      </c>
      <c r="Y181" s="6"/>
      <c r="Z181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81" s="6">
        <f>('TE BE'!$AB$13+'TE BF'!$AB$13+'TE CVA'!$AB$13)*(1-CUSTOS!$M$36)</f>
        <v>70.162527764198742</v>
      </c>
      <c r="AB181" s="6">
        <f t="shared" si="12"/>
        <v>0</v>
      </c>
      <c r="AC181" s="6">
        <f>(L181-M181)*(W181+X181)+($W$183+$X$183-$W$181-$X$181)*(L181)</f>
        <v>1059.3818399999991</v>
      </c>
      <c r="AD181" s="6">
        <f t="shared" si="14"/>
        <v>0</v>
      </c>
      <c r="AE181" s="6">
        <f ca="1">(L181-M181)*(Z181+AA181)+($Z$183+$AA$183-$Z$181-$AA$181)*(L181)</f>
        <v>1081.3224558890606</v>
      </c>
      <c r="AF181" s="4" t="s">
        <v>692</v>
      </c>
    </row>
    <row r="182" spans="1:32" ht="11.25" customHeight="1" x14ac:dyDescent="0.3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31</v>
      </c>
      <c r="F182" s="4" t="s">
        <v>25</v>
      </c>
      <c r="G182" s="4" t="s">
        <v>25</v>
      </c>
      <c r="H182" s="4" t="s">
        <v>25</v>
      </c>
      <c r="I182" s="5">
        <v>44774</v>
      </c>
      <c r="J182" s="6">
        <v>0</v>
      </c>
      <c r="K182" s="6">
        <v>0</v>
      </c>
      <c r="L182" s="6">
        <v>19.074999999999999</v>
      </c>
      <c r="M182" s="6">
        <v>19.074999999999999</v>
      </c>
      <c r="N182" s="6">
        <v>19.074999999999999</v>
      </c>
      <c r="O182" s="6">
        <v>19.074999999999999</v>
      </c>
      <c r="P182" s="6">
        <v>122</v>
      </c>
      <c r="Q182" s="4" t="s">
        <v>26</v>
      </c>
      <c r="R182" s="4">
        <v>0</v>
      </c>
      <c r="S182" s="4">
        <v>0</v>
      </c>
      <c r="T182" s="4">
        <v>11</v>
      </c>
      <c r="U182" s="4">
        <v>79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377.34</v>
      </c>
      <c r="X182" s="6">
        <f>IF(ISERROR(VLOOKUP($U$182,'TAR FIN'!$A$1:$O$85,15,0)),0,VLOOKUP($U$182,'TAR FIN'!$A$1:$O$85,15,0))</f>
        <v>200.76</v>
      </c>
      <c r="Y182" s="6"/>
      <c r="Z182" s="6">
        <f ca="1">('TUSD BE'!$AM$23+'TUSD BF'!$AM$23+'TUSD CVA'!$AM$23-('TUSD BE'!$P$23+'TUSD BF'!$P$23+'TUSD CVA'!$P$23)-('TUSD BE'!$Q$23+'TUSD BF'!$Q$23+'TUSD CVA'!$Q$23)-('TUSD BE'!$R$23+'TUSD BF'!$R$23+'TUSD CVA'!$R$23))*(1-CUSTOS!$M$36)</f>
        <v>519.97161225166144</v>
      </c>
      <c r="AA182" s="6">
        <f>('TE BE'!$AB$13+'TE BF'!$AB$13+'TE CVA'!$AB$13)*(1-CUSTOS!$M$36)</f>
        <v>70.162527764198742</v>
      </c>
      <c r="AB182" s="6">
        <f t="shared" si="12"/>
        <v>0</v>
      </c>
      <c r="AC182" s="6">
        <f>(L182-M182)*(W182+X182)+($W$183+$X$183-$W$182-$X$182)*(L182)</f>
        <v>1225.377999999999</v>
      </c>
      <c r="AD182" s="6">
        <f t="shared" si="14"/>
        <v>0</v>
      </c>
      <c r="AE182" s="6">
        <f ca="1">(L182-M182)*(Z182+AA182)+($Z$183+$AA$183-$Z$182-$AA$182)*(L182)</f>
        <v>1250.7565245336141</v>
      </c>
      <c r="AF182" s="4" t="s">
        <v>692</v>
      </c>
    </row>
    <row r="183" spans="1:32" ht="11.25" customHeight="1" x14ac:dyDescent="0.3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32</v>
      </c>
      <c r="F183" s="4" t="s">
        <v>25</v>
      </c>
      <c r="G183" s="4" t="s">
        <v>25</v>
      </c>
      <c r="H183" s="4" t="s">
        <v>25</v>
      </c>
      <c r="I183" s="5">
        <v>44440</v>
      </c>
      <c r="J183" s="6">
        <v>0</v>
      </c>
      <c r="K183" s="6">
        <v>0</v>
      </c>
      <c r="L183" s="6">
        <v>6.2409999999999997</v>
      </c>
      <c r="M183" s="6">
        <v>6.2409999999999997</v>
      </c>
      <c r="N183" s="6">
        <v>6.2409999999999997</v>
      </c>
      <c r="O183" s="6">
        <v>6.2409999999999997</v>
      </c>
      <c r="P183" s="6">
        <v>61</v>
      </c>
      <c r="Q183" s="4" t="s">
        <v>26</v>
      </c>
      <c r="R183" s="4">
        <v>0</v>
      </c>
      <c r="S183" s="4">
        <v>0</v>
      </c>
      <c r="T183" s="4">
        <v>20</v>
      </c>
      <c r="U183" s="4">
        <v>61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419.27</v>
      </c>
      <c r="X183" s="6">
        <f>IF(ISERROR(VLOOKUP($U$183,'TAR FIN'!$A$1:$O$85,15,0)),0,VLOOKUP($U$183,'TAR FIN'!$A$1:$O$85,15,0))</f>
        <v>223.07</v>
      </c>
      <c r="Y183" s="6"/>
      <c r="Z183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83" s="6">
        <f>('TE BE'!$AB$14+'TE BF'!$AB$14+'TE CVA'!$AB$14)*(1-CUSTOS!$M$37)</f>
        <v>77.958364182443049</v>
      </c>
      <c r="AB183" s="6">
        <f t="shared" si="12"/>
        <v>0</v>
      </c>
      <c r="AC183" s="6">
        <f>(L183-M183)*(W183+X183)+($W$183+$X$183-$W$183-$X$183)*(L183)</f>
        <v>-3.547597771103028E-13</v>
      </c>
      <c r="AD183" s="6">
        <f t="shared" si="14"/>
        <v>0</v>
      </c>
      <c r="AE183" s="6">
        <f ca="1">(L183-M183)*(Z183+AA183)+($Z$183+$AA$183-$Z$183-$AA$183)*(L183)</f>
        <v>-2.660698328327271E-13</v>
      </c>
      <c r="AF183" s="4" t="s">
        <v>692</v>
      </c>
    </row>
    <row r="184" spans="1:32" ht="11.25" customHeight="1" x14ac:dyDescent="0.3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32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0</v>
      </c>
      <c r="K184" s="6">
        <v>0</v>
      </c>
      <c r="L184" s="6">
        <v>4.742</v>
      </c>
      <c r="M184" s="6">
        <v>4.742</v>
      </c>
      <c r="N184" s="6">
        <v>4.742</v>
      </c>
      <c r="O184" s="6">
        <v>4.742</v>
      </c>
      <c r="P184" s="6">
        <v>52</v>
      </c>
      <c r="Q184" s="4" t="s">
        <v>26</v>
      </c>
      <c r="R184" s="4">
        <v>0</v>
      </c>
      <c r="S184" s="4">
        <v>0</v>
      </c>
      <c r="T184" s="4">
        <v>20</v>
      </c>
      <c r="U184" s="4">
        <v>61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419.27</v>
      </c>
      <c r="X184" s="6">
        <f>IF(ISERROR(VLOOKUP($U$184,'TAR FIN'!$A$1:$O$85,15,0)),0,VLOOKUP($U$184,'TAR FIN'!$A$1:$O$85,15,0))</f>
        <v>223.07</v>
      </c>
      <c r="Y184" s="6"/>
      <c r="Z184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84" s="6">
        <f>('TE BE'!$AB$14+'TE BF'!$AB$14+'TE CVA'!$AB$14)*(1-CUSTOS!$M$37)</f>
        <v>77.958364182443049</v>
      </c>
      <c r="AB184" s="6">
        <f t="shared" si="12"/>
        <v>0</v>
      </c>
      <c r="AC184" s="6">
        <f>(L184-M184)*(W184+X184)+($W$183+$X$183-$W$184-$X$184)*(L184)</f>
        <v>-2.6955149223795161E-13</v>
      </c>
      <c r="AD184" s="6">
        <f t="shared" si="14"/>
        <v>0</v>
      </c>
      <c r="AE184" s="6">
        <f ca="1">(L184-M184)*(Z184+AA184)+($Z$183+$AA$183-$Z$184-$AA$184)*(L184)</f>
        <v>-2.0216361917846369E-13</v>
      </c>
      <c r="AF184" s="4" t="s">
        <v>692</v>
      </c>
    </row>
    <row r="185" spans="1:32" ht="11.25" customHeight="1" x14ac:dyDescent="0.3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32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0</v>
      </c>
      <c r="K185" s="6">
        <v>0</v>
      </c>
      <c r="L185" s="6">
        <v>5.9029999999999996</v>
      </c>
      <c r="M185" s="6">
        <v>5.9029999999999996</v>
      </c>
      <c r="N185" s="6">
        <v>5.9029999999999996</v>
      </c>
      <c r="O185" s="6">
        <v>5.9029999999999996</v>
      </c>
      <c r="P185" s="6">
        <v>56</v>
      </c>
      <c r="Q185" s="4" t="s">
        <v>26</v>
      </c>
      <c r="R185" s="4">
        <v>0</v>
      </c>
      <c r="S185" s="4">
        <v>0</v>
      </c>
      <c r="T185" s="4">
        <v>20</v>
      </c>
      <c r="U185" s="4">
        <v>61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419.27</v>
      </c>
      <c r="X185" s="6">
        <f>IF(ISERROR(VLOOKUP($U$185,'TAR FIN'!$A$1:$O$85,15,0)),0,VLOOKUP($U$185,'TAR FIN'!$A$1:$O$85,15,0))</f>
        <v>223.07</v>
      </c>
      <c r="Y185" s="6"/>
      <c r="Z185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85" s="6">
        <f>('TE BE'!$AB$14+'TE BF'!$AB$14+'TE CVA'!$AB$14)*(1-CUSTOS!$M$37)</f>
        <v>77.958364182443049</v>
      </c>
      <c r="AB185" s="6">
        <f t="shared" si="12"/>
        <v>0</v>
      </c>
      <c r="AC185" s="6">
        <f>(L185-M185)*(W185+X185)+($W$183+$X$183-$W$185-$X$185)*(L185)</f>
        <v>-3.3554670153534969E-13</v>
      </c>
      <c r="AD185" s="6">
        <f t="shared" si="14"/>
        <v>0</v>
      </c>
      <c r="AE185" s="6">
        <f ca="1">(L185-M185)*(Z185+AA185)+($Z$183+$AA$183-$Z$185-$AA$185)*(L185)</f>
        <v>-2.5166002615151228E-13</v>
      </c>
      <c r="AF185" s="4" t="s">
        <v>692</v>
      </c>
    </row>
    <row r="186" spans="1:32" ht="11.25" customHeight="1" x14ac:dyDescent="0.3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32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3.8780000000000001</v>
      </c>
      <c r="M186" s="6">
        <v>3.8780000000000001</v>
      </c>
      <c r="N186" s="6">
        <v>3.8780000000000001</v>
      </c>
      <c r="O186" s="6">
        <v>3.8780000000000001</v>
      </c>
      <c r="P186" s="6">
        <v>46</v>
      </c>
      <c r="Q186" s="4" t="s">
        <v>26</v>
      </c>
      <c r="R186" s="4">
        <v>0</v>
      </c>
      <c r="S186" s="4">
        <v>0</v>
      </c>
      <c r="T186" s="4">
        <v>20</v>
      </c>
      <c r="U186" s="4">
        <v>61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419.27</v>
      </c>
      <c r="X186" s="6">
        <f>IF(ISERROR(VLOOKUP($U$186,'TAR FIN'!$A$1:$O$85,15,0)),0,VLOOKUP($U$186,'TAR FIN'!$A$1:$O$85,15,0))</f>
        <v>223.07</v>
      </c>
      <c r="Y186" s="6"/>
      <c r="Z186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86" s="6">
        <f>('TE BE'!$AB$14+'TE BF'!$AB$14+'TE CVA'!$AB$14)*(1-CUSTOS!$M$37)</f>
        <v>77.958364182443049</v>
      </c>
      <c r="AB186" s="6">
        <f t="shared" si="12"/>
        <v>0</v>
      </c>
      <c r="AC186" s="6">
        <f>(L186-M186)*(W186+X186)+($W$183+$X$183-$W$186-$X$186)*(L186)</f>
        <v>-2.2043877834221349E-13</v>
      </c>
      <c r="AD186" s="6">
        <f t="shared" si="14"/>
        <v>0</v>
      </c>
      <c r="AE186" s="6">
        <f ca="1">(L186-M186)*(Z186+AA186)+($Z$183+$AA$183-$Z$186-$AA$186)*(L186)</f>
        <v>-1.6532908375666012E-13</v>
      </c>
      <c r="AF186" s="4" t="s">
        <v>692</v>
      </c>
    </row>
    <row r="187" spans="1:32" ht="11.25" customHeight="1" x14ac:dyDescent="0.3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32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7.048</v>
      </c>
      <c r="M187" s="6">
        <v>7.048</v>
      </c>
      <c r="N187" s="6">
        <v>7.048</v>
      </c>
      <c r="O187" s="6">
        <v>7.048</v>
      </c>
      <c r="P187" s="6">
        <v>67</v>
      </c>
      <c r="Q187" s="4" t="s">
        <v>26</v>
      </c>
      <c r="R187" s="4">
        <v>0</v>
      </c>
      <c r="S187" s="4">
        <v>0</v>
      </c>
      <c r="T187" s="4">
        <v>20</v>
      </c>
      <c r="U187" s="4">
        <v>61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419.27</v>
      </c>
      <c r="X187" s="6">
        <f>IF(ISERROR(VLOOKUP($U$187,'TAR FIN'!$A$1:$O$85,15,0)),0,VLOOKUP($U$187,'TAR FIN'!$A$1:$O$85,15,0))</f>
        <v>223.07</v>
      </c>
      <c r="Y187" s="6"/>
      <c r="Z187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87" s="6">
        <f>('TE BE'!$AB$14+'TE BF'!$AB$14+'TE CVA'!$AB$14)*(1-CUSTOS!$M$37)</f>
        <v>77.958364182443049</v>
      </c>
      <c r="AB187" s="6">
        <f t="shared" si="12"/>
        <v>0</v>
      </c>
      <c r="AC187" s="6">
        <f>(L187-M187)*(W187+X187)+($W$183+$X$183-$W$187-$X$187)*(L187)</f>
        <v>-4.0063241613097489E-13</v>
      </c>
      <c r="AD187" s="6">
        <f t="shared" si="14"/>
        <v>0</v>
      </c>
      <c r="AE187" s="6">
        <f ca="1">(L187-M187)*(Z187+AA187)+($Z$183+$AA$183-$Z$187-$AA$187)*(L187)</f>
        <v>-3.0047431209823114E-13</v>
      </c>
      <c r="AF187" s="4" t="s">
        <v>692</v>
      </c>
    </row>
    <row r="188" spans="1:32" ht="11.25" customHeight="1" x14ac:dyDescent="0.3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32</v>
      </c>
      <c r="F188" s="4" t="s">
        <v>25</v>
      </c>
      <c r="G188" s="4" t="s">
        <v>25</v>
      </c>
      <c r="H188" s="4" t="s">
        <v>25</v>
      </c>
      <c r="I188" s="5">
        <v>44593</v>
      </c>
      <c r="J188" s="6">
        <v>0</v>
      </c>
      <c r="K188" s="6">
        <v>0</v>
      </c>
      <c r="L188" s="6">
        <v>10.411</v>
      </c>
      <c r="M188" s="6">
        <v>10.411</v>
      </c>
      <c r="N188" s="6">
        <v>10.411</v>
      </c>
      <c r="O188" s="6">
        <v>10.411</v>
      </c>
      <c r="P188" s="6">
        <v>93</v>
      </c>
      <c r="Q188" s="4" t="s">
        <v>26</v>
      </c>
      <c r="R188" s="4">
        <v>0</v>
      </c>
      <c r="S188" s="4">
        <v>0</v>
      </c>
      <c r="T188" s="4">
        <v>20</v>
      </c>
      <c r="U188" s="4">
        <v>61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419.27</v>
      </c>
      <c r="X188" s="6">
        <f>IF(ISERROR(VLOOKUP($U$188,'TAR FIN'!$A$1:$O$85,15,0)),0,VLOOKUP($U$188,'TAR FIN'!$A$1:$O$85,15,0))</f>
        <v>223.07</v>
      </c>
      <c r="Y188" s="6"/>
      <c r="Z188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88" s="6">
        <f>('TE BE'!$AB$14+'TE BF'!$AB$14+'TE CVA'!$AB$14)*(1-CUSTOS!$M$37)</f>
        <v>77.958364182443049</v>
      </c>
      <c r="AB188" s="6">
        <f t="shared" si="12"/>
        <v>0</v>
      </c>
      <c r="AC188" s="6">
        <f>(L188-M188)*(W188+X188)+($W$183+$X$183-$W$188-$X$188)*(L188)</f>
        <v>-5.9179683375987222E-13</v>
      </c>
      <c r="AD188" s="6">
        <f t="shared" si="14"/>
        <v>0</v>
      </c>
      <c r="AE188" s="6">
        <f ca="1">(L188-M188)*(Z188+AA188)+($Z$183+$AA$183-$Z$188-$AA$188)*(L188)</f>
        <v>-4.4384762531990414E-13</v>
      </c>
      <c r="AF188" s="4" t="s">
        <v>692</v>
      </c>
    </row>
    <row r="189" spans="1:32" ht="11.25" customHeight="1" x14ac:dyDescent="0.3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32</v>
      </c>
      <c r="F189" s="4" t="s">
        <v>25</v>
      </c>
      <c r="G189" s="4" t="s">
        <v>25</v>
      </c>
      <c r="H189" s="4" t="s">
        <v>25</v>
      </c>
      <c r="I189" s="5">
        <v>44621</v>
      </c>
      <c r="J189" s="6">
        <v>0</v>
      </c>
      <c r="K189" s="6">
        <v>0</v>
      </c>
      <c r="L189" s="6">
        <v>10.984</v>
      </c>
      <c r="M189" s="6">
        <v>10.984</v>
      </c>
      <c r="N189" s="6">
        <v>10.984</v>
      </c>
      <c r="O189" s="6">
        <v>10.984</v>
      </c>
      <c r="P189" s="6">
        <v>87</v>
      </c>
      <c r="Q189" s="4" t="s">
        <v>26</v>
      </c>
      <c r="R189" s="4">
        <v>0</v>
      </c>
      <c r="S189" s="4">
        <v>0</v>
      </c>
      <c r="T189" s="4">
        <v>20</v>
      </c>
      <c r="U189" s="4">
        <v>61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419.27</v>
      </c>
      <c r="X189" s="6">
        <f>IF(ISERROR(VLOOKUP($U$189,'TAR FIN'!$A$1:$O$85,15,0)),0,VLOOKUP($U$189,'TAR FIN'!$A$1:$O$85,15,0))</f>
        <v>223.07</v>
      </c>
      <c r="Y189" s="6"/>
      <c r="Z189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89" s="6">
        <f>('TE BE'!$AB$14+'TE BF'!$AB$14+'TE CVA'!$AB$14)*(1-CUSTOS!$M$37)</f>
        <v>77.958364182443049</v>
      </c>
      <c r="AB189" s="6">
        <f t="shared" si="12"/>
        <v>0</v>
      </c>
      <c r="AC189" s="6">
        <f>(L189-M189)*(W189+X189)+($W$183+$X$183-$W$189-$X$189)*(L189)</f>
        <v>-6.2436811276711523E-13</v>
      </c>
      <c r="AD189" s="6">
        <f t="shared" si="14"/>
        <v>0</v>
      </c>
      <c r="AE189" s="6">
        <f ca="1">(L189-M189)*(Z189+AA189)+($Z$183+$AA$183-$Z$189-$AA$189)*(L189)</f>
        <v>-4.682760845753364E-13</v>
      </c>
      <c r="AF189" s="4" t="s">
        <v>692</v>
      </c>
    </row>
    <row r="190" spans="1:32" ht="11.25" customHeight="1" x14ac:dyDescent="0.3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32</v>
      </c>
      <c r="F190" s="4" t="s">
        <v>25</v>
      </c>
      <c r="G190" s="4" t="s">
        <v>25</v>
      </c>
      <c r="H190" s="4" t="s">
        <v>25</v>
      </c>
      <c r="I190" s="5">
        <v>44652</v>
      </c>
      <c r="J190" s="6">
        <v>0</v>
      </c>
      <c r="K190" s="6">
        <v>0</v>
      </c>
      <c r="L190" s="6">
        <v>11.212</v>
      </c>
      <c r="M190" s="6">
        <v>11.212</v>
      </c>
      <c r="N190" s="6">
        <v>11.212</v>
      </c>
      <c r="O190" s="6">
        <v>11.212</v>
      </c>
      <c r="P190" s="6">
        <v>102</v>
      </c>
      <c r="Q190" s="4" t="s">
        <v>26</v>
      </c>
      <c r="R190" s="4">
        <v>0</v>
      </c>
      <c r="S190" s="4">
        <v>0</v>
      </c>
      <c r="T190" s="4">
        <v>20</v>
      </c>
      <c r="U190" s="4">
        <v>61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419.27</v>
      </c>
      <c r="X190" s="6">
        <f>IF(ISERROR(VLOOKUP($U$190,'TAR FIN'!$A$1:$O$85,15,0)),0,VLOOKUP($U$190,'TAR FIN'!$A$1:$O$85,15,0))</f>
        <v>223.07</v>
      </c>
      <c r="Y190" s="6"/>
      <c r="Z190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90" s="6">
        <f>('TE BE'!$AB$14+'TE BF'!$AB$14+'TE CVA'!$AB$14)*(1-CUSTOS!$M$37)</f>
        <v>77.958364182443049</v>
      </c>
      <c r="AB190" s="6">
        <f t="shared" si="12"/>
        <v>0</v>
      </c>
      <c r="AC190" s="6">
        <f>(L190-M190)*(W190+X190)+($W$183+$X$183-$W$190-$X$190)*(L190)</f>
        <v>-6.3732841226737945E-13</v>
      </c>
      <c r="AD190" s="6">
        <f t="shared" si="14"/>
        <v>0</v>
      </c>
      <c r="AE190" s="6">
        <f ca="1">(L190-M190)*(Z190+AA190)+($Z$183+$AA$183-$Z$190-$AA$190)*(L190)</f>
        <v>-4.7799630920053454E-13</v>
      </c>
      <c r="AF190" s="4" t="s">
        <v>692</v>
      </c>
    </row>
    <row r="191" spans="1:32" ht="11.25" customHeight="1" x14ac:dyDescent="0.3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32</v>
      </c>
      <c r="F191" s="4" t="s">
        <v>25</v>
      </c>
      <c r="G191" s="4" t="s">
        <v>25</v>
      </c>
      <c r="H191" s="4" t="s">
        <v>25</v>
      </c>
      <c r="I191" s="5">
        <v>44682</v>
      </c>
      <c r="J191" s="6">
        <v>0</v>
      </c>
      <c r="K191" s="6">
        <v>0</v>
      </c>
      <c r="L191" s="6">
        <v>10.695</v>
      </c>
      <c r="M191" s="6">
        <v>10.695</v>
      </c>
      <c r="N191" s="6">
        <v>10.695</v>
      </c>
      <c r="O191" s="6">
        <v>10.695</v>
      </c>
      <c r="P191" s="6">
        <v>105</v>
      </c>
      <c r="Q191" s="4" t="s">
        <v>26</v>
      </c>
      <c r="R191" s="4">
        <v>0</v>
      </c>
      <c r="S191" s="4">
        <v>0</v>
      </c>
      <c r="T191" s="4">
        <v>20</v>
      </c>
      <c r="U191" s="4">
        <v>61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419.27</v>
      </c>
      <c r="X191" s="6">
        <f>IF(ISERROR(VLOOKUP($U$191,'TAR FIN'!$A$1:$O$85,15,0)),0,VLOOKUP($U$191,'TAR FIN'!$A$1:$O$85,15,0))</f>
        <v>223.07</v>
      </c>
      <c r="Y191" s="6"/>
      <c r="Z191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91" s="6">
        <f>('TE BE'!$AB$14+'TE BF'!$AB$14+'TE CVA'!$AB$14)*(1-CUSTOS!$M$37)</f>
        <v>77.958364182443049</v>
      </c>
      <c r="AB191" s="6">
        <f t="shared" si="12"/>
        <v>0</v>
      </c>
      <c r="AC191" s="6">
        <f>(L191-M191)*(W191+X191)+($W$183+$X$183-$W$191-$X$191)*(L191)</f>
        <v>-6.0794036471634174E-13</v>
      </c>
      <c r="AD191" s="6">
        <f t="shared" si="14"/>
        <v>0</v>
      </c>
      <c r="AE191" s="6">
        <f ca="1">(L191-M191)*(Z191+AA191)+($Z$183+$AA$183-$Z$191-$AA$191)*(L191)</f>
        <v>-4.559552735372563E-13</v>
      </c>
      <c r="AF191" s="4" t="s">
        <v>692</v>
      </c>
    </row>
    <row r="192" spans="1:32" ht="11.25" customHeight="1" x14ac:dyDescent="0.3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32</v>
      </c>
      <c r="F192" s="4" t="s">
        <v>25</v>
      </c>
      <c r="G192" s="4" t="s">
        <v>25</v>
      </c>
      <c r="H192" s="4" t="s">
        <v>25</v>
      </c>
      <c r="I192" s="5">
        <v>44713</v>
      </c>
      <c r="J192" s="6">
        <v>0</v>
      </c>
      <c r="K192" s="6">
        <v>0</v>
      </c>
      <c r="L192" s="6">
        <v>10.532</v>
      </c>
      <c r="M192" s="6">
        <v>10.532</v>
      </c>
      <c r="N192" s="6">
        <v>10.532</v>
      </c>
      <c r="O192" s="6">
        <v>10.532</v>
      </c>
      <c r="P192" s="6">
        <v>101</v>
      </c>
      <c r="Q192" s="4" t="s">
        <v>26</v>
      </c>
      <c r="R192" s="4">
        <v>0</v>
      </c>
      <c r="S192" s="4">
        <v>0</v>
      </c>
      <c r="T192" s="4">
        <v>20</v>
      </c>
      <c r="U192" s="4">
        <v>61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419.27</v>
      </c>
      <c r="X192" s="6">
        <f>IF(ISERROR(VLOOKUP($U$192,'TAR FIN'!$A$1:$O$85,15,0)),0,VLOOKUP($U$192,'TAR FIN'!$A$1:$O$85,15,0))</f>
        <v>223.07</v>
      </c>
      <c r="Y192" s="6"/>
      <c r="Z192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92" s="6">
        <f>('TE BE'!$AB$14+'TE BF'!$AB$14+'TE CVA'!$AB$14)*(1-CUSTOS!$M$37)</f>
        <v>77.958364182443049</v>
      </c>
      <c r="AB192" s="6">
        <f t="shared" si="12"/>
        <v>0</v>
      </c>
      <c r="AC192" s="6">
        <f>(L192-M192)*(W192+X192)+($W$183+$X$183-$W$192-$X$192)*(L192)</f>
        <v>-5.9867488744203001E-13</v>
      </c>
      <c r="AD192" s="6">
        <f t="shared" si="14"/>
        <v>0</v>
      </c>
      <c r="AE192" s="6">
        <f ca="1">(L192-M192)*(Z192+AA192)+($Z$183+$AA$183-$Z$192-$AA$192)*(L192)</f>
        <v>-4.4900616558152251E-13</v>
      </c>
      <c r="AF192" s="4" t="s">
        <v>692</v>
      </c>
    </row>
    <row r="193" spans="1:32" ht="11.25" customHeight="1" x14ac:dyDescent="0.3">
      <c r="A193" s="4" t="s">
        <v>21</v>
      </c>
      <c r="B193" s="4" t="s">
        <v>22</v>
      </c>
      <c r="C193" s="4" t="s">
        <v>23</v>
      </c>
      <c r="D193" s="4" t="s">
        <v>24</v>
      </c>
      <c r="E193" s="4" t="s">
        <v>32</v>
      </c>
      <c r="F193" s="4" t="s">
        <v>25</v>
      </c>
      <c r="G193" s="4" t="s">
        <v>25</v>
      </c>
      <c r="H193" s="4" t="s">
        <v>25</v>
      </c>
      <c r="I193" s="5">
        <v>44743</v>
      </c>
      <c r="J193" s="6">
        <v>0</v>
      </c>
      <c r="K193" s="6">
        <v>0</v>
      </c>
      <c r="L193" s="6">
        <v>6.1269999999999998</v>
      </c>
      <c r="M193" s="6">
        <v>6.1269999999999998</v>
      </c>
      <c r="N193" s="6">
        <v>6.1269999999999998</v>
      </c>
      <c r="O193" s="6">
        <v>6.1269999999999998</v>
      </c>
      <c r="P193" s="6">
        <v>74</v>
      </c>
      <c r="Q193" s="4" t="s">
        <v>26</v>
      </c>
      <c r="R193" s="4">
        <v>0</v>
      </c>
      <c r="S193" s="4">
        <v>0</v>
      </c>
      <c r="T193" s="4">
        <v>20</v>
      </c>
      <c r="U193" s="4">
        <v>61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419.27</v>
      </c>
      <c r="X193" s="6">
        <f>IF(ISERROR(VLOOKUP($U$193,'TAR FIN'!$A$1:$O$85,15,0)),0,VLOOKUP($U$193,'TAR FIN'!$A$1:$O$85,15,0))</f>
        <v>223.07</v>
      </c>
      <c r="Y193" s="6"/>
      <c r="Z193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93" s="6">
        <f>('TE BE'!$AB$14+'TE BF'!$AB$14+'TE CVA'!$AB$14)*(1-CUSTOS!$M$37)</f>
        <v>77.958364182443049</v>
      </c>
      <c r="AB193" s="6">
        <f t="shared" si="12"/>
        <v>0</v>
      </c>
      <c r="AC193" s="6">
        <f>(L193-M193)*(W193+X193)+($W$183+$X$183-$W$193-$X$193)*(L193)</f>
        <v>-3.4827962736017069E-13</v>
      </c>
      <c r="AD193" s="6">
        <f t="shared" si="14"/>
        <v>0</v>
      </c>
      <c r="AE193" s="6">
        <f ca="1">(L193-M193)*(Z193+AA193)+($Z$183+$AA$183-$Z$193-$AA$193)*(L193)</f>
        <v>-2.6120972052012803E-13</v>
      </c>
      <c r="AF193" s="4" t="s">
        <v>692</v>
      </c>
    </row>
    <row r="194" spans="1:32" ht="11.25" customHeight="1" x14ac:dyDescent="0.3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32</v>
      </c>
      <c r="F194" s="4" t="s">
        <v>25</v>
      </c>
      <c r="G194" s="4" t="s">
        <v>25</v>
      </c>
      <c r="H194" s="4" t="s">
        <v>25</v>
      </c>
      <c r="I194" s="5">
        <v>44774</v>
      </c>
      <c r="J194" s="6">
        <v>0</v>
      </c>
      <c r="K194" s="6">
        <v>0</v>
      </c>
      <c r="L194" s="6">
        <v>10.805999999999999</v>
      </c>
      <c r="M194" s="6">
        <v>10.805999999999999</v>
      </c>
      <c r="N194" s="6">
        <v>10.805999999999999</v>
      </c>
      <c r="O194" s="6">
        <v>10.805999999999999</v>
      </c>
      <c r="P194" s="6">
        <v>99</v>
      </c>
      <c r="Q194" s="4" t="s">
        <v>26</v>
      </c>
      <c r="R194" s="4">
        <v>0</v>
      </c>
      <c r="S194" s="4">
        <v>0</v>
      </c>
      <c r="T194" s="4">
        <v>20</v>
      </c>
      <c r="U194" s="4">
        <v>61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419.27</v>
      </c>
      <c r="X194" s="6">
        <f>IF(ISERROR(VLOOKUP($U$194,'TAR FIN'!$A$1:$O$85,15,0)),0,VLOOKUP($U$194,'TAR FIN'!$A$1:$O$85,15,0))</f>
        <v>223.07</v>
      </c>
      <c r="Y194" s="6"/>
      <c r="Z194" s="6">
        <f ca="1">('TUSD BE'!$AM$24+'TUSD BF'!$AM$24+'TUSD CVA'!$AM$24-('TUSD BE'!$P$24+'TUSD BF'!$P$24+'TUSD CVA'!$P$24)-('TUSD BE'!$Q$24+'TUSD BF'!$Q$24+'TUSD CVA'!$Q$24)-('TUSD BE'!$R$24+'TUSD BF'!$R$24+'TUSD CVA'!$R$24))*(1-CUSTOS!$M$37)</f>
        <v>577.74623583517939</v>
      </c>
      <c r="AA194" s="6">
        <f>('TE BE'!$AB$14+'TE BF'!$AB$14+'TE CVA'!$AB$14)*(1-CUSTOS!$M$37)</f>
        <v>77.958364182443049</v>
      </c>
      <c r="AB194" s="6">
        <f t="shared" ref="AB194:AB218" si="16">(J194-K194)*V194</f>
        <v>0</v>
      </c>
      <c r="AC194" s="6">
        <f>(L194-M194)*(W194+X194)+($W$183+$X$183-$W$194-$X$194)*(L194)</f>
        <v>-6.1424998420989136E-13</v>
      </c>
      <c r="AD194" s="6">
        <f t="shared" ref="AD194:AD218" si="17">(J194-K194)*Y194</f>
        <v>0</v>
      </c>
      <c r="AE194" s="6">
        <f ca="1">(L194-M194)*(Z194+AA194)+($Z$183+$AA$183-$Z$194-$AA$194)*(L194)</f>
        <v>-4.6068748815741855E-13</v>
      </c>
      <c r="AF194" s="4" t="s">
        <v>692</v>
      </c>
    </row>
    <row r="195" spans="1:32" ht="11.25" customHeight="1" x14ac:dyDescent="0.3">
      <c r="A195" s="4" t="s">
        <v>21</v>
      </c>
      <c r="B195" s="4" t="s">
        <v>42</v>
      </c>
      <c r="C195" s="4" t="s">
        <v>23</v>
      </c>
      <c r="D195" s="4" t="s">
        <v>43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44440</v>
      </c>
      <c r="J195" s="6">
        <v>0</v>
      </c>
      <c r="K195" s="6">
        <v>0</v>
      </c>
      <c r="L195" s="6">
        <v>37.402000000000001</v>
      </c>
      <c r="M195" s="6">
        <v>37.402000000000001</v>
      </c>
      <c r="N195" s="6">
        <v>37.402000000000001</v>
      </c>
      <c r="O195" s="6">
        <v>37.402000000000001</v>
      </c>
      <c r="P195" s="6">
        <v>174</v>
      </c>
      <c r="Q195" s="4" t="s">
        <v>26</v>
      </c>
      <c r="R195" s="4">
        <v>0</v>
      </c>
      <c r="S195" s="4">
        <v>0</v>
      </c>
      <c r="T195" s="4">
        <v>75</v>
      </c>
      <c r="U195" s="4">
        <v>53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424.73</v>
      </c>
      <c r="X195" s="6">
        <f>IF(ISERROR(VLOOKUP($U$195,'TAR FIN'!$A$1:$O$85,15,0)),0,VLOOKUP($U$195,'TAR FIN'!$A$1:$O$85,15,0))</f>
        <v>196.3</v>
      </c>
      <c r="Y195" s="6"/>
      <c r="Z195" s="6">
        <f ca="1">('TUSD BE'!$AM$33+'TUSD BF'!$AM$33+'TUSD CVA'!$AM$33)*(1-CUSTOS!$M$38)</f>
        <v>631.69873713628454</v>
      </c>
      <c r="AA195" s="6">
        <f>('TE BE'!$AB$23+'TE BF'!$AB$23+'TE CVA'!$AB$23)*(1-CUSTOS!$M$38)</f>
        <v>72.501278689672034</v>
      </c>
      <c r="AB195" s="6">
        <f t="shared" si="16"/>
        <v>0</v>
      </c>
      <c r="AC195" s="6">
        <f>(L195-M195)*(W195+X195)+($W$146+$X$146-$W$195-$X$195)*(L195)</f>
        <v>3167.5753800000002</v>
      </c>
      <c r="AD195" s="6">
        <f t="shared" si="17"/>
        <v>0</v>
      </c>
      <c r="AE195" s="6">
        <f ca="1">(L195-M195)*(Z195+AA195)+($Z$146+$AA$146-$Z$195-$AA$195)*(L195)</f>
        <v>1982.4669133705058</v>
      </c>
      <c r="AF195" s="4" t="s">
        <v>690</v>
      </c>
    </row>
    <row r="196" spans="1:32" ht="11.25" customHeight="1" x14ac:dyDescent="0.3">
      <c r="A196" s="4" t="s">
        <v>28</v>
      </c>
      <c r="B196" s="4" t="s">
        <v>42</v>
      </c>
      <c r="C196" s="4" t="s">
        <v>23</v>
      </c>
      <c r="D196" s="4" t="s">
        <v>43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44440</v>
      </c>
      <c r="J196" s="6">
        <v>0</v>
      </c>
      <c r="K196" s="6">
        <v>0</v>
      </c>
      <c r="L196" s="6">
        <v>2.456</v>
      </c>
      <c r="M196" s="6">
        <v>2.456</v>
      </c>
      <c r="N196" s="6">
        <v>2.456</v>
      </c>
      <c r="O196" s="6">
        <v>2.456</v>
      </c>
      <c r="P196" s="6">
        <v>5</v>
      </c>
      <c r="Q196" s="4" t="s">
        <v>26</v>
      </c>
      <c r="R196" s="4">
        <v>0</v>
      </c>
      <c r="S196" s="4">
        <v>0</v>
      </c>
      <c r="T196" s="4">
        <v>75</v>
      </c>
      <c r="U196" s="4">
        <v>53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424.73</v>
      </c>
      <c r="X196" s="6">
        <f>IF(ISERROR(VLOOKUP($U$196,'TAR FIN'!$A$1:$O$85,15,0)),0,VLOOKUP($U$196,'TAR FIN'!$A$1:$O$85,15,0))</f>
        <v>196.3</v>
      </c>
      <c r="Y196" s="6"/>
      <c r="Z196" s="6">
        <f ca="1">('TUSD BE'!$AM$33+'TUSD BF'!$AM$33+'TUSD CVA'!$AM$33)*(1-CUSTOS!$M$38)</f>
        <v>631.69873713628454</v>
      </c>
      <c r="AA196" s="6">
        <f>('TE BE'!$AB$23+'TE BF'!$AB$23+'TE CVA'!$AB$23)*(1-CUSTOS!$M$38)</f>
        <v>72.501278689672034</v>
      </c>
      <c r="AB196" s="6">
        <f t="shared" si="16"/>
        <v>0</v>
      </c>
      <c r="AC196" s="6">
        <f>(L196-M196)*(W196+X196)+($W$146+$X$146-$W$196-$X$196)*(L196)</f>
        <v>207.99863999999999</v>
      </c>
      <c r="AD196" s="6">
        <f t="shared" si="17"/>
        <v>0</v>
      </c>
      <c r="AE196" s="6">
        <f ca="1">(L196-M196)*(Z196+AA196)+($Z$146+$AA$146-$Z$196-$AA$196)*(L196)</f>
        <v>130.17856636644999</v>
      </c>
      <c r="AF196" s="4" t="s">
        <v>690</v>
      </c>
    </row>
    <row r="197" spans="1:32" ht="11.25" customHeight="1" x14ac:dyDescent="0.3">
      <c r="A197" s="4" t="s">
        <v>21</v>
      </c>
      <c r="B197" s="4" t="s">
        <v>42</v>
      </c>
      <c r="C197" s="4" t="s">
        <v>23</v>
      </c>
      <c r="D197" s="4" t="s">
        <v>43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44470</v>
      </c>
      <c r="J197" s="6">
        <v>0</v>
      </c>
      <c r="K197" s="6">
        <v>0</v>
      </c>
      <c r="L197" s="6">
        <v>37.35</v>
      </c>
      <c r="M197" s="6">
        <v>37.35</v>
      </c>
      <c r="N197" s="6">
        <v>37.35</v>
      </c>
      <c r="O197" s="6">
        <v>37.35</v>
      </c>
      <c r="P197" s="6">
        <v>176</v>
      </c>
      <c r="Q197" s="4" t="s">
        <v>26</v>
      </c>
      <c r="R197" s="4">
        <v>0</v>
      </c>
      <c r="S197" s="4">
        <v>0</v>
      </c>
      <c r="T197" s="4">
        <v>75</v>
      </c>
      <c r="U197" s="4">
        <v>53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424.73</v>
      </c>
      <c r="X197" s="6">
        <f>IF(ISERROR(VLOOKUP($U$197,'TAR FIN'!$A$1:$O$85,15,0)),0,VLOOKUP($U$197,'TAR FIN'!$A$1:$O$85,15,0))</f>
        <v>196.3</v>
      </c>
      <c r="Y197" s="6"/>
      <c r="Z197" s="6">
        <f ca="1">('TUSD BE'!$AM$33+'TUSD BF'!$AM$33+'TUSD CVA'!$AM$33)*(1-CUSTOS!$M$38)</f>
        <v>631.69873713628454</v>
      </c>
      <c r="AA197" s="6">
        <f>('TE BE'!$AB$23+'TE BF'!$AB$23+'TE CVA'!$AB$23)*(1-CUSTOS!$M$38)</f>
        <v>72.501278689672034</v>
      </c>
      <c r="AB197" s="6">
        <f t="shared" si="16"/>
        <v>0</v>
      </c>
      <c r="AC197" s="6">
        <f>(L197-M197)*(W197+X197)+($W$146+$X$146-$W$197-$X$197)*(L197)</f>
        <v>3163.1714999999999</v>
      </c>
      <c r="AD197" s="6">
        <f t="shared" si="17"/>
        <v>0</v>
      </c>
      <c r="AE197" s="6">
        <f ca="1">(L197-M197)*(Z197+AA197)+($Z$146+$AA$146-$Z$197-$AA$197)*(L197)</f>
        <v>1979.7106896526495</v>
      </c>
      <c r="AF197" s="4" t="s">
        <v>690</v>
      </c>
    </row>
    <row r="198" spans="1:32" ht="11.25" customHeight="1" x14ac:dyDescent="0.3">
      <c r="A198" s="4" t="s">
        <v>28</v>
      </c>
      <c r="B198" s="4" t="s">
        <v>42</v>
      </c>
      <c r="C198" s="4" t="s">
        <v>23</v>
      </c>
      <c r="D198" s="4" t="s">
        <v>43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44470</v>
      </c>
      <c r="J198" s="6">
        <v>0</v>
      </c>
      <c r="K198" s="6">
        <v>0</v>
      </c>
      <c r="L198" s="6">
        <v>2.9449999999999998</v>
      </c>
      <c r="M198" s="6">
        <v>2.9449999999999998</v>
      </c>
      <c r="N198" s="6">
        <v>2.9449999999999998</v>
      </c>
      <c r="O198" s="6">
        <v>2.9449999999999998</v>
      </c>
      <c r="P198" s="6">
        <v>5</v>
      </c>
      <c r="Q198" s="4" t="s">
        <v>26</v>
      </c>
      <c r="R198" s="4">
        <v>0</v>
      </c>
      <c r="S198" s="4">
        <v>0</v>
      </c>
      <c r="T198" s="4">
        <v>75</v>
      </c>
      <c r="U198" s="4">
        <v>53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424.73</v>
      </c>
      <c r="X198" s="6">
        <f>IF(ISERROR(VLOOKUP($U$198,'TAR FIN'!$A$1:$O$85,15,0)),0,VLOOKUP($U$198,'TAR FIN'!$A$1:$O$85,15,0))</f>
        <v>196.3</v>
      </c>
      <c r="Y198" s="6"/>
      <c r="Z198" s="6">
        <f ca="1">('TUSD BE'!$AM$33+'TUSD BF'!$AM$33+'TUSD CVA'!$AM$33)*(1-CUSTOS!$M$38)</f>
        <v>631.69873713628454</v>
      </c>
      <c r="AA198" s="6">
        <f>('TE BE'!$AB$23+'TE BF'!$AB$23+'TE CVA'!$AB$23)*(1-CUSTOS!$M$38)</f>
        <v>72.501278689672034</v>
      </c>
      <c r="AB198" s="6">
        <f t="shared" si="16"/>
        <v>0</v>
      </c>
      <c r="AC198" s="6">
        <f>(L198-M198)*(W198+X198)+($W$146+$X$146-$W$198-$X$198)*(L198)</f>
        <v>249.41204999999999</v>
      </c>
      <c r="AD198" s="6">
        <f t="shared" si="17"/>
        <v>0</v>
      </c>
      <c r="AE198" s="6">
        <f ca="1">(L198-M198)*(Z198+AA198)+($Z$146+$AA$146-$Z$198-$AA$198)*(L198)</f>
        <v>156.09767017475374</v>
      </c>
      <c r="AF198" s="4" t="s">
        <v>690</v>
      </c>
    </row>
    <row r="199" spans="1:32" ht="11.25" customHeight="1" x14ac:dyDescent="0.3">
      <c r="A199" s="4" t="s">
        <v>21</v>
      </c>
      <c r="B199" s="4" t="s">
        <v>42</v>
      </c>
      <c r="C199" s="4" t="s">
        <v>23</v>
      </c>
      <c r="D199" s="4" t="s">
        <v>43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44501</v>
      </c>
      <c r="J199" s="6">
        <v>0</v>
      </c>
      <c r="K199" s="6">
        <v>0</v>
      </c>
      <c r="L199" s="6">
        <v>40.924999999999997</v>
      </c>
      <c r="M199" s="6">
        <v>40.924999999999997</v>
      </c>
      <c r="N199" s="6">
        <v>40.924999999999997</v>
      </c>
      <c r="O199" s="6">
        <v>40.924999999999997</v>
      </c>
      <c r="P199" s="6">
        <v>174</v>
      </c>
      <c r="Q199" s="4" t="s">
        <v>26</v>
      </c>
      <c r="R199" s="4">
        <v>0</v>
      </c>
      <c r="S199" s="4">
        <v>0</v>
      </c>
      <c r="T199" s="4">
        <v>75</v>
      </c>
      <c r="U199" s="4">
        <v>53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424.73</v>
      </c>
      <c r="X199" s="6">
        <f>IF(ISERROR(VLOOKUP($U$199,'TAR FIN'!$A$1:$O$85,15,0)),0,VLOOKUP($U$199,'TAR FIN'!$A$1:$O$85,15,0))</f>
        <v>196.3</v>
      </c>
      <c r="Y199" s="6"/>
      <c r="Z199" s="6">
        <f ca="1">('TUSD BE'!$AM$33+'TUSD BF'!$AM$33+'TUSD CVA'!$AM$33)*(1-CUSTOS!$M$38)</f>
        <v>631.69873713628454</v>
      </c>
      <c r="AA199" s="6">
        <f>('TE BE'!$AB$23+'TE BF'!$AB$23+'TE CVA'!$AB$23)*(1-CUSTOS!$M$38)</f>
        <v>72.501278689672034</v>
      </c>
      <c r="AB199" s="6">
        <f t="shared" si="16"/>
        <v>0</v>
      </c>
      <c r="AC199" s="6">
        <f>(L199-M199)*(W199+X199)+($W$146+$X$146-$W$199-$X$199)*(L199)</f>
        <v>3465.9382499999997</v>
      </c>
      <c r="AD199" s="6">
        <f t="shared" si="17"/>
        <v>0</v>
      </c>
      <c r="AE199" s="6">
        <f ca="1">(L199-M199)*(Z199+AA199)+($Z$146+$AA$146-$Z$199-$AA$199)*(L199)</f>
        <v>2169.2010702552789</v>
      </c>
      <c r="AF199" s="4" t="s">
        <v>690</v>
      </c>
    </row>
    <row r="200" spans="1:32" ht="11.25" customHeight="1" x14ac:dyDescent="0.3">
      <c r="A200" s="4" t="s">
        <v>27</v>
      </c>
      <c r="B200" s="4" t="s">
        <v>42</v>
      </c>
      <c r="C200" s="4" t="s">
        <v>23</v>
      </c>
      <c r="D200" s="4" t="s">
        <v>43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44501</v>
      </c>
      <c r="J200" s="6">
        <v>0</v>
      </c>
      <c r="K200" s="6">
        <v>0</v>
      </c>
      <c r="L200" s="6">
        <v>-1.7999999999999999E-2</v>
      </c>
      <c r="M200" s="6">
        <v>-1.7999999999999999E-2</v>
      </c>
      <c r="N200" s="6">
        <v>-1.7999999999999999E-2</v>
      </c>
      <c r="O200" s="6">
        <v>-1.7999999999999999E-2</v>
      </c>
      <c r="P200" s="6">
        <v>0</v>
      </c>
      <c r="Q200" s="4" t="s">
        <v>26</v>
      </c>
      <c r="R200" s="4">
        <v>0</v>
      </c>
      <c r="S200" s="4">
        <v>0</v>
      </c>
      <c r="T200" s="4">
        <v>75</v>
      </c>
      <c r="U200" s="4">
        <v>53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424.73</v>
      </c>
      <c r="X200" s="6">
        <f>IF(ISERROR(VLOOKUP($U$200,'TAR FIN'!$A$1:$O$85,15,0)),0,VLOOKUP($U$200,'TAR FIN'!$A$1:$O$85,15,0))</f>
        <v>196.3</v>
      </c>
      <c r="Y200" s="6"/>
      <c r="Z200" s="6">
        <f ca="1">('TUSD BE'!$AM$33+'TUSD BF'!$AM$33+'TUSD CVA'!$AM$33)*(1-CUSTOS!$M$38)</f>
        <v>631.69873713628454</v>
      </c>
      <c r="AA200" s="6">
        <f>('TE BE'!$AB$23+'TE BF'!$AB$23+'TE CVA'!$AB$23)*(1-CUSTOS!$M$38)</f>
        <v>72.501278689672034</v>
      </c>
      <c r="AB200" s="6">
        <f t="shared" si="16"/>
        <v>0</v>
      </c>
      <c r="AC200" s="6">
        <f>(L200-M200)*(W200+X200)+($W$146+$X$146-$W$200-$X$200)*(L200)</f>
        <v>-1.5244199999999999</v>
      </c>
      <c r="AD200" s="6">
        <f t="shared" si="17"/>
        <v>0</v>
      </c>
      <c r="AE200" s="6">
        <f ca="1">(L200-M200)*(Z200+AA200)+($Z$146+$AA$146-$Z$200-$AA$200)*(L200)</f>
        <v>-0.95407744079645751</v>
      </c>
      <c r="AF200" s="4" t="s">
        <v>690</v>
      </c>
    </row>
    <row r="201" spans="1:32" ht="11.25" customHeight="1" x14ac:dyDescent="0.3">
      <c r="A201" s="4" t="s">
        <v>28</v>
      </c>
      <c r="B201" s="4" t="s">
        <v>42</v>
      </c>
      <c r="C201" s="4" t="s">
        <v>23</v>
      </c>
      <c r="D201" s="4" t="s">
        <v>43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44501</v>
      </c>
      <c r="J201" s="6">
        <v>0</v>
      </c>
      <c r="K201" s="6">
        <v>0</v>
      </c>
      <c r="L201" s="6">
        <v>0.43</v>
      </c>
      <c r="M201" s="6">
        <v>0.43</v>
      </c>
      <c r="N201" s="6">
        <v>0.43</v>
      </c>
      <c r="O201" s="6">
        <v>0.43</v>
      </c>
      <c r="P201" s="6">
        <v>5</v>
      </c>
      <c r="Q201" s="4" t="s">
        <v>26</v>
      </c>
      <c r="R201" s="4">
        <v>0</v>
      </c>
      <c r="S201" s="4">
        <v>0</v>
      </c>
      <c r="T201" s="4">
        <v>75</v>
      </c>
      <c r="U201" s="4">
        <v>53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424.73</v>
      </c>
      <c r="X201" s="6">
        <f>IF(ISERROR(VLOOKUP($U$201,'TAR FIN'!$A$1:$O$85,15,0)),0,VLOOKUP($U$201,'TAR FIN'!$A$1:$O$85,15,0))</f>
        <v>196.3</v>
      </c>
      <c r="Y201" s="6"/>
      <c r="Z201" s="6">
        <f ca="1">('TUSD BE'!$AM$33+'TUSD BF'!$AM$33+'TUSD CVA'!$AM$33)*(1-CUSTOS!$M$38)</f>
        <v>631.69873713628454</v>
      </c>
      <c r="AA201" s="6">
        <f>('TE BE'!$AB$23+'TE BF'!$AB$23+'TE CVA'!$AB$23)*(1-CUSTOS!$M$38)</f>
        <v>72.501278689672034</v>
      </c>
      <c r="AB201" s="6">
        <f t="shared" si="16"/>
        <v>0</v>
      </c>
      <c r="AC201" s="6">
        <f>(L201-M201)*(W201+X201)+($W$146+$X$146-$W$201-$X$201)*(L201)</f>
        <v>36.416699999999999</v>
      </c>
      <c r="AD201" s="6">
        <f t="shared" si="17"/>
        <v>0</v>
      </c>
      <c r="AE201" s="6">
        <f ca="1">(L201-M201)*(Z201+AA201)+($Z$146+$AA$146-$Z$201-$AA$201)*(L201)</f>
        <v>22.791849974582043</v>
      </c>
      <c r="AF201" s="4" t="s">
        <v>690</v>
      </c>
    </row>
    <row r="202" spans="1:32" ht="11.25" customHeight="1" x14ac:dyDescent="0.3">
      <c r="A202" s="4" t="s">
        <v>21</v>
      </c>
      <c r="B202" s="4" t="s">
        <v>42</v>
      </c>
      <c r="C202" s="4" t="s">
        <v>23</v>
      </c>
      <c r="D202" s="4" t="s">
        <v>43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44531</v>
      </c>
      <c r="J202" s="6">
        <v>0</v>
      </c>
      <c r="K202" s="6">
        <v>0</v>
      </c>
      <c r="L202" s="6">
        <v>46.731999999999999</v>
      </c>
      <c r="M202" s="6">
        <v>46.731999999999999</v>
      </c>
      <c r="N202" s="6">
        <v>46.731999999999999</v>
      </c>
      <c r="O202" s="6">
        <v>46.731999999999999</v>
      </c>
      <c r="P202" s="6">
        <v>175</v>
      </c>
      <c r="Q202" s="4" t="s">
        <v>26</v>
      </c>
      <c r="R202" s="4">
        <v>0</v>
      </c>
      <c r="S202" s="4">
        <v>0</v>
      </c>
      <c r="T202" s="4">
        <v>75</v>
      </c>
      <c r="U202" s="4">
        <v>53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424.73</v>
      </c>
      <c r="X202" s="6">
        <f>IF(ISERROR(VLOOKUP($U$202,'TAR FIN'!$A$1:$O$85,15,0)),0,VLOOKUP($U$202,'TAR FIN'!$A$1:$O$85,15,0))</f>
        <v>196.3</v>
      </c>
      <c r="Y202" s="6"/>
      <c r="Z202" s="6">
        <f ca="1">('TUSD BE'!$AM$33+'TUSD BF'!$AM$33+'TUSD CVA'!$AM$33)*(1-CUSTOS!$M$38)</f>
        <v>631.69873713628454</v>
      </c>
      <c r="AA202" s="6">
        <f>('TE BE'!$AB$23+'TE BF'!$AB$23+'TE CVA'!$AB$23)*(1-CUSTOS!$M$38)</f>
        <v>72.501278689672034</v>
      </c>
      <c r="AB202" s="6">
        <f t="shared" si="16"/>
        <v>0</v>
      </c>
      <c r="AC202" s="6">
        <f>(L202-M202)*(W202+X202)+($W$146+$X$146-$W$202-$X$202)*(L202)</f>
        <v>3957.73308</v>
      </c>
      <c r="AD202" s="6">
        <f t="shared" si="17"/>
        <v>0</v>
      </c>
      <c r="AE202" s="6">
        <f ca="1">(L202-M202)*(Z202+AA202)+($Z$146+$AA$146-$Z$202-$AA$202)*(L202)</f>
        <v>2476.9970535166694</v>
      </c>
      <c r="AF202" s="4" t="s">
        <v>690</v>
      </c>
    </row>
    <row r="203" spans="1:32" ht="11.25" customHeight="1" x14ac:dyDescent="0.3">
      <c r="A203" s="4" t="s">
        <v>28</v>
      </c>
      <c r="B203" s="4" t="s">
        <v>42</v>
      </c>
      <c r="C203" s="4" t="s">
        <v>23</v>
      </c>
      <c r="D203" s="4" t="s">
        <v>43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44531</v>
      </c>
      <c r="J203" s="6">
        <v>0</v>
      </c>
      <c r="K203" s="6">
        <v>0</v>
      </c>
      <c r="L203" s="6">
        <v>0.43</v>
      </c>
      <c r="M203" s="6">
        <v>0.43</v>
      </c>
      <c r="N203" s="6">
        <v>0.43</v>
      </c>
      <c r="O203" s="6">
        <v>0.43</v>
      </c>
      <c r="P203" s="6">
        <v>5</v>
      </c>
      <c r="Q203" s="4" t="s">
        <v>26</v>
      </c>
      <c r="R203" s="4">
        <v>0</v>
      </c>
      <c r="S203" s="4">
        <v>0</v>
      </c>
      <c r="T203" s="4">
        <v>75</v>
      </c>
      <c r="U203" s="4">
        <v>53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424.73</v>
      </c>
      <c r="X203" s="6">
        <f>IF(ISERROR(VLOOKUP($U$203,'TAR FIN'!$A$1:$O$85,15,0)),0,VLOOKUP($U$203,'TAR FIN'!$A$1:$O$85,15,0))</f>
        <v>196.3</v>
      </c>
      <c r="Y203" s="6"/>
      <c r="Z203" s="6">
        <f ca="1">('TUSD BE'!$AM$33+'TUSD BF'!$AM$33+'TUSD CVA'!$AM$33)*(1-CUSTOS!$M$38)</f>
        <v>631.69873713628454</v>
      </c>
      <c r="AA203" s="6">
        <f>('TE BE'!$AB$23+'TE BF'!$AB$23+'TE CVA'!$AB$23)*(1-CUSTOS!$M$38)</f>
        <v>72.501278689672034</v>
      </c>
      <c r="AB203" s="6">
        <f t="shared" si="16"/>
        <v>0</v>
      </c>
      <c r="AC203" s="6">
        <f>(L203-M203)*(W203+X203)+($W$146+$X$146-$W$203-$X$203)*(L203)</f>
        <v>36.416699999999999</v>
      </c>
      <c r="AD203" s="6">
        <f t="shared" si="17"/>
        <v>0</v>
      </c>
      <c r="AE203" s="6">
        <f ca="1">(L203-M203)*(Z203+AA203)+($Z$146+$AA$146-$Z$203-$AA$203)*(L203)</f>
        <v>22.791849974582043</v>
      </c>
      <c r="AF203" s="4" t="s">
        <v>690</v>
      </c>
    </row>
    <row r="204" spans="1:32" ht="11.25" customHeight="1" x14ac:dyDescent="0.3">
      <c r="A204" s="4" t="s">
        <v>21</v>
      </c>
      <c r="B204" s="4" t="s">
        <v>42</v>
      </c>
      <c r="C204" s="4" t="s">
        <v>23</v>
      </c>
      <c r="D204" s="4" t="s">
        <v>43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44562</v>
      </c>
      <c r="J204" s="6">
        <v>0</v>
      </c>
      <c r="K204" s="6">
        <v>0</v>
      </c>
      <c r="L204" s="6">
        <v>50.945999999999998</v>
      </c>
      <c r="M204" s="6">
        <v>50.945999999999998</v>
      </c>
      <c r="N204" s="6">
        <v>50.945999999999998</v>
      </c>
      <c r="O204" s="6">
        <v>50.945999999999998</v>
      </c>
      <c r="P204" s="6">
        <v>174</v>
      </c>
      <c r="Q204" s="4" t="s">
        <v>26</v>
      </c>
      <c r="R204" s="4">
        <v>0</v>
      </c>
      <c r="S204" s="4">
        <v>0</v>
      </c>
      <c r="T204" s="4">
        <v>75</v>
      </c>
      <c r="U204" s="4">
        <v>53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424.73</v>
      </c>
      <c r="X204" s="6">
        <f>IF(ISERROR(VLOOKUP($U$204,'TAR FIN'!$A$1:$O$85,15,0)),0,VLOOKUP($U$204,'TAR FIN'!$A$1:$O$85,15,0))</f>
        <v>196.3</v>
      </c>
      <c r="Y204" s="6"/>
      <c r="Z204" s="6">
        <f ca="1">('TUSD BE'!$AM$33+'TUSD BF'!$AM$33+'TUSD CVA'!$AM$33)*(1-CUSTOS!$M$38)</f>
        <v>631.69873713628454</v>
      </c>
      <c r="AA204" s="6">
        <f>('TE BE'!$AB$23+'TE BF'!$AB$23+'TE CVA'!$AB$23)*(1-CUSTOS!$M$38)</f>
        <v>72.501278689672034</v>
      </c>
      <c r="AB204" s="6">
        <f t="shared" si="16"/>
        <v>0</v>
      </c>
      <c r="AC204" s="6">
        <f>(L204-M204)*(W204+X204)+($W$146+$X$146-$W$204-$X$204)*(L204)</f>
        <v>4314.6167399999995</v>
      </c>
      <c r="AD204" s="6">
        <f t="shared" si="17"/>
        <v>0</v>
      </c>
      <c r="AE204" s="6">
        <f ca="1">(L204-M204)*(Z204+AA204)+($Z$146+$AA$146-$Z$204-$AA$204)*(L204)</f>
        <v>2700.3571832675734</v>
      </c>
      <c r="AF204" s="4" t="s">
        <v>690</v>
      </c>
    </row>
    <row r="205" spans="1:32" ht="11.25" customHeight="1" x14ac:dyDescent="0.3">
      <c r="A205" s="4" t="s">
        <v>28</v>
      </c>
      <c r="B205" s="4" t="s">
        <v>42</v>
      </c>
      <c r="C205" s="4" t="s">
        <v>23</v>
      </c>
      <c r="D205" s="4" t="s">
        <v>43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44562</v>
      </c>
      <c r="J205" s="6">
        <v>0</v>
      </c>
      <c r="K205" s="6">
        <v>0</v>
      </c>
      <c r="L205" s="6">
        <v>0.43</v>
      </c>
      <c r="M205" s="6">
        <v>0.43</v>
      </c>
      <c r="N205" s="6">
        <v>0.43</v>
      </c>
      <c r="O205" s="6">
        <v>0.43</v>
      </c>
      <c r="P205" s="6">
        <v>5</v>
      </c>
      <c r="Q205" s="4" t="s">
        <v>26</v>
      </c>
      <c r="R205" s="4">
        <v>0</v>
      </c>
      <c r="S205" s="4">
        <v>0</v>
      </c>
      <c r="T205" s="4">
        <v>75</v>
      </c>
      <c r="U205" s="4">
        <v>53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424.73</v>
      </c>
      <c r="X205" s="6">
        <f>IF(ISERROR(VLOOKUP($U$205,'TAR FIN'!$A$1:$O$85,15,0)),0,VLOOKUP($U$205,'TAR FIN'!$A$1:$O$85,15,0))</f>
        <v>196.3</v>
      </c>
      <c r="Y205" s="6"/>
      <c r="Z205" s="6">
        <f ca="1">('TUSD BE'!$AM$33+'TUSD BF'!$AM$33+'TUSD CVA'!$AM$33)*(1-CUSTOS!$M$38)</f>
        <v>631.69873713628454</v>
      </c>
      <c r="AA205" s="6">
        <f>('TE BE'!$AB$23+'TE BF'!$AB$23+'TE CVA'!$AB$23)*(1-CUSTOS!$M$38)</f>
        <v>72.501278689672034</v>
      </c>
      <c r="AB205" s="6">
        <f t="shared" si="16"/>
        <v>0</v>
      </c>
      <c r="AC205" s="6">
        <f>(L205-M205)*(W205+X205)+($W$146+$X$146-$W$205-$X$205)*(L205)</f>
        <v>36.416699999999999</v>
      </c>
      <c r="AD205" s="6">
        <f t="shared" si="17"/>
        <v>0</v>
      </c>
      <c r="AE205" s="6">
        <f ca="1">(L205-M205)*(Z205+AA205)+($Z$146+$AA$146-$Z$205-$AA$205)*(L205)</f>
        <v>22.791849974582043</v>
      </c>
      <c r="AF205" s="4" t="s">
        <v>690</v>
      </c>
    </row>
    <row r="206" spans="1:32" ht="11.25" customHeight="1" x14ac:dyDescent="0.3">
      <c r="A206" s="4" t="s">
        <v>21</v>
      </c>
      <c r="B206" s="4" t="s">
        <v>42</v>
      </c>
      <c r="C206" s="4" t="s">
        <v>23</v>
      </c>
      <c r="D206" s="4" t="s">
        <v>43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44593</v>
      </c>
      <c r="J206" s="6">
        <v>0</v>
      </c>
      <c r="K206" s="6">
        <v>0</v>
      </c>
      <c r="L206" s="6">
        <v>61.805999999999997</v>
      </c>
      <c r="M206" s="6">
        <v>61.805999999999997</v>
      </c>
      <c r="N206" s="6">
        <v>61.805999999999997</v>
      </c>
      <c r="O206" s="6">
        <v>61.805999999999997</v>
      </c>
      <c r="P206" s="6">
        <v>174</v>
      </c>
      <c r="Q206" s="4" t="s">
        <v>26</v>
      </c>
      <c r="R206" s="4">
        <v>0</v>
      </c>
      <c r="S206" s="4">
        <v>0</v>
      </c>
      <c r="T206" s="4">
        <v>75</v>
      </c>
      <c r="U206" s="4">
        <v>53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424.73</v>
      </c>
      <c r="X206" s="6">
        <f>IF(ISERROR(VLOOKUP($U$206,'TAR FIN'!$A$1:$O$85,15,0)),0,VLOOKUP($U$206,'TAR FIN'!$A$1:$O$85,15,0))</f>
        <v>196.3</v>
      </c>
      <c r="Y206" s="6"/>
      <c r="Z206" s="6">
        <f ca="1">('TUSD BE'!$AM$33+'TUSD BF'!$AM$33+'TUSD CVA'!$AM$33)*(1-CUSTOS!$M$38)</f>
        <v>631.69873713628454</v>
      </c>
      <c r="AA206" s="6">
        <f>('TE BE'!$AB$23+'TE BF'!$AB$23+'TE CVA'!$AB$23)*(1-CUSTOS!$M$38)</f>
        <v>72.501278689672034</v>
      </c>
      <c r="AB206" s="6">
        <f t="shared" si="16"/>
        <v>0</v>
      </c>
      <c r="AC206" s="6">
        <f>(L206-M206)*(W206+X206)+($W$146+$X$146-$W$206-$X$206)*(L206)</f>
        <v>5234.3501399999996</v>
      </c>
      <c r="AD206" s="6">
        <f t="shared" si="17"/>
        <v>0</v>
      </c>
      <c r="AE206" s="6">
        <f ca="1">(L206-M206)*(Z206+AA206)+($Z$146+$AA$146-$Z$206-$AA$206)*(L206)</f>
        <v>3275.9839058814364</v>
      </c>
      <c r="AF206" s="4" t="s">
        <v>690</v>
      </c>
    </row>
    <row r="207" spans="1:32" ht="11.25" customHeight="1" x14ac:dyDescent="0.3">
      <c r="A207" s="4" t="s">
        <v>21</v>
      </c>
      <c r="B207" s="4" t="s">
        <v>42</v>
      </c>
      <c r="C207" s="4" t="s">
        <v>23</v>
      </c>
      <c r="D207" s="4" t="s">
        <v>43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44621</v>
      </c>
      <c r="J207" s="6">
        <v>0</v>
      </c>
      <c r="K207" s="6">
        <v>0</v>
      </c>
      <c r="L207" s="6">
        <v>47.210999999999999</v>
      </c>
      <c r="M207" s="6">
        <v>47.210999999999999</v>
      </c>
      <c r="N207" s="6">
        <v>47.210999999999999</v>
      </c>
      <c r="O207" s="6">
        <v>47.210999999999999</v>
      </c>
      <c r="P207" s="6">
        <v>174</v>
      </c>
      <c r="Q207" s="4" t="s">
        <v>26</v>
      </c>
      <c r="R207" s="4">
        <v>0</v>
      </c>
      <c r="S207" s="4">
        <v>0</v>
      </c>
      <c r="T207" s="4">
        <v>75</v>
      </c>
      <c r="U207" s="4">
        <v>53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424.73</v>
      </c>
      <c r="X207" s="6">
        <f>IF(ISERROR(VLOOKUP($U$207,'TAR FIN'!$A$1:$O$85,15,0)),0,VLOOKUP($U$207,'TAR FIN'!$A$1:$O$85,15,0))</f>
        <v>196.3</v>
      </c>
      <c r="Y207" s="6"/>
      <c r="Z207" s="6">
        <f ca="1">('TUSD BE'!$AM$33+'TUSD BF'!$AM$33+'TUSD CVA'!$AM$33)*(1-CUSTOS!$M$38)</f>
        <v>631.69873713628454</v>
      </c>
      <c r="AA207" s="6">
        <f>('TE BE'!$AB$23+'TE BF'!$AB$23+'TE CVA'!$AB$23)*(1-CUSTOS!$M$38)</f>
        <v>72.501278689672034</v>
      </c>
      <c r="AB207" s="6">
        <f t="shared" si="16"/>
        <v>0</v>
      </c>
      <c r="AC207" s="6">
        <f>(L207-M207)*(W207+X207)+($W$146+$X$146-$W$207-$X$207)*(L207)</f>
        <v>3998.2995899999996</v>
      </c>
      <c r="AD207" s="6">
        <f t="shared" si="17"/>
        <v>0</v>
      </c>
      <c r="AE207" s="6">
        <f ca="1">(L207-M207)*(Z207+AA207)+($Z$146+$AA$146-$Z$207-$AA$207)*(L207)</f>
        <v>2502.3861143023087</v>
      </c>
      <c r="AF207" s="4" t="s">
        <v>690</v>
      </c>
    </row>
    <row r="208" spans="1:32" ht="11.25" customHeight="1" x14ac:dyDescent="0.3">
      <c r="A208" s="4" t="s">
        <v>28</v>
      </c>
      <c r="B208" s="4" t="s">
        <v>42</v>
      </c>
      <c r="C208" s="4" t="s">
        <v>23</v>
      </c>
      <c r="D208" s="4" t="s">
        <v>43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44621</v>
      </c>
      <c r="J208" s="6">
        <v>0</v>
      </c>
      <c r="K208" s="6">
        <v>0</v>
      </c>
      <c r="L208" s="6">
        <v>0.58199999999999996</v>
      </c>
      <c r="M208" s="6">
        <v>0.58199999999999996</v>
      </c>
      <c r="N208" s="6">
        <v>0.58199999999999996</v>
      </c>
      <c r="O208" s="6">
        <v>0.58199999999999996</v>
      </c>
      <c r="P208" s="6">
        <v>7</v>
      </c>
      <c r="Q208" s="4" t="s">
        <v>26</v>
      </c>
      <c r="R208" s="4">
        <v>0</v>
      </c>
      <c r="S208" s="4">
        <v>0</v>
      </c>
      <c r="T208" s="4">
        <v>75</v>
      </c>
      <c r="U208" s="4">
        <v>53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424.73</v>
      </c>
      <c r="X208" s="6">
        <f>IF(ISERROR(VLOOKUP($U$208,'TAR FIN'!$A$1:$O$85,15,0)),0,VLOOKUP($U$208,'TAR FIN'!$A$1:$O$85,15,0))</f>
        <v>196.3</v>
      </c>
      <c r="Y208" s="6"/>
      <c r="Z208" s="6">
        <f ca="1">('TUSD BE'!$AM$33+'TUSD BF'!$AM$33+'TUSD CVA'!$AM$33)*(1-CUSTOS!$M$38)</f>
        <v>631.69873713628454</v>
      </c>
      <c r="AA208" s="6">
        <f>('TE BE'!$AB$23+'TE BF'!$AB$23+'TE CVA'!$AB$23)*(1-CUSTOS!$M$38)</f>
        <v>72.501278689672034</v>
      </c>
      <c r="AB208" s="6">
        <f t="shared" si="16"/>
        <v>0</v>
      </c>
      <c r="AC208" s="6">
        <f>(L208-M208)*(W208+X208)+($W$146+$X$146-$W$208-$X$208)*(L208)</f>
        <v>49.289579999999994</v>
      </c>
      <c r="AD208" s="6">
        <f t="shared" si="17"/>
        <v>0</v>
      </c>
      <c r="AE208" s="6">
        <f ca="1">(L208-M208)*(Z208+AA208)+($Z$146+$AA$146-$Z$208-$AA$208)*(L208)</f>
        <v>30.848503919085459</v>
      </c>
      <c r="AF208" s="4" t="s">
        <v>690</v>
      </c>
    </row>
    <row r="209" spans="1:32" ht="11.25" customHeight="1" x14ac:dyDescent="0.3">
      <c r="A209" s="4" t="s">
        <v>21</v>
      </c>
      <c r="B209" s="4" t="s">
        <v>42</v>
      </c>
      <c r="C209" s="4" t="s">
        <v>23</v>
      </c>
      <c r="D209" s="4" t="s">
        <v>43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44652</v>
      </c>
      <c r="J209" s="6">
        <v>0</v>
      </c>
      <c r="K209" s="6">
        <v>0</v>
      </c>
      <c r="L209" s="6">
        <v>39.631999999999998</v>
      </c>
      <c r="M209" s="6">
        <v>39.631999999999998</v>
      </c>
      <c r="N209" s="6">
        <v>39.631999999999998</v>
      </c>
      <c r="O209" s="6">
        <v>39.631999999999998</v>
      </c>
      <c r="P209" s="6">
        <v>173</v>
      </c>
      <c r="Q209" s="4" t="s">
        <v>26</v>
      </c>
      <c r="R209" s="4">
        <v>0</v>
      </c>
      <c r="S209" s="4">
        <v>0</v>
      </c>
      <c r="T209" s="4">
        <v>75</v>
      </c>
      <c r="U209" s="4">
        <v>53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424.73</v>
      </c>
      <c r="X209" s="6">
        <f>IF(ISERROR(VLOOKUP($U$209,'TAR FIN'!$A$1:$O$85,15,0)),0,VLOOKUP($U$209,'TAR FIN'!$A$1:$O$85,15,0))</f>
        <v>196.3</v>
      </c>
      <c r="Y209" s="6"/>
      <c r="Z209" s="6">
        <f ca="1">('TUSD BE'!$AM$33+'TUSD BF'!$AM$33+'TUSD CVA'!$AM$33)*(1-CUSTOS!$M$38)</f>
        <v>631.69873713628454</v>
      </c>
      <c r="AA209" s="6">
        <f>('TE BE'!$AB$23+'TE BF'!$AB$23+'TE CVA'!$AB$23)*(1-CUSTOS!$M$38)</f>
        <v>72.501278689672034</v>
      </c>
      <c r="AB209" s="6">
        <f t="shared" si="16"/>
        <v>0</v>
      </c>
      <c r="AC209" s="6">
        <f>(L209-M209)*(W209+X209)+($W$146+$X$146-$W$209-$X$209)*(L209)</f>
        <v>3356.4340799999995</v>
      </c>
      <c r="AD209" s="6">
        <f t="shared" si="17"/>
        <v>0</v>
      </c>
      <c r="AE209" s="6">
        <f ca="1">(L209-M209)*(Z209+AA209)+($Z$146+$AA$146-$Z$209-$AA$209)*(L209)</f>
        <v>2100.6665074247335</v>
      </c>
      <c r="AF209" s="4" t="s">
        <v>690</v>
      </c>
    </row>
    <row r="210" spans="1:32" ht="11.25" customHeight="1" x14ac:dyDescent="0.3">
      <c r="A210" s="4" t="s">
        <v>28</v>
      </c>
      <c r="B210" s="4" t="s">
        <v>42</v>
      </c>
      <c r="C210" s="4" t="s">
        <v>23</v>
      </c>
      <c r="D210" s="4" t="s">
        <v>43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44652</v>
      </c>
      <c r="J210" s="6">
        <v>0</v>
      </c>
      <c r="K210" s="6">
        <v>0</v>
      </c>
      <c r="L210" s="6">
        <v>0.92800000000000005</v>
      </c>
      <c r="M210" s="6">
        <v>0.92800000000000005</v>
      </c>
      <c r="N210" s="6">
        <v>0.92800000000000005</v>
      </c>
      <c r="O210" s="6">
        <v>0.92800000000000005</v>
      </c>
      <c r="P210" s="6">
        <v>8</v>
      </c>
      <c r="Q210" s="4" t="s">
        <v>26</v>
      </c>
      <c r="R210" s="4">
        <v>0</v>
      </c>
      <c r="S210" s="4">
        <v>0</v>
      </c>
      <c r="T210" s="4">
        <v>75</v>
      </c>
      <c r="U210" s="4">
        <v>53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424.73</v>
      </c>
      <c r="X210" s="6">
        <f>IF(ISERROR(VLOOKUP($U$210,'TAR FIN'!$A$1:$O$85,15,0)),0,VLOOKUP($U$210,'TAR FIN'!$A$1:$O$85,15,0))</f>
        <v>196.3</v>
      </c>
      <c r="Y210" s="6"/>
      <c r="Z210" s="6">
        <f ca="1">('TUSD BE'!$AM$33+'TUSD BF'!$AM$33+'TUSD CVA'!$AM$33)*(1-CUSTOS!$M$38)</f>
        <v>631.69873713628454</v>
      </c>
      <c r="AA210" s="6">
        <f>('TE BE'!$AB$23+'TE BF'!$AB$23+'TE CVA'!$AB$23)*(1-CUSTOS!$M$38)</f>
        <v>72.501278689672034</v>
      </c>
      <c r="AB210" s="6">
        <f t="shared" si="16"/>
        <v>0</v>
      </c>
      <c r="AC210" s="6">
        <f>(L210-M210)*(W210+X210)+($W$146+$X$146-$W$210-$X$210)*(L210)</f>
        <v>78.592320000000001</v>
      </c>
      <c r="AD210" s="6">
        <f t="shared" si="17"/>
        <v>0</v>
      </c>
      <c r="AE210" s="6">
        <f ca="1">(L210-M210)*(Z210+AA210)+($Z$146+$AA$146-$Z$210-$AA$210)*(L210)</f>
        <v>49.187992503284036</v>
      </c>
      <c r="AF210" s="4" t="s">
        <v>690</v>
      </c>
    </row>
    <row r="211" spans="1:32" ht="11.25" customHeight="1" x14ac:dyDescent="0.3">
      <c r="A211" s="4" t="s">
        <v>21</v>
      </c>
      <c r="B211" s="4" t="s">
        <v>42</v>
      </c>
      <c r="C211" s="4" t="s">
        <v>23</v>
      </c>
      <c r="D211" s="4" t="s">
        <v>43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44682</v>
      </c>
      <c r="J211" s="6">
        <v>0</v>
      </c>
      <c r="K211" s="6">
        <v>0</v>
      </c>
      <c r="L211" s="6">
        <v>35.756</v>
      </c>
      <c r="M211" s="6">
        <v>35.756</v>
      </c>
      <c r="N211" s="6">
        <v>35.756</v>
      </c>
      <c r="O211" s="6">
        <v>35.756</v>
      </c>
      <c r="P211" s="6">
        <v>170</v>
      </c>
      <c r="Q211" s="4" t="s">
        <v>26</v>
      </c>
      <c r="R211" s="4">
        <v>0</v>
      </c>
      <c r="S211" s="4">
        <v>0</v>
      </c>
      <c r="T211" s="4">
        <v>75</v>
      </c>
      <c r="U211" s="4">
        <v>53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424.73</v>
      </c>
      <c r="X211" s="6">
        <f>IF(ISERROR(VLOOKUP($U$211,'TAR FIN'!$A$1:$O$85,15,0)),0,VLOOKUP($U$211,'TAR FIN'!$A$1:$O$85,15,0))</f>
        <v>196.3</v>
      </c>
      <c r="Y211" s="6"/>
      <c r="Z211" s="6">
        <f ca="1">('TUSD BE'!$AM$33+'TUSD BF'!$AM$33+'TUSD CVA'!$AM$33)*(1-CUSTOS!$M$38)</f>
        <v>631.69873713628454</v>
      </c>
      <c r="AA211" s="6">
        <f>('TE BE'!$AB$23+'TE BF'!$AB$23+'TE CVA'!$AB$23)*(1-CUSTOS!$M$38)</f>
        <v>72.501278689672034</v>
      </c>
      <c r="AB211" s="6">
        <f t="shared" si="16"/>
        <v>0</v>
      </c>
      <c r="AC211" s="6">
        <f>(L211-M211)*(W211+X211)+($W$146+$X$146-$W$211-$X$211)*(L211)</f>
        <v>3028.1756399999999</v>
      </c>
      <c r="AD211" s="6">
        <f t="shared" si="17"/>
        <v>0</v>
      </c>
      <c r="AE211" s="6">
        <f ca="1">(L211-M211)*(Z211+AA211)+($Z$146+$AA$146-$Z$211-$AA$211)*(L211)</f>
        <v>1895.2218318398964</v>
      </c>
      <c r="AF211" s="4" t="s">
        <v>690</v>
      </c>
    </row>
    <row r="212" spans="1:32" ht="11.25" customHeight="1" x14ac:dyDescent="0.3">
      <c r="A212" s="4" t="s">
        <v>28</v>
      </c>
      <c r="B212" s="4" t="s">
        <v>42</v>
      </c>
      <c r="C212" s="4" t="s">
        <v>23</v>
      </c>
      <c r="D212" s="4" t="s">
        <v>43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44682</v>
      </c>
      <c r="J212" s="6">
        <v>0</v>
      </c>
      <c r="K212" s="6">
        <v>0</v>
      </c>
      <c r="L212" s="6">
        <v>0.876</v>
      </c>
      <c r="M212" s="6">
        <v>0.876</v>
      </c>
      <c r="N212" s="6">
        <v>0.876</v>
      </c>
      <c r="O212" s="6">
        <v>0.876</v>
      </c>
      <c r="P212" s="6">
        <v>8</v>
      </c>
      <c r="Q212" s="4" t="s">
        <v>26</v>
      </c>
      <c r="R212" s="4">
        <v>0</v>
      </c>
      <c r="S212" s="4">
        <v>0</v>
      </c>
      <c r="T212" s="4">
        <v>75</v>
      </c>
      <c r="U212" s="4">
        <v>53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424.73</v>
      </c>
      <c r="X212" s="6">
        <f>IF(ISERROR(VLOOKUP($U$212,'TAR FIN'!$A$1:$O$85,15,0)),0,VLOOKUP($U$212,'TAR FIN'!$A$1:$O$85,15,0))</f>
        <v>196.3</v>
      </c>
      <c r="Y212" s="6"/>
      <c r="Z212" s="6">
        <f ca="1">('TUSD BE'!$AM$33+'TUSD BF'!$AM$33+'TUSD CVA'!$AM$33)*(1-CUSTOS!$M$38)</f>
        <v>631.69873713628454</v>
      </c>
      <c r="AA212" s="6">
        <f>('TE BE'!$AB$23+'TE BF'!$AB$23+'TE CVA'!$AB$23)*(1-CUSTOS!$M$38)</f>
        <v>72.501278689672034</v>
      </c>
      <c r="AB212" s="6">
        <f t="shared" si="16"/>
        <v>0</v>
      </c>
      <c r="AC212" s="6">
        <f>(L212-M212)*(W212+X212)+($W$146+$X$146-$W$212-$X$212)*(L212)</f>
        <v>74.18844</v>
      </c>
      <c r="AD212" s="6">
        <f t="shared" si="17"/>
        <v>0</v>
      </c>
      <c r="AE212" s="6">
        <f ca="1">(L212-M212)*(Z212+AA212)+($Z$146+$AA$146-$Z$212-$AA$212)*(L212)</f>
        <v>46.4317687854276</v>
      </c>
      <c r="AF212" s="4" t="s">
        <v>690</v>
      </c>
    </row>
    <row r="213" spans="1:32" ht="11.25" customHeight="1" x14ac:dyDescent="0.3">
      <c r="A213" s="4" t="s">
        <v>21</v>
      </c>
      <c r="B213" s="4" t="s">
        <v>42</v>
      </c>
      <c r="C213" s="4" t="s">
        <v>23</v>
      </c>
      <c r="D213" s="4" t="s">
        <v>43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44713</v>
      </c>
      <c r="J213" s="6">
        <v>0</v>
      </c>
      <c r="K213" s="6">
        <v>0</v>
      </c>
      <c r="L213" s="6">
        <v>36.369999999999997</v>
      </c>
      <c r="M213" s="6">
        <v>36.369999999999997</v>
      </c>
      <c r="N213" s="6">
        <v>36.369999999999997</v>
      </c>
      <c r="O213" s="6">
        <v>36.369999999999997</v>
      </c>
      <c r="P213" s="6">
        <v>170</v>
      </c>
      <c r="Q213" s="4" t="s">
        <v>26</v>
      </c>
      <c r="R213" s="4">
        <v>0</v>
      </c>
      <c r="S213" s="4">
        <v>0</v>
      </c>
      <c r="T213" s="4">
        <v>75</v>
      </c>
      <c r="U213" s="4">
        <v>53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424.73</v>
      </c>
      <c r="X213" s="6">
        <f>IF(ISERROR(VLOOKUP($U$213,'TAR FIN'!$A$1:$O$85,15,0)),0,VLOOKUP($U$213,'TAR FIN'!$A$1:$O$85,15,0))</f>
        <v>196.3</v>
      </c>
      <c r="Y213" s="6"/>
      <c r="Z213" s="6">
        <f ca="1">('TUSD BE'!$AM$33+'TUSD BF'!$AM$33+'TUSD CVA'!$AM$33)*(1-CUSTOS!$M$38)</f>
        <v>631.69873713628454</v>
      </c>
      <c r="AA213" s="6">
        <f>('TE BE'!$AB$23+'TE BF'!$AB$23+'TE CVA'!$AB$23)*(1-CUSTOS!$M$38)</f>
        <v>72.501278689672034</v>
      </c>
      <c r="AB213" s="6">
        <f t="shared" si="16"/>
        <v>0</v>
      </c>
      <c r="AC213" s="6">
        <f>(L213-M213)*(W213+X213)+($W$146+$X$146-$W$213-$X$213)*(L213)</f>
        <v>3080.1752999999999</v>
      </c>
      <c r="AD213" s="6">
        <f t="shared" si="17"/>
        <v>0</v>
      </c>
      <c r="AE213" s="6">
        <f ca="1">(L213-M213)*(Z213+AA213)+($Z$146+$AA$146-$Z$213-$AA$213)*(L213)</f>
        <v>1927.7664734315088</v>
      </c>
      <c r="AF213" s="4" t="s">
        <v>690</v>
      </c>
    </row>
    <row r="214" spans="1:32" ht="11.25" customHeight="1" x14ac:dyDescent="0.3">
      <c r="A214" s="4" t="s">
        <v>28</v>
      </c>
      <c r="B214" s="4" t="s">
        <v>42</v>
      </c>
      <c r="C214" s="4" t="s">
        <v>23</v>
      </c>
      <c r="D214" s="4" t="s">
        <v>43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44713</v>
      </c>
      <c r="J214" s="6">
        <v>0</v>
      </c>
      <c r="K214" s="6">
        <v>0</v>
      </c>
      <c r="L214" s="6">
        <v>3.0179999999999998</v>
      </c>
      <c r="M214" s="6">
        <v>3.0179999999999998</v>
      </c>
      <c r="N214" s="6">
        <v>3.0179999999999998</v>
      </c>
      <c r="O214" s="6">
        <v>3.0179999999999998</v>
      </c>
      <c r="P214" s="6">
        <v>8</v>
      </c>
      <c r="Q214" s="4" t="s">
        <v>26</v>
      </c>
      <c r="R214" s="4">
        <v>0</v>
      </c>
      <c r="S214" s="4">
        <v>0</v>
      </c>
      <c r="T214" s="4">
        <v>75</v>
      </c>
      <c r="U214" s="4">
        <v>53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424.73</v>
      </c>
      <c r="X214" s="6">
        <f>IF(ISERROR(VLOOKUP($U$214,'TAR FIN'!$A$1:$O$85,15,0)),0,VLOOKUP($U$214,'TAR FIN'!$A$1:$O$85,15,0))</f>
        <v>196.3</v>
      </c>
      <c r="Y214" s="6"/>
      <c r="Z214" s="6">
        <f ca="1">('TUSD BE'!$AM$33+'TUSD BF'!$AM$33+'TUSD CVA'!$AM$33)*(1-CUSTOS!$M$38)</f>
        <v>631.69873713628454</v>
      </c>
      <c r="AA214" s="6">
        <f>('TE BE'!$AB$23+'TE BF'!$AB$23+'TE CVA'!$AB$23)*(1-CUSTOS!$M$38)</f>
        <v>72.501278689672034</v>
      </c>
      <c r="AB214" s="6">
        <f t="shared" si="16"/>
        <v>0</v>
      </c>
      <c r="AC214" s="6">
        <f>(L214-M214)*(W214+X214)+($W$146+$X$146-$W$214-$X$214)*(L214)</f>
        <v>255.59441999999999</v>
      </c>
      <c r="AD214" s="6">
        <f t="shared" si="17"/>
        <v>0</v>
      </c>
      <c r="AE214" s="6">
        <f ca="1">(L214-M214)*(Z214+AA214)+($Z$146+$AA$146-$Z$214-$AA$214)*(L214)</f>
        <v>159.96698424020605</v>
      </c>
      <c r="AF214" s="4" t="s">
        <v>690</v>
      </c>
    </row>
    <row r="215" spans="1:32" ht="11.25" customHeight="1" x14ac:dyDescent="0.3">
      <c r="A215" s="4" t="s">
        <v>21</v>
      </c>
      <c r="B215" s="4" t="s">
        <v>42</v>
      </c>
      <c r="C215" s="4" t="s">
        <v>23</v>
      </c>
      <c r="D215" s="4" t="s">
        <v>43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44743</v>
      </c>
      <c r="J215" s="6">
        <v>0</v>
      </c>
      <c r="K215" s="6">
        <v>0</v>
      </c>
      <c r="L215" s="6">
        <v>30.863</v>
      </c>
      <c r="M215" s="6">
        <v>30.863</v>
      </c>
      <c r="N215" s="6">
        <v>30.863</v>
      </c>
      <c r="O215" s="6">
        <v>30.863</v>
      </c>
      <c r="P215" s="6">
        <v>167</v>
      </c>
      <c r="Q215" s="4" t="s">
        <v>26</v>
      </c>
      <c r="R215" s="4">
        <v>0</v>
      </c>
      <c r="S215" s="4">
        <v>0</v>
      </c>
      <c r="T215" s="4">
        <v>75</v>
      </c>
      <c r="U215" s="4">
        <v>53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424.73</v>
      </c>
      <c r="X215" s="6">
        <f>IF(ISERROR(VLOOKUP($U$215,'TAR FIN'!$A$1:$O$85,15,0)),0,VLOOKUP($U$215,'TAR FIN'!$A$1:$O$85,15,0))</f>
        <v>196.3</v>
      </c>
      <c r="Y215" s="6"/>
      <c r="Z215" s="6">
        <f ca="1">('TUSD BE'!$AM$33+'TUSD BF'!$AM$33+'TUSD CVA'!$AM$33)*(1-CUSTOS!$M$38)</f>
        <v>631.69873713628454</v>
      </c>
      <c r="AA215" s="6">
        <f>('TE BE'!$AB$23+'TE BF'!$AB$23+'TE CVA'!$AB$23)*(1-CUSTOS!$M$38)</f>
        <v>72.501278689672034</v>
      </c>
      <c r="AB215" s="6">
        <f t="shared" si="16"/>
        <v>0</v>
      </c>
      <c r="AC215" s="6">
        <f>(L215-M215)*(W215+X215)+($W$146+$X$146-$W$215-$X$215)*(L215)</f>
        <v>2613.7874699999998</v>
      </c>
      <c r="AD215" s="6">
        <f t="shared" si="17"/>
        <v>0</v>
      </c>
      <c r="AE215" s="6">
        <f ca="1">(L215-M215)*(Z215+AA215)+($Z$146+$AA$146-$Z$215-$AA$215)*(L215)</f>
        <v>1635.8717808500594</v>
      </c>
      <c r="AF215" s="4" t="s">
        <v>690</v>
      </c>
    </row>
    <row r="216" spans="1:32" ht="11.25" customHeight="1" x14ac:dyDescent="0.3">
      <c r="A216" s="4" t="s">
        <v>28</v>
      </c>
      <c r="B216" s="4" t="s">
        <v>42</v>
      </c>
      <c r="C216" s="4" t="s">
        <v>23</v>
      </c>
      <c r="D216" s="4" t="s">
        <v>43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44743</v>
      </c>
      <c r="J216" s="6">
        <v>0</v>
      </c>
      <c r="K216" s="6">
        <v>0</v>
      </c>
      <c r="L216" s="6">
        <v>0.85699999999999998</v>
      </c>
      <c r="M216" s="6">
        <v>0.85699999999999998</v>
      </c>
      <c r="N216" s="6">
        <v>0.85699999999999998</v>
      </c>
      <c r="O216" s="6">
        <v>0.85699999999999998</v>
      </c>
      <c r="P216" s="6">
        <v>8</v>
      </c>
      <c r="Q216" s="4" t="s">
        <v>26</v>
      </c>
      <c r="R216" s="4">
        <v>0</v>
      </c>
      <c r="S216" s="4">
        <v>0</v>
      </c>
      <c r="T216" s="4">
        <v>75</v>
      </c>
      <c r="U216" s="4">
        <v>53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424.73</v>
      </c>
      <c r="X216" s="6">
        <f>IF(ISERROR(VLOOKUP($U$216,'TAR FIN'!$A$1:$O$85,15,0)),0,VLOOKUP($U$216,'TAR FIN'!$A$1:$O$85,15,0))</f>
        <v>196.3</v>
      </c>
      <c r="Y216" s="6"/>
      <c r="Z216" s="6">
        <f ca="1">('TUSD BE'!$AM$33+'TUSD BF'!$AM$33+'TUSD CVA'!$AM$33)*(1-CUSTOS!$M$38)</f>
        <v>631.69873713628454</v>
      </c>
      <c r="AA216" s="6">
        <f>('TE BE'!$AB$23+'TE BF'!$AB$23+'TE CVA'!$AB$23)*(1-CUSTOS!$M$38)</f>
        <v>72.501278689672034</v>
      </c>
      <c r="AB216" s="6">
        <f t="shared" si="16"/>
        <v>0</v>
      </c>
      <c r="AC216" s="6">
        <f>(L216-M216)*(W216+X216)+($W$146+$X$146-$W$216-$X$216)*(L216)</f>
        <v>72.579329999999999</v>
      </c>
      <c r="AD216" s="6">
        <f t="shared" si="17"/>
        <v>0</v>
      </c>
      <c r="AE216" s="6">
        <f ca="1">(L216-M216)*(Z216+AA216)+($Z$146+$AA$146-$Z$216-$AA$216)*(L216)</f>
        <v>45.424687042364674</v>
      </c>
      <c r="AF216" s="4" t="s">
        <v>690</v>
      </c>
    </row>
    <row r="217" spans="1:32" ht="11.25" customHeight="1" x14ac:dyDescent="0.3">
      <c r="A217" s="4" t="s">
        <v>21</v>
      </c>
      <c r="B217" s="4" t="s">
        <v>42</v>
      </c>
      <c r="C217" s="4" t="s">
        <v>23</v>
      </c>
      <c r="D217" s="4" t="s">
        <v>43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44774</v>
      </c>
      <c r="J217" s="6">
        <v>0</v>
      </c>
      <c r="K217" s="6">
        <v>0</v>
      </c>
      <c r="L217" s="6">
        <v>35.078000000000003</v>
      </c>
      <c r="M217" s="6">
        <v>35.078000000000003</v>
      </c>
      <c r="N217" s="6">
        <v>35.078000000000003</v>
      </c>
      <c r="O217" s="6">
        <v>35.078000000000003</v>
      </c>
      <c r="P217" s="6">
        <v>169</v>
      </c>
      <c r="Q217" s="4" t="s">
        <v>26</v>
      </c>
      <c r="R217" s="4">
        <v>0</v>
      </c>
      <c r="S217" s="4">
        <v>0</v>
      </c>
      <c r="T217" s="4">
        <v>75</v>
      </c>
      <c r="U217" s="4">
        <v>53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424.73</v>
      </c>
      <c r="X217" s="6">
        <f>IF(ISERROR(VLOOKUP($U$217,'TAR FIN'!$A$1:$O$85,15,0)),0,VLOOKUP($U$217,'TAR FIN'!$A$1:$O$85,15,0))</f>
        <v>196.3</v>
      </c>
      <c r="Y217" s="6"/>
      <c r="Z217" s="6">
        <f ca="1">('TUSD BE'!$AM$33+'TUSD BF'!$AM$33+'TUSD CVA'!$AM$33)*(1-CUSTOS!$M$38)</f>
        <v>631.69873713628454</v>
      </c>
      <c r="AA217" s="6">
        <f>('TE BE'!$AB$23+'TE BF'!$AB$23+'TE CVA'!$AB$23)*(1-CUSTOS!$M$38)</f>
        <v>72.501278689672034</v>
      </c>
      <c r="AB217" s="6">
        <f t="shared" si="16"/>
        <v>0</v>
      </c>
      <c r="AC217" s="6">
        <f>(L217-M217)*(W217+X217)+($W$146+$X$146-$W$217-$X$217)*(L217)</f>
        <v>2970.7558200000003</v>
      </c>
      <c r="AD217" s="6">
        <f t="shared" si="17"/>
        <v>0</v>
      </c>
      <c r="AE217" s="6">
        <f ca="1">(L217-M217)*(Z217+AA217)+($Z$146+$AA$146-$Z$217-$AA$217)*(L217)</f>
        <v>1859.2849149032299</v>
      </c>
      <c r="AF217" s="4" t="s">
        <v>690</v>
      </c>
    </row>
    <row r="218" spans="1:32" ht="11.25" customHeight="1" x14ac:dyDescent="0.3">
      <c r="A218" s="4" t="s">
        <v>28</v>
      </c>
      <c r="B218" s="4" t="s">
        <v>42</v>
      </c>
      <c r="C218" s="4" t="s">
        <v>23</v>
      </c>
      <c r="D218" s="4" t="s">
        <v>43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44774</v>
      </c>
      <c r="J218" s="6">
        <v>0</v>
      </c>
      <c r="K218" s="6">
        <v>0</v>
      </c>
      <c r="L218" s="6">
        <v>0.57299999999999995</v>
      </c>
      <c r="M218" s="6">
        <v>0.57299999999999995</v>
      </c>
      <c r="N218" s="6">
        <v>0.57299999999999995</v>
      </c>
      <c r="O218" s="6">
        <v>0.57299999999999995</v>
      </c>
      <c r="P218" s="6">
        <v>8</v>
      </c>
      <c r="Q218" s="4" t="s">
        <v>26</v>
      </c>
      <c r="R218" s="4">
        <v>0</v>
      </c>
      <c r="S218" s="4">
        <v>0</v>
      </c>
      <c r="T218" s="4">
        <v>75</v>
      </c>
      <c r="U218" s="4">
        <v>53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424.73</v>
      </c>
      <c r="X218" s="6">
        <f>IF(ISERROR(VLOOKUP($U$218,'TAR FIN'!$A$1:$O$85,15,0)),0,VLOOKUP($U$218,'TAR FIN'!$A$1:$O$85,15,0))</f>
        <v>196.3</v>
      </c>
      <c r="Y218" s="6"/>
      <c r="Z218" s="6">
        <f ca="1">('TUSD BE'!$AM$33+'TUSD BF'!$AM$33+'TUSD CVA'!$AM$33)*(1-CUSTOS!$M$38)</f>
        <v>631.69873713628454</v>
      </c>
      <c r="AA218" s="6">
        <f>('TE BE'!$AB$23+'TE BF'!$AB$23+'TE CVA'!$AB$23)*(1-CUSTOS!$M$38)</f>
        <v>72.501278689672034</v>
      </c>
      <c r="AB218" s="6">
        <f t="shared" si="16"/>
        <v>0</v>
      </c>
      <c r="AC218" s="6">
        <f>(L218-M218)*(W218+X218)+($W$146+$X$146-$W$218-$X$218)*(L218)</f>
        <v>48.527369999999998</v>
      </c>
      <c r="AD218" s="6">
        <f t="shared" si="17"/>
        <v>0</v>
      </c>
      <c r="AE218" s="6">
        <f ca="1">(L218-M218)*(Z218+AA218)+($Z$146+$AA$146-$Z$218-$AA$218)*(L218)</f>
        <v>30.371465198687229</v>
      </c>
      <c r="AF218" s="4" t="s">
        <v>690</v>
      </c>
    </row>
    <row r="219" spans="1:32" ht="11.25" customHeight="1" x14ac:dyDescent="0.3">
      <c r="A219" s="4" t="s">
        <v>21</v>
      </c>
      <c r="B219" s="4" t="s">
        <v>37</v>
      </c>
      <c r="C219" s="4" t="s">
        <v>23</v>
      </c>
      <c r="D219" s="4" t="s">
        <v>48</v>
      </c>
      <c r="E219" s="4" t="s">
        <v>49</v>
      </c>
      <c r="F219" s="4" t="s">
        <v>25</v>
      </c>
      <c r="G219" s="4" t="s">
        <v>25</v>
      </c>
      <c r="H219" s="4" t="s">
        <v>25</v>
      </c>
      <c r="I219" s="5">
        <v>44440</v>
      </c>
      <c r="J219" s="6">
        <v>0</v>
      </c>
      <c r="K219" s="52">
        <v>0</v>
      </c>
      <c r="L219" s="6">
        <v>23.096</v>
      </c>
      <c r="M219" s="52">
        <v>23.096</v>
      </c>
      <c r="N219" s="6">
        <v>23.096</v>
      </c>
      <c r="O219" s="52">
        <v>23.096</v>
      </c>
      <c r="P219" s="6">
        <v>8</v>
      </c>
      <c r="Q219" s="4" t="s">
        <v>26</v>
      </c>
      <c r="R219" s="4">
        <v>0</v>
      </c>
      <c r="S219" s="4">
        <v>0</v>
      </c>
      <c r="T219" s="4">
        <v>36</v>
      </c>
      <c r="U219" s="4">
        <v>81</v>
      </c>
      <c r="V219" s="52">
        <f>IF(ISERROR(VLOOKUP($S$219,'TAR FIN'!$A$1:$O$85,15,0)),0,VLOOKUP($S$219,'TAR FIN'!$A$1:$O$85,15,0))</f>
        <v>0</v>
      </c>
      <c r="W219" s="52">
        <f>IF(ISERROR(VLOOKUP($T$219,'TAR FIN'!$A$1:$O$85,15,0)),0,VLOOKUP($T$219,'TAR FIN'!$A$1:$O$85,15,0))*(1-0.06)</f>
        <v>453.69099999999997</v>
      </c>
      <c r="X219" s="52">
        <f>IF(ISERROR(VLOOKUP($U$219,'TAR FIN'!$A$1:$O$85,15,0)),0,VLOOKUP($U$219,'TAR FIN'!$A$1:$O$85,15,0))*(1-0.06)</f>
        <v>209.68579999999997</v>
      </c>
      <c r="Y219" s="52"/>
      <c r="Z219" s="52">
        <f ca="1">('TUSD BE'!$AM$48+'TUSD BF'!$AM$48+'TUSD CVA'!$AM$48)*1*(1-0.03)</f>
        <v>658.86857529268389</v>
      </c>
      <c r="AA219" s="52">
        <f>('TE BE'!$AB$38+'TE BF'!$AB$38+'TE CVA'!$AB$38)*1*(1-0.03)</f>
        <v>75.619613256969757</v>
      </c>
      <c r="AB219" s="52">
        <f>(SUBSIDIO!$J$219*SUBSIDIO!$V$219)*(0.06)/(1-0.06)</f>
        <v>0</v>
      </c>
      <c r="AC219" s="52">
        <f>((SUBSIDIO!$L$219*SUBSIDIO!$W$219)+(SUBSIDIO!$N$219*SUBSIDIO!$X$219))*(0.06)/(1-0.06)</f>
        <v>977.95854719999988</v>
      </c>
      <c r="AD219" s="52">
        <f>(SUBSIDIO!$J$219*SUBSIDIO!$Y$219)*(0.03)/(1-0.03)</f>
        <v>0</v>
      </c>
      <c r="AE219" s="52">
        <f ca="1">((SUBSIDIO!$L$219*SUBSIDIO!$Z$219)+(SUBSIDIO!$N$219*SUBSIDIO!$AA$219))*(0.03)/(1-0.03)</f>
        <v>524.65172791988039</v>
      </c>
      <c r="AF219" s="4" t="s">
        <v>691</v>
      </c>
    </row>
    <row r="220" spans="1:32" ht="11.25" customHeight="1" x14ac:dyDescent="0.3">
      <c r="A220" s="4" t="s">
        <v>21</v>
      </c>
      <c r="B220" s="4" t="s">
        <v>37</v>
      </c>
      <c r="C220" s="4" t="s">
        <v>23</v>
      </c>
      <c r="D220" s="4" t="s">
        <v>48</v>
      </c>
      <c r="E220" s="4" t="s">
        <v>49</v>
      </c>
      <c r="F220" s="4" t="s">
        <v>25</v>
      </c>
      <c r="G220" s="4" t="s">
        <v>25</v>
      </c>
      <c r="H220" s="4" t="s">
        <v>25</v>
      </c>
      <c r="I220" s="5">
        <v>44470</v>
      </c>
      <c r="J220" s="6">
        <v>0</v>
      </c>
      <c r="K220" s="52">
        <v>0</v>
      </c>
      <c r="L220" s="6">
        <v>20.457999999999998</v>
      </c>
      <c r="M220" s="52">
        <v>20.457999999999998</v>
      </c>
      <c r="N220" s="6">
        <v>20.457999999999998</v>
      </c>
      <c r="O220" s="52">
        <v>20.457999999999998</v>
      </c>
      <c r="P220" s="6">
        <v>8</v>
      </c>
      <c r="Q220" s="4" t="s">
        <v>26</v>
      </c>
      <c r="R220" s="4">
        <v>0</v>
      </c>
      <c r="S220" s="4">
        <v>0</v>
      </c>
      <c r="T220" s="4">
        <v>36</v>
      </c>
      <c r="U220" s="4">
        <v>81</v>
      </c>
      <c r="V220" s="52">
        <f>IF(ISERROR(VLOOKUP($S$220,'TAR FIN'!$A$1:$O$85,15,0)),0,VLOOKUP($S$220,'TAR FIN'!$A$1:$O$85,15,0))</f>
        <v>0</v>
      </c>
      <c r="W220" s="52">
        <f>IF(ISERROR(VLOOKUP($T$220,'TAR FIN'!$A$1:$O$85,15,0)),0,VLOOKUP($T$220,'TAR FIN'!$A$1:$O$85,15,0))*(1-0.06)</f>
        <v>453.69099999999997</v>
      </c>
      <c r="X220" s="52">
        <f>IF(ISERROR(VLOOKUP($U$220,'TAR FIN'!$A$1:$O$85,15,0)),0,VLOOKUP($U$220,'TAR FIN'!$A$1:$O$85,15,0))*(1-0.06)</f>
        <v>209.68579999999997</v>
      </c>
      <c r="Y220" s="52"/>
      <c r="Z220" s="52">
        <f ca="1">('TUSD BE'!$AM$48+'TUSD BF'!$AM$48+'TUSD CVA'!$AM$48)*1*(1-0.03)</f>
        <v>658.86857529268389</v>
      </c>
      <c r="AA220" s="52">
        <f>('TE BE'!$AB$38+'TE BF'!$AB$38+'TE CVA'!$AB$38)*1*(1-0.03)</f>
        <v>75.619613256969757</v>
      </c>
      <c r="AB220" s="52">
        <f>(SUBSIDIO!$J$220*SUBSIDIO!$V$220)*(0.06)/(1-0.06)</f>
        <v>0</v>
      </c>
      <c r="AC220" s="52">
        <f>((SUBSIDIO!$L$220*SUBSIDIO!$W$220)+(SUBSIDIO!$N$220*SUBSIDIO!$X$220))*(0.06)/(1-0.06)</f>
        <v>866.25718559999984</v>
      </c>
      <c r="AD220" s="52">
        <f>(SUBSIDIO!$J$220*SUBSIDIO!$Y$220)*(0.03)/(1-0.03)</f>
        <v>0</v>
      </c>
      <c r="AE220" s="52">
        <f ca="1">((SUBSIDIO!$L$220*SUBSIDIO!$Z$220)+(SUBSIDIO!$N$220*SUBSIDIO!$AA$220))*(0.03)/(1-0.03)</f>
        <v>464.72657818604574</v>
      </c>
      <c r="AF220" s="4" t="s">
        <v>691</v>
      </c>
    </row>
    <row r="221" spans="1:32" ht="11.25" customHeight="1" x14ac:dyDescent="0.3">
      <c r="A221" s="4" t="s">
        <v>21</v>
      </c>
      <c r="B221" s="4" t="s">
        <v>37</v>
      </c>
      <c r="C221" s="4" t="s">
        <v>23</v>
      </c>
      <c r="D221" s="4" t="s">
        <v>48</v>
      </c>
      <c r="E221" s="4" t="s">
        <v>49</v>
      </c>
      <c r="F221" s="4" t="s">
        <v>25</v>
      </c>
      <c r="G221" s="4" t="s">
        <v>25</v>
      </c>
      <c r="H221" s="4" t="s">
        <v>25</v>
      </c>
      <c r="I221" s="5">
        <v>44501</v>
      </c>
      <c r="J221" s="6">
        <v>0</v>
      </c>
      <c r="K221" s="52">
        <v>0</v>
      </c>
      <c r="L221" s="6">
        <v>22.648</v>
      </c>
      <c r="M221" s="52">
        <v>22.648</v>
      </c>
      <c r="N221" s="6">
        <v>22.648</v>
      </c>
      <c r="O221" s="52">
        <v>22.648</v>
      </c>
      <c r="P221" s="6">
        <v>8</v>
      </c>
      <c r="Q221" s="4" t="s">
        <v>26</v>
      </c>
      <c r="R221" s="4">
        <v>0</v>
      </c>
      <c r="S221" s="4">
        <v>0</v>
      </c>
      <c r="T221" s="4">
        <v>36</v>
      </c>
      <c r="U221" s="4">
        <v>81</v>
      </c>
      <c r="V221" s="52">
        <f>IF(ISERROR(VLOOKUP($S$221,'TAR FIN'!$A$1:$O$85,15,0)),0,VLOOKUP($S$221,'TAR FIN'!$A$1:$O$85,15,0))</f>
        <v>0</v>
      </c>
      <c r="W221" s="52">
        <f>IF(ISERROR(VLOOKUP($T$221,'TAR FIN'!$A$1:$O$85,15,0)),0,VLOOKUP($T$221,'TAR FIN'!$A$1:$O$85,15,0))*(1-0.06)</f>
        <v>453.69099999999997</v>
      </c>
      <c r="X221" s="52">
        <f>IF(ISERROR(VLOOKUP($U$221,'TAR FIN'!$A$1:$O$85,15,0)),0,VLOOKUP($U$221,'TAR FIN'!$A$1:$O$85,15,0))*(1-0.06)</f>
        <v>209.68579999999997</v>
      </c>
      <c r="Y221" s="52"/>
      <c r="Z221" s="52">
        <f ca="1">('TUSD BE'!$AM$48+'TUSD BF'!$AM$48+'TUSD CVA'!$AM$48)*1*(1-0.03)</f>
        <v>658.86857529268389</v>
      </c>
      <c r="AA221" s="52">
        <f>('TE BE'!$AB$38+'TE BF'!$AB$38+'TE CVA'!$AB$38)*1*(1-0.03)</f>
        <v>75.619613256969757</v>
      </c>
      <c r="AB221" s="52">
        <f>(SUBSIDIO!$J$221*SUBSIDIO!$V$221)*(0.06)/(1-0.06)</f>
        <v>0</v>
      </c>
      <c r="AC221" s="52">
        <f>((SUBSIDIO!$L$221*SUBSIDIO!$W$221)+(SUBSIDIO!$N$221*SUBSIDIO!$X$221))*(0.06)/(1-0.06)</f>
        <v>958.98879360000001</v>
      </c>
      <c r="AD221" s="52">
        <f>(SUBSIDIO!$J$221*SUBSIDIO!$Y$221)*(0.03)/(1-0.03)</f>
        <v>0</v>
      </c>
      <c r="AE221" s="52">
        <f ca="1">((SUBSIDIO!$L$221*SUBSIDIO!$Z$221)+(SUBSIDIO!$N$221*SUBSIDIO!$AA$221))*(0.03)/(1-0.03)</f>
        <v>514.47490188471818</v>
      </c>
      <c r="AF221" s="4" t="s">
        <v>691</v>
      </c>
    </row>
    <row r="222" spans="1:32" ht="11.25" customHeight="1" x14ac:dyDescent="0.3">
      <c r="A222" s="4" t="s">
        <v>21</v>
      </c>
      <c r="B222" s="4" t="s">
        <v>37</v>
      </c>
      <c r="C222" s="4" t="s">
        <v>23</v>
      </c>
      <c r="D222" s="4" t="s">
        <v>48</v>
      </c>
      <c r="E222" s="4" t="s">
        <v>49</v>
      </c>
      <c r="F222" s="4" t="s">
        <v>25</v>
      </c>
      <c r="G222" s="4" t="s">
        <v>25</v>
      </c>
      <c r="H222" s="4" t="s">
        <v>25</v>
      </c>
      <c r="I222" s="5">
        <v>44531</v>
      </c>
      <c r="J222" s="6">
        <v>0</v>
      </c>
      <c r="K222" s="52">
        <v>0</v>
      </c>
      <c r="L222" s="6">
        <v>21.591000000000001</v>
      </c>
      <c r="M222" s="52">
        <v>21.591000000000001</v>
      </c>
      <c r="N222" s="6">
        <v>21.591000000000001</v>
      </c>
      <c r="O222" s="52">
        <v>21.591000000000001</v>
      </c>
      <c r="P222" s="6">
        <v>8</v>
      </c>
      <c r="Q222" s="4" t="s">
        <v>26</v>
      </c>
      <c r="R222" s="4">
        <v>0</v>
      </c>
      <c r="S222" s="4">
        <v>0</v>
      </c>
      <c r="T222" s="4">
        <v>36</v>
      </c>
      <c r="U222" s="4">
        <v>81</v>
      </c>
      <c r="V222" s="52">
        <f>IF(ISERROR(VLOOKUP($S$222,'TAR FIN'!$A$1:$O$85,15,0)),0,VLOOKUP($S$222,'TAR FIN'!$A$1:$O$85,15,0))</f>
        <v>0</v>
      </c>
      <c r="W222" s="52">
        <f>IF(ISERROR(VLOOKUP($T$222,'TAR FIN'!$A$1:$O$85,15,0)),0,VLOOKUP($T$222,'TAR FIN'!$A$1:$O$85,15,0))*(1-0.06)</f>
        <v>453.69099999999997</v>
      </c>
      <c r="X222" s="52">
        <f>IF(ISERROR(VLOOKUP($U$222,'TAR FIN'!$A$1:$O$85,15,0)),0,VLOOKUP($U$222,'TAR FIN'!$A$1:$O$85,15,0))*(1-0.06)</f>
        <v>209.68579999999997</v>
      </c>
      <c r="Y222" s="52"/>
      <c r="Z222" s="52">
        <f ca="1">('TUSD BE'!$AM$48+'TUSD BF'!$AM$48+'TUSD CVA'!$AM$48)*1*(1-0.03)</f>
        <v>658.86857529268389</v>
      </c>
      <c r="AA222" s="52">
        <f>('TE BE'!$AB$38+'TE BF'!$AB$38+'TE CVA'!$AB$38)*1*(1-0.03)</f>
        <v>75.619613256969757</v>
      </c>
      <c r="AB222" s="52">
        <f>(SUBSIDIO!$J$222*SUBSIDIO!$V$222)*(0.06)/(1-0.06)</f>
        <v>0</v>
      </c>
      <c r="AC222" s="52">
        <f>((SUBSIDIO!$L$222*SUBSIDIO!$W$222)+(SUBSIDIO!$N$222*SUBSIDIO!$X$222))*(0.06)/(1-0.06)</f>
        <v>914.23203119999994</v>
      </c>
      <c r="AD222" s="52">
        <f>(SUBSIDIO!$J$222*SUBSIDIO!$Y$222)*(0.03)/(1-0.03)</f>
        <v>0</v>
      </c>
      <c r="AE222" s="52">
        <f ca="1">((SUBSIDIO!$L$222*SUBSIDIO!$Z$222)+(SUBSIDIO!$N$222*SUBSIDIO!$AA$222))*(0.03)/(1-0.03)</f>
        <v>490.46395295800738</v>
      </c>
      <c r="AF222" s="4" t="s">
        <v>691</v>
      </c>
    </row>
    <row r="223" spans="1:32" ht="11.25" customHeight="1" x14ac:dyDescent="0.3">
      <c r="A223" s="4" t="s">
        <v>21</v>
      </c>
      <c r="B223" s="4" t="s">
        <v>37</v>
      </c>
      <c r="C223" s="4" t="s">
        <v>23</v>
      </c>
      <c r="D223" s="4" t="s">
        <v>48</v>
      </c>
      <c r="E223" s="4" t="s">
        <v>49</v>
      </c>
      <c r="F223" s="4" t="s">
        <v>25</v>
      </c>
      <c r="G223" s="4" t="s">
        <v>25</v>
      </c>
      <c r="H223" s="4" t="s">
        <v>25</v>
      </c>
      <c r="I223" s="5">
        <v>44562</v>
      </c>
      <c r="J223" s="6">
        <v>0</v>
      </c>
      <c r="K223" s="52">
        <v>0</v>
      </c>
      <c r="L223" s="6">
        <v>29.577000000000002</v>
      </c>
      <c r="M223" s="52">
        <v>29.577000000000002</v>
      </c>
      <c r="N223" s="6">
        <v>29.577000000000002</v>
      </c>
      <c r="O223" s="52">
        <v>29.577000000000002</v>
      </c>
      <c r="P223" s="6">
        <v>8</v>
      </c>
      <c r="Q223" s="4" t="s">
        <v>26</v>
      </c>
      <c r="R223" s="4">
        <v>0</v>
      </c>
      <c r="S223" s="4">
        <v>0</v>
      </c>
      <c r="T223" s="4">
        <v>36</v>
      </c>
      <c r="U223" s="4">
        <v>81</v>
      </c>
      <c r="V223" s="52">
        <f>IF(ISERROR(VLOOKUP($S$223,'TAR FIN'!$A$1:$O$85,15,0)),0,VLOOKUP($S$223,'TAR FIN'!$A$1:$O$85,15,0))</f>
        <v>0</v>
      </c>
      <c r="W223" s="52">
        <f>IF(ISERROR(VLOOKUP($T$223,'TAR FIN'!$A$1:$O$85,15,0)),0,VLOOKUP($T$223,'TAR FIN'!$A$1:$O$85,15,0))*(1-0.06)</f>
        <v>453.69099999999997</v>
      </c>
      <c r="X223" s="52">
        <f>IF(ISERROR(VLOOKUP($U$223,'TAR FIN'!$A$1:$O$85,15,0)),0,VLOOKUP($U$223,'TAR FIN'!$A$1:$O$85,15,0))*(1-0.06)</f>
        <v>209.68579999999997</v>
      </c>
      <c r="Y223" s="52"/>
      <c r="Z223" s="52">
        <f ca="1">('TUSD BE'!$AM$48+'TUSD BF'!$AM$48+'TUSD CVA'!$AM$48)*1*(1-0.03)</f>
        <v>658.86857529268389</v>
      </c>
      <c r="AA223" s="52">
        <f>('TE BE'!$AB$38+'TE BF'!$AB$38+'TE CVA'!$AB$38)*1*(1-0.03)</f>
        <v>75.619613256969757</v>
      </c>
      <c r="AB223" s="52">
        <f>(SUBSIDIO!$J$223*SUBSIDIO!$V$223)*(0.06)/(1-0.06)</f>
        <v>0</v>
      </c>
      <c r="AC223" s="52">
        <f>((SUBSIDIO!$L$223*SUBSIDIO!$W$223)+(SUBSIDIO!$N$223*SUBSIDIO!$X$223))*(0.06)/(1-0.06)</f>
        <v>1252.3848264000001</v>
      </c>
      <c r="AD223" s="52">
        <f>(SUBSIDIO!$J$223*SUBSIDIO!$Y$223)*(0.03)/(1-0.03)</f>
        <v>0</v>
      </c>
      <c r="AE223" s="52">
        <f ca="1">((SUBSIDIO!$L$223*SUBSIDIO!$Z$223)+(SUBSIDIO!$N$223*SUBSIDIO!$AA$223))*(0.03)/(1-0.03)</f>
        <v>671.8749634865909</v>
      </c>
      <c r="AF223" s="4" t="s">
        <v>691</v>
      </c>
    </row>
    <row r="224" spans="1:32" ht="11.25" customHeight="1" x14ac:dyDescent="0.3">
      <c r="A224" s="4" t="s">
        <v>21</v>
      </c>
      <c r="B224" s="4" t="s">
        <v>37</v>
      </c>
      <c r="C224" s="4" t="s">
        <v>23</v>
      </c>
      <c r="D224" s="4" t="s">
        <v>48</v>
      </c>
      <c r="E224" s="4" t="s">
        <v>49</v>
      </c>
      <c r="F224" s="4" t="s">
        <v>25</v>
      </c>
      <c r="G224" s="4" t="s">
        <v>25</v>
      </c>
      <c r="H224" s="4" t="s">
        <v>25</v>
      </c>
      <c r="I224" s="5">
        <v>44593</v>
      </c>
      <c r="J224" s="6">
        <v>0</v>
      </c>
      <c r="K224" s="52">
        <v>0</v>
      </c>
      <c r="L224" s="6">
        <v>32.270000000000003</v>
      </c>
      <c r="M224" s="52">
        <v>32.270000000000003</v>
      </c>
      <c r="N224" s="6">
        <v>32.270000000000003</v>
      </c>
      <c r="O224" s="52">
        <v>32.270000000000003</v>
      </c>
      <c r="P224" s="6">
        <v>8</v>
      </c>
      <c r="Q224" s="4" t="s">
        <v>26</v>
      </c>
      <c r="R224" s="4">
        <v>0</v>
      </c>
      <c r="S224" s="4">
        <v>0</v>
      </c>
      <c r="T224" s="4">
        <v>36</v>
      </c>
      <c r="U224" s="4">
        <v>81</v>
      </c>
      <c r="V224" s="52">
        <f>IF(ISERROR(VLOOKUP($S$224,'TAR FIN'!$A$1:$O$85,15,0)),0,VLOOKUP($S$224,'TAR FIN'!$A$1:$O$85,15,0))</f>
        <v>0</v>
      </c>
      <c r="W224" s="52">
        <f>IF(ISERROR(VLOOKUP($T$224,'TAR FIN'!$A$1:$O$85,15,0)),0,VLOOKUP($T$224,'TAR FIN'!$A$1:$O$85,15,0))*(1-0.06)</f>
        <v>453.69099999999997</v>
      </c>
      <c r="X224" s="52">
        <f>IF(ISERROR(VLOOKUP($U$224,'TAR FIN'!$A$1:$O$85,15,0)),0,VLOOKUP($U$224,'TAR FIN'!$A$1:$O$85,15,0))*(1-0.06)</f>
        <v>209.68579999999997</v>
      </c>
      <c r="Y224" s="52"/>
      <c r="Z224" s="52">
        <f ca="1">('TUSD BE'!$AM$48+'TUSD BF'!$AM$48+'TUSD CVA'!$AM$48)*1*(1-0.03)</f>
        <v>658.86857529268389</v>
      </c>
      <c r="AA224" s="52">
        <f>('TE BE'!$AB$38+'TE BF'!$AB$38+'TE CVA'!$AB$38)*1*(1-0.03)</f>
        <v>75.619613256969757</v>
      </c>
      <c r="AB224" s="52">
        <f>(SUBSIDIO!$J$224*SUBSIDIO!$V$224)*(0.06)/(1-0.06)</f>
        <v>0</v>
      </c>
      <c r="AC224" s="52">
        <f>((SUBSIDIO!$L$224*SUBSIDIO!$W$224)+(SUBSIDIO!$N$224*SUBSIDIO!$X$224))*(0.06)/(1-0.06)</f>
        <v>1366.4150639999998</v>
      </c>
      <c r="AD224" s="52">
        <f>(SUBSIDIO!$J$224*SUBSIDIO!$Y$224)*(0.03)/(1-0.03)</f>
        <v>0</v>
      </c>
      <c r="AE224" s="52">
        <f ca="1">((SUBSIDIO!$L$224*SUBSIDIO!$Z$224)+(SUBSIDIO!$N$224*SUBSIDIO!$AA$224))*(0.03)/(1-0.03)</f>
        <v>733.04950034527815</v>
      </c>
      <c r="AF224" s="4" t="s">
        <v>691</v>
      </c>
    </row>
    <row r="225" spans="1:32" ht="11.25" customHeight="1" x14ac:dyDescent="0.3">
      <c r="A225" s="4" t="s">
        <v>21</v>
      </c>
      <c r="B225" s="4" t="s">
        <v>37</v>
      </c>
      <c r="C225" s="4" t="s">
        <v>23</v>
      </c>
      <c r="D225" s="4" t="s">
        <v>48</v>
      </c>
      <c r="E225" s="4" t="s">
        <v>49</v>
      </c>
      <c r="F225" s="4" t="s">
        <v>25</v>
      </c>
      <c r="G225" s="4" t="s">
        <v>25</v>
      </c>
      <c r="H225" s="4" t="s">
        <v>25</v>
      </c>
      <c r="I225" s="5">
        <v>44621</v>
      </c>
      <c r="J225" s="6">
        <v>0</v>
      </c>
      <c r="K225" s="52">
        <v>0</v>
      </c>
      <c r="L225" s="6">
        <v>30.125</v>
      </c>
      <c r="M225" s="52">
        <v>30.125</v>
      </c>
      <c r="N225" s="6">
        <v>30.125</v>
      </c>
      <c r="O225" s="52">
        <v>30.125</v>
      </c>
      <c r="P225" s="6">
        <v>8</v>
      </c>
      <c r="Q225" s="4" t="s">
        <v>26</v>
      </c>
      <c r="R225" s="4">
        <v>0</v>
      </c>
      <c r="S225" s="4">
        <v>0</v>
      </c>
      <c r="T225" s="4">
        <v>36</v>
      </c>
      <c r="U225" s="4">
        <v>81</v>
      </c>
      <c r="V225" s="52">
        <f>IF(ISERROR(VLOOKUP($S$225,'TAR FIN'!$A$1:$O$85,15,0)),0,VLOOKUP($S$225,'TAR FIN'!$A$1:$O$85,15,0))</f>
        <v>0</v>
      </c>
      <c r="W225" s="52">
        <f>IF(ISERROR(VLOOKUP($T$225,'TAR FIN'!$A$1:$O$85,15,0)),0,VLOOKUP($T$225,'TAR FIN'!$A$1:$O$85,15,0))*(1-0.06)</f>
        <v>453.69099999999997</v>
      </c>
      <c r="X225" s="52">
        <f>IF(ISERROR(VLOOKUP($U$225,'TAR FIN'!$A$1:$O$85,15,0)),0,VLOOKUP($U$225,'TAR FIN'!$A$1:$O$85,15,0))*(1-0.06)</f>
        <v>209.68579999999997</v>
      </c>
      <c r="Y225" s="52"/>
      <c r="Z225" s="52">
        <f ca="1">('TUSD BE'!$AM$48+'TUSD BF'!$AM$48+'TUSD CVA'!$AM$48)*1*(1-0.03)</f>
        <v>658.86857529268389</v>
      </c>
      <c r="AA225" s="52">
        <f>('TE BE'!$AB$38+'TE BF'!$AB$38+'TE CVA'!$AB$38)*1*(1-0.03)</f>
        <v>75.619613256969757</v>
      </c>
      <c r="AB225" s="52">
        <f>(SUBSIDIO!$J$225*SUBSIDIO!$V$225)*(0.06)/(1-0.06)</f>
        <v>0</v>
      </c>
      <c r="AC225" s="52">
        <f>((SUBSIDIO!$L$225*SUBSIDIO!$W$225)+(SUBSIDIO!$N$225*SUBSIDIO!$X$225))*(0.06)/(1-0.06)</f>
        <v>1275.5889000000002</v>
      </c>
      <c r="AD225" s="52">
        <f>(SUBSIDIO!$J$225*SUBSIDIO!$Y$225)*(0.03)/(1-0.03)</f>
        <v>0</v>
      </c>
      <c r="AE225" s="52">
        <f ca="1">((SUBSIDIO!$L$225*SUBSIDIO!$Z$225)+(SUBSIDIO!$N$225*SUBSIDIO!$AA$225))*(0.03)/(1-0.03)</f>
        <v>684.32340247603042</v>
      </c>
      <c r="AF225" s="4" t="s">
        <v>691</v>
      </c>
    </row>
    <row r="226" spans="1:32" ht="11.25" customHeight="1" x14ac:dyDescent="0.3">
      <c r="A226" s="4" t="s">
        <v>21</v>
      </c>
      <c r="B226" s="4" t="s">
        <v>37</v>
      </c>
      <c r="C226" s="4" t="s">
        <v>23</v>
      </c>
      <c r="D226" s="4" t="s">
        <v>48</v>
      </c>
      <c r="E226" s="4" t="s">
        <v>49</v>
      </c>
      <c r="F226" s="4" t="s">
        <v>25</v>
      </c>
      <c r="G226" s="4" t="s">
        <v>25</v>
      </c>
      <c r="H226" s="4" t="s">
        <v>25</v>
      </c>
      <c r="I226" s="5">
        <v>44652</v>
      </c>
      <c r="J226" s="6">
        <v>0</v>
      </c>
      <c r="K226" s="52">
        <v>0</v>
      </c>
      <c r="L226" s="6">
        <v>24.422999999999998</v>
      </c>
      <c r="M226" s="52">
        <v>24.422999999999998</v>
      </c>
      <c r="N226" s="6">
        <v>24.422999999999998</v>
      </c>
      <c r="O226" s="52">
        <v>24.422999999999998</v>
      </c>
      <c r="P226" s="6">
        <v>8</v>
      </c>
      <c r="Q226" s="4" t="s">
        <v>26</v>
      </c>
      <c r="R226" s="4">
        <v>0</v>
      </c>
      <c r="S226" s="4">
        <v>0</v>
      </c>
      <c r="T226" s="4">
        <v>36</v>
      </c>
      <c r="U226" s="4">
        <v>81</v>
      </c>
      <c r="V226" s="52">
        <f>IF(ISERROR(VLOOKUP($S$226,'TAR FIN'!$A$1:$O$85,15,0)),0,VLOOKUP($S$226,'TAR FIN'!$A$1:$O$85,15,0))</f>
        <v>0</v>
      </c>
      <c r="W226" s="52">
        <f>IF(ISERROR(VLOOKUP($T$226,'TAR FIN'!$A$1:$O$85,15,0)),0,VLOOKUP($T$226,'TAR FIN'!$A$1:$O$85,15,0))*(1-0.06)</f>
        <v>453.69099999999997</v>
      </c>
      <c r="X226" s="52">
        <f>IF(ISERROR(VLOOKUP($U$226,'TAR FIN'!$A$1:$O$85,15,0)),0,VLOOKUP($U$226,'TAR FIN'!$A$1:$O$85,15,0))*(1-0.06)</f>
        <v>209.68579999999997</v>
      </c>
      <c r="Y226" s="52"/>
      <c r="Z226" s="52">
        <f ca="1">('TUSD BE'!$AM$48+'TUSD BF'!$AM$48+'TUSD CVA'!$AM$48)*1*(1-0.03)</f>
        <v>658.86857529268389</v>
      </c>
      <c r="AA226" s="52">
        <f>('TE BE'!$AB$38+'TE BF'!$AB$38+'TE CVA'!$AB$38)*1*(1-0.03)</f>
        <v>75.619613256969757</v>
      </c>
      <c r="AB226" s="52">
        <f>(SUBSIDIO!$J$226*SUBSIDIO!$V$226)*(0.06)/(1-0.06)</f>
        <v>0</v>
      </c>
      <c r="AC226" s="52">
        <f>((SUBSIDIO!$L$226*SUBSIDIO!$W$226)+(SUBSIDIO!$N$226*SUBSIDIO!$X$226))*(0.06)/(1-0.06)</f>
        <v>1034.1479735999997</v>
      </c>
      <c r="AD226" s="52">
        <f>(SUBSIDIO!$J$226*SUBSIDIO!$Y$226)*(0.03)/(1-0.03)</f>
        <v>0</v>
      </c>
      <c r="AE226" s="52">
        <f ca="1">((SUBSIDIO!$L$226*SUBSIDIO!$Z$226)+(SUBSIDIO!$N$226*SUBSIDIO!$AA$226))*(0.03)/(1-0.03)</f>
        <v>554.79603182313986</v>
      </c>
      <c r="AF226" s="4" t="s">
        <v>691</v>
      </c>
    </row>
    <row r="227" spans="1:32" ht="11.25" customHeight="1" x14ac:dyDescent="0.3">
      <c r="A227" s="4" t="s">
        <v>21</v>
      </c>
      <c r="B227" s="4" t="s">
        <v>37</v>
      </c>
      <c r="C227" s="4" t="s">
        <v>23</v>
      </c>
      <c r="D227" s="4" t="s">
        <v>48</v>
      </c>
      <c r="E227" s="4" t="s">
        <v>49</v>
      </c>
      <c r="F227" s="4" t="s">
        <v>25</v>
      </c>
      <c r="G227" s="4" t="s">
        <v>25</v>
      </c>
      <c r="H227" s="4" t="s">
        <v>25</v>
      </c>
      <c r="I227" s="5">
        <v>44682</v>
      </c>
      <c r="J227" s="6">
        <v>0</v>
      </c>
      <c r="K227" s="52">
        <v>0</v>
      </c>
      <c r="L227" s="6">
        <v>25.241</v>
      </c>
      <c r="M227" s="52">
        <v>25.241</v>
      </c>
      <c r="N227" s="6">
        <v>25.241</v>
      </c>
      <c r="O227" s="52">
        <v>25.241</v>
      </c>
      <c r="P227" s="6">
        <v>8</v>
      </c>
      <c r="Q227" s="4" t="s">
        <v>26</v>
      </c>
      <c r="R227" s="4">
        <v>0</v>
      </c>
      <c r="S227" s="4">
        <v>0</v>
      </c>
      <c r="T227" s="4">
        <v>36</v>
      </c>
      <c r="U227" s="4">
        <v>81</v>
      </c>
      <c r="V227" s="52">
        <f>IF(ISERROR(VLOOKUP($S$227,'TAR FIN'!$A$1:$O$85,15,0)),0,VLOOKUP($S$227,'TAR FIN'!$A$1:$O$85,15,0))</f>
        <v>0</v>
      </c>
      <c r="W227" s="52">
        <f>IF(ISERROR(VLOOKUP($T$227,'TAR FIN'!$A$1:$O$85,15,0)),0,VLOOKUP($T$227,'TAR FIN'!$A$1:$O$85,15,0))*(1-0.06)</f>
        <v>453.69099999999997</v>
      </c>
      <c r="X227" s="52">
        <f>IF(ISERROR(VLOOKUP($U$227,'TAR FIN'!$A$1:$O$85,15,0)),0,VLOOKUP($U$227,'TAR FIN'!$A$1:$O$85,15,0))*(1-0.06)</f>
        <v>209.68579999999997</v>
      </c>
      <c r="Y227" s="52"/>
      <c r="Z227" s="52">
        <f ca="1">('TUSD BE'!$AM$48+'TUSD BF'!$AM$48+'TUSD CVA'!$AM$48)*1*(1-0.03)</f>
        <v>658.86857529268389</v>
      </c>
      <c r="AA227" s="52">
        <f>('TE BE'!$AB$38+'TE BF'!$AB$38+'TE CVA'!$AB$38)*1*(1-0.03)</f>
        <v>75.619613256969757</v>
      </c>
      <c r="AB227" s="52">
        <f>(SUBSIDIO!$J$227*SUBSIDIO!$V$227)*(0.06)/(1-0.06)</f>
        <v>0</v>
      </c>
      <c r="AC227" s="52">
        <f>((SUBSIDIO!$L$227*SUBSIDIO!$W$227)+(SUBSIDIO!$N$227*SUBSIDIO!$X$227))*(0.06)/(1-0.06)</f>
        <v>1068.7847111999999</v>
      </c>
      <c r="AD227" s="52">
        <f>(SUBSIDIO!$J$227*SUBSIDIO!$Y$227)*(0.03)/(1-0.03)</f>
        <v>0</v>
      </c>
      <c r="AE227" s="52">
        <f ca="1">((SUBSIDIO!$L$227*SUBSIDIO!$Z$227)+(SUBSIDIO!$N$227*SUBSIDIO!$AA$227))*(0.03)/(1-0.03)</f>
        <v>573.377825789128</v>
      </c>
      <c r="AF227" s="4" t="s">
        <v>691</v>
      </c>
    </row>
    <row r="228" spans="1:32" ht="11.25" customHeight="1" x14ac:dyDescent="0.3">
      <c r="A228" s="4" t="s">
        <v>21</v>
      </c>
      <c r="B228" s="4" t="s">
        <v>37</v>
      </c>
      <c r="C228" s="4" t="s">
        <v>23</v>
      </c>
      <c r="D228" s="4" t="s">
        <v>48</v>
      </c>
      <c r="E228" s="4" t="s">
        <v>49</v>
      </c>
      <c r="F228" s="4" t="s">
        <v>25</v>
      </c>
      <c r="G228" s="4" t="s">
        <v>25</v>
      </c>
      <c r="H228" s="4" t="s">
        <v>25</v>
      </c>
      <c r="I228" s="5">
        <v>44713</v>
      </c>
      <c r="J228" s="6">
        <v>0</v>
      </c>
      <c r="K228" s="52">
        <v>0</v>
      </c>
      <c r="L228" s="6">
        <v>22.896999999999998</v>
      </c>
      <c r="M228" s="52">
        <v>22.896999999999998</v>
      </c>
      <c r="N228" s="6">
        <v>22.896999999999998</v>
      </c>
      <c r="O228" s="52">
        <v>22.896999999999998</v>
      </c>
      <c r="P228" s="6">
        <v>8</v>
      </c>
      <c r="Q228" s="4" t="s">
        <v>26</v>
      </c>
      <c r="R228" s="4">
        <v>0</v>
      </c>
      <c r="S228" s="4">
        <v>0</v>
      </c>
      <c r="T228" s="4">
        <v>36</v>
      </c>
      <c r="U228" s="4">
        <v>81</v>
      </c>
      <c r="V228" s="52">
        <f>IF(ISERROR(VLOOKUP($S$228,'TAR FIN'!$A$1:$O$85,15,0)),0,VLOOKUP($S$228,'TAR FIN'!$A$1:$O$85,15,0))</f>
        <v>0</v>
      </c>
      <c r="W228" s="52">
        <f>IF(ISERROR(VLOOKUP($T$228,'TAR FIN'!$A$1:$O$85,15,0)),0,VLOOKUP($T$228,'TAR FIN'!$A$1:$O$85,15,0))*(1-0.06)</f>
        <v>453.69099999999997</v>
      </c>
      <c r="X228" s="52">
        <f>IF(ISERROR(VLOOKUP($U$228,'TAR FIN'!$A$1:$O$85,15,0)),0,VLOOKUP($U$228,'TAR FIN'!$A$1:$O$85,15,0))*(1-0.06)</f>
        <v>209.68579999999997</v>
      </c>
      <c r="Y228" s="52"/>
      <c r="Z228" s="52">
        <f ca="1">('TUSD BE'!$AM$48+'TUSD BF'!$AM$48+'TUSD CVA'!$AM$48)*1*(1-0.03)</f>
        <v>658.86857529268389</v>
      </c>
      <c r="AA228" s="52">
        <f>('TE BE'!$AB$38+'TE BF'!$AB$38+'TE CVA'!$AB$38)*1*(1-0.03)</f>
        <v>75.619613256969757</v>
      </c>
      <c r="AB228" s="52">
        <f>(SUBSIDIO!$J$228*SUBSIDIO!$V$228)*(0.06)/(1-0.06)</f>
        <v>0</v>
      </c>
      <c r="AC228" s="52">
        <f>((SUBSIDIO!$L$228*SUBSIDIO!$W$228)+(SUBSIDIO!$N$228*SUBSIDIO!$X$228))*(0.06)/(1-0.06)</f>
        <v>969.53225039999984</v>
      </c>
      <c r="AD228" s="52">
        <f>(SUBSIDIO!$J$228*SUBSIDIO!$Y$228)*(0.03)/(1-0.03)</f>
        <v>0</v>
      </c>
      <c r="AE228" s="52">
        <f ca="1">((SUBSIDIO!$L$228*SUBSIDIO!$Z$228)+(SUBSIDIO!$N$228*SUBSIDIO!$AA$228))*(0.03)/(1-0.03)</f>
        <v>520.13121814086855</v>
      </c>
      <c r="AF228" s="4" t="s">
        <v>691</v>
      </c>
    </row>
    <row r="229" spans="1:32" ht="11.25" customHeight="1" x14ac:dyDescent="0.3">
      <c r="A229" s="4" t="s">
        <v>21</v>
      </c>
      <c r="B229" s="4" t="s">
        <v>37</v>
      </c>
      <c r="C229" s="4" t="s">
        <v>23</v>
      </c>
      <c r="D229" s="4" t="s">
        <v>48</v>
      </c>
      <c r="E229" s="4" t="s">
        <v>49</v>
      </c>
      <c r="F229" s="4" t="s">
        <v>25</v>
      </c>
      <c r="G229" s="4" t="s">
        <v>25</v>
      </c>
      <c r="H229" s="4" t="s">
        <v>25</v>
      </c>
      <c r="I229" s="5">
        <v>44743</v>
      </c>
      <c r="J229" s="6">
        <v>0</v>
      </c>
      <c r="K229" s="52">
        <v>0</v>
      </c>
      <c r="L229" s="6">
        <v>19.231999999999999</v>
      </c>
      <c r="M229" s="52">
        <v>19.231999999999999</v>
      </c>
      <c r="N229" s="6">
        <v>19.231999999999999</v>
      </c>
      <c r="O229" s="52">
        <v>19.231999999999999</v>
      </c>
      <c r="P229" s="6">
        <v>8</v>
      </c>
      <c r="Q229" s="4" t="s">
        <v>26</v>
      </c>
      <c r="R229" s="4">
        <v>0</v>
      </c>
      <c r="S229" s="4">
        <v>0</v>
      </c>
      <c r="T229" s="4">
        <v>36</v>
      </c>
      <c r="U229" s="4">
        <v>81</v>
      </c>
      <c r="V229" s="52">
        <f>IF(ISERROR(VLOOKUP($S$229,'TAR FIN'!$A$1:$O$85,15,0)),0,VLOOKUP($S$229,'TAR FIN'!$A$1:$O$85,15,0))</f>
        <v>0</v>
      </c>
      <c r="W229" s="52">
        <f>IF(ISERROR(VLOOKUP($T$229,'TAR FIN'!$A$1:$O$85,15,0)),0,VLOOKUP($T$229,'TAR FIN'!$A$1:$O$85,15,0))*(1-0.06)</f>
        <v>453.69099999999997</v>
      </c>
      <c r="X229" s="52">
        <f>IF(ISERROR(VLOOKUP($U$229,'TAR FIN'!$A$1:$O$85,15,0)),0,VLOOKUP($U$229,'TAR FIN'!$A$1:$O$85,15,0))*(1-0.06)</f>
        <v>209.68579999999997</v>
      </c>
      <c r="Y229" s="52"/>
      <c r="Z229" s="52">
        <f ca="1">('TUSD BE'!$AM$48+'TUSD BF'!$AM$48+'TUSD CVA'!$AM$48)*1*(1-0.03)</f>
        <v>658.86857529268389</v>
      </c>
      <c r="AA229" s="52">
        <f>('TE BE'!$AB$38+'TE BF'!$AB$38+'TE CVA'!$AB$38)*1*(1-0.03)</f>
        <v>75.619613256969757</v>
      </c>
      <c r="AB229" s="52">
        <f>(SUBSIDIO!$J$229*SUBSIDIO!$V$229)*(0.06)/(1-0.06)</f>
        <v>0</v>
      </c>
      <c r="AC229" s="52">
        <f>((SUBSIDIO!$L$229*SUBSIDIO!$W$229)+(SUBSIDIO!$N$229*SUBSIDIO!$X$229))*(0.06)/(1-0.06)</f>
        <v>814.34442239999987</v>
      </c>
      <c r="AD229" s="52">
        <f>(SUBSIDIO!$J$229*SUBSIDIO!$Y$229)*(0.03)/(1-0.03)</f>
        <v>0</v>
      </c>
      <c r="AE229" s="52">
        <f ca="1">((SUBSIDIO!$L$229*SUBSIDIO!$Z$229)+(SUBSIDIO!$N$229*SUBSIDIO!$AA$229))*(0.03)/(1-0.03)</f>
        <v>436.87660336660633</v>
      </c>
      <c r="AF229" s="4" t="s">
        <v>691</v>
      </c>
    </row>
    <row r="230" spans="1:32" ht="11.25" customHeight="1" x14ac:dyDescent="0.3">
      <c r="A230" s="4" t="s">
        <v>21</v>
      </c>
      <c r="B230" s="4" t="s">
        <v>37</v>
      </c>
      <c r="C230" s="4" t="s">
        <v>23</v>
      </c>
      <c r="D230" s="4" t="s">
        <v>48</v>
      </c>
      <c r="E230" s="4" t="s">
        <v>49</v>
      </c>
      <c r="F230" s="4" t="s">
        <v>25</v>
      </c>
      <c r="G230" s="4" t="s">
        <v>25</v>
      </c>
      <c r="H230" s="4" t="s">
        <v>25</v>
      </c>
      <c r="I230" s="5">
        <v>44774</v>
      </c>
      <c r="J230" s="6">
        <v>0</v>
      </c>
      <c r="K230" s="52">
        <v>0</v>
      </c>
      <c r="L230" s="6">
        <v>24.995999999999999</v>
      </c>
      <c r="M230" s="52">
        <v>24.995999999999999</v>
      </c>
      <c r="N230" s="6">
        <v>24.995999999999999</v>
      </c>
      <c r="O230" s="52">
        <v>24.995999999999999</v>
      </c>
      <c r="P230" s="6">
        <v>8</v>
      </c>
      <c r="Q230" s="4" t="s">
        <v>26</v>
      </c>
      <c r="R230" s="4">
        <v>0</v>
      </c>
      <c r="S230" s="4">
        <v>0</v>
      </c>
      <c r="T230" s="4">
        <v>36</v>
      </c>
      <c r="U230" s="4">
        <v>81</v>
      </c>
      <c r="V230" s="52">
        <f>IF(ISERROR(VLOOKUP($S$230,'TAR FIN'!$A$1:$O$85,15,0)),0,VLOOKUP($S$230,'TAR FIN'!$A$1:$O$85,15,0))</f>
        <v>0</v>
      </c>
      <c r="W230" s="52">
        <f>IF(ISERROR(VLOOKUP($T$230,'TAR FIN'!$A$1:$O$85,15,0)),0,VLOOKUP($T$230,'TAR FIN'!$A$1:$O$85,15,0))*(1-0.06)</f>
        <v>453.69099999999997</v>
      </c>
      <c r="X230" s="52">
        <f>IF(ISERROR(VLOOKUP($U$230,'TAR FIN'!$A$1:$O$85,15,0)),0,VLOOKUP($U$230,'TAR FIN'!$A$1:$O$85,15,0))*(1-0.06)</f>
        <v>209.68579999999997</v>
      </c>
      <c r="Y230" s="52"/>
      <c r="Z230" s="52">
        <f ca="1">('TUSD BE'!$AM$48+'TUSD BF'!$AM$48+'TUSD CVA'!$AM$48)*1*(1-0.03)</f>
        <v>658.86857529268389</v>
      </c>
      <c r="AA230" s="52">
        <f>('TE BE'!$AB$38+'TE BF'!$AB$38+'TE CVA'!$AB$38)*1*(1-0.03)</f>
        <v>75.619613256969757</v>
      </c>
      <c r="AB230" s="52">
        <f>(SUBSIDIO!$J$230*SUBSIDIO!$V$230)*(0.06)/(1-0.06)</f>
        <v>0</v>
      </c>
      <c r="AC230" s="52">
        <f>((SUBSIDIO!$L$230*SUBSIDIO!$W$230)+(SUBSIDIO!$N$230*SUBSIDIO!$X$230))*(0.06)/(1-0.06)</f>
        <v>1058.4106271999999</v>
      </c>
      <c r="AD230" s="52">
        <f>(SUBSIDIO!$J$230*SUBSIDIO!$Y$230)*(0.03)/(1-0.03)</f>
        <v>0</v>
      </c>
      <c r="AE230" s="52">
        <f ca="1">((SUBSIDIO!$L$230*SUBSIDIO!$Z$230)+(SUBSIDIO!$N$230*SUBSIDIO!$AA$230))*(0.03)/(1-0.03)</f>
        <v>567.81237405114871</v>
      </c>
      <c r="AF230" s="4" t="s">
        <v>691</v>
      </c>
    </row>
    <row r="231" spans="1:32" ht="11.25" customHeight="1" x14ac:dyDescent="0.3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2" ht="11.25" customHeight="1" x14ac:dyDescent="0.3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2" ht="11.25" customHeight="1" x14ac:dyDescent="0.3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2" ht="11.25" customHeight="1" x14ac:dyDescent="0.3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2" ht="11.25" customHeight="1" x14ac:dyDescent="0.3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2" ht="11.25" customHeight="1" x14ac:dyDescent="0.3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2" ht="11.25" customHeight="1" x14ac:dyDescent="0.3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2" ht="11.25" customHeight="1" x14ac:dyDescent="0.3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2" ht="11.25" customHeight="1" x14ac:dyDescent="0.3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2" ht="11.25" customHeight="1" x14ac:dyDescent="0.3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3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3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3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3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3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3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3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3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3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3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3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3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3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3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3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3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3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3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3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3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3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3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3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3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3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3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3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3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3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3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3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3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3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3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3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3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3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3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3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3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3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3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3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3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3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3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3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3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3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3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3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3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3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3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3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3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3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3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3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3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3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3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3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3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3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3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3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3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3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3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3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3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3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3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3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3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3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3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3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3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3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3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3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3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3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3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3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3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3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3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3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3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3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3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3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3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3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3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3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3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3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3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3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3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3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3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3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3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3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3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3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3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3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3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3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3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3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3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3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3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3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3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3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3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3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3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3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3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3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3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3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3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3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3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3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3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3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3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3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3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3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3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3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3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3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3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3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3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3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3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3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3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3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3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3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3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3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3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3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3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3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3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3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3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3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3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3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3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3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3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3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3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3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3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3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3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3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3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3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3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3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3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3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3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3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3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3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3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3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3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3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3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3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3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3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3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3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3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3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3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3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3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3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3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3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3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3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3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3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3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3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3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3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3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3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3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3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3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3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3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3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3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3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3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3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3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3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3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3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3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3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3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3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3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3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3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3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3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3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3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3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3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3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3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3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3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3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3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2:31" ht="11.25" customHeight="1" x14ac:dyDescent="0.3"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2:31" ht="11.25" customHeight="1" x14ac:dyDescent="0.3"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2:31" ht="11.25" customHeight="1" x14ac:dyDescent="0.3"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2:31" ht="11.25" customHeight="1" x14ac:dyDescent="0.3"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2:31" ht="11.25" customHeight="1" x14ac:dyDescent="0.3"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2:31" ht="11.25" customHeight="1" x14ac:dyDescent="0.3"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2:31" ht="11.25" customHeight="1" x14ac:dyDescent="0.3"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2:31" ht="11.25" customHeight="1" x14ac:dyDescent="0.3"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2:31" ht="11.25" customHeight="1" x14ac:dyDescent="0.3"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2:31" ht="11.25" customHeight="1" x14ac:dyDescent="0.3"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2:31" ht="11.25" customHeight="1" x14ac:dyDescent="0.3"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2:31" ht="11.25" customHeight="1" x14ac:dyDescent="0.3"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2:31" ht="11.25" customHeight="1" x14ac:dyDescent="0.3"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2:31" ht="11.25" customHeight="1" x14ac:dyDescent="0.3"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2:31" ht="11.25" customHeight="1" x14ac:dyDescent="0.3"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2:31" ht="11.25" customHeight="1" x14ac:dyDescent="0.3"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2:31" ht="11.25" customHeight="1" x14ac:dyDescent="0.3"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2:31" ht="11.25" customHeight="1" x14ac:dyDescent="0.3"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22:31" ht="11.25" customHeight="1" x14ac:dyDescent="0.3"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22:31" ht="11.25" customHeight="1" x14ac:dyDescent="0.3"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22:31" ht="11.25" customHeight="1" x14ac:dyDescent="0.3"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22:31" ht="11.25" customHeight="1" x14ac:dyDescent="0.3"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22:31" ht="11.25" customHeight="1" x14ac:dyDescent="0.3"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22:31" ht="11.25" customHeight="1" x14ac:dyDescent="0.3"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22:31" ht="11.25" customHeight="1" x14ac:dyDescent="0.3"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22:31" ht="11.25" customHeight="1" x14ac:dyDescent="0.3"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22:31" ht="11.25" customHeight="1" x14ac:dyDescent="0.3"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22:31" ht="11.25" customHeight="1" x14ac:dyDescent="0.3"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22:31" ht="11.25" customHeight="1" x14ac:dyDescent="0.3"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22:31" ht="11.25" customHeight="1" x14ac:dyDescent="0.3"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22:31" ht="11.25" customHeight="1" x14ac:dyDescent="0.3"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22:31" ht="11.25" customHeight="1" x14ac:dyDescent="0.3"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22:31" ht="11.25" customHeight="1" x14ac:dyDescent="0.3"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22:31" ht="11.25" customHeight="1" x14ac:dyDescent="0.3"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22:31" ht="11.25" customHeight="1" x14ac:dyDescent="0.3"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22:31" ht="11.25" customHeight="1" x14ac:dyDescent="0.3"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22:31" ht="11.25" customHeight="1" x14ac:dyDescent="0.3"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22:31" ht="11.25" customHeight="1" x14ac:dyDescent="0.3"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22:31" ht="11.25" customHeight="1" x14ac:dyDescent="0.3"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22:31" ht="11.25" customHeight="1" x14ac:dyDescent="0.3"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22:31" ht="11.25" customHeight="1" x14ac:dyDescent="0.3"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22:31" ht="11.25" customHeight="1" x14ac:dyDescent="0.3"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22:31" ht="11.25" customHeight="1" x14ac:dyDescent="0.3"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22:31" ht="11.25" customHeight="1" x14ac:dyDescent="0.3"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22:31" ht="11.25" customHeight="1" x14ac:dyDescent="0.3"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22:31" ht="11.25" customHeight="1" x14ac:dyDescent="0.3"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22:31" ht="11.25" customHeight="1" x14ac:dyDescent="0.3"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22:31" ht="11.25" customHeight="1" x14ac:dyDescent="0.3"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22:31" ht="11.25" customHeight="1" x14ac:dyDescent="0.3"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22:31" ht="11.25" customHeight="1" x14ac:dyDescent="0.3"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22:31" ht="11.25" customHeight="1" x14ac:dyDescent="0.3"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22:31" ht="11.25" customHeight="1" x14ac:dyDescent="0.3"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22:31" ht="11.25" customHeight="1" x14ac:dyDescent="0.3"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22:31" ht="11.25" customHeight="1" x14ac:dyDescent="0.3"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22:31" ht="11.25" customHeight="1" x14ac:dyDescent="0.3"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22:31" ht="11.25" customHeight="1" x14ac:dyDescent="0.3"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22:31" ht="11.25" customHeight="1" x14ac:dyDescent="0.3"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22:31" ht="11.25" customHeight="1" x14ac:dyDescent="0.3"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22:31" ht="11.25" customHeight="1" x14ac:dyDescent="0.3"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22:31" ht="11.25" customHeight="1" x14ac:dyDescent="0.3"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22:31" ht="11.25" customHeight="1" x14ac:dyDescent="0.3"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22:31" ht="11.25" customHeight="1" x14ac:dyDescent="0.3"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22:31" ht="11.25" customHeight="1" x14ac:dyDescent="0.3"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22:31" ht="11.25" customHeight="1" x14ac:dyDescent="0.3"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22:31" ht="11.25" customHeight="1" x14ac:dyDescent="0.3"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22:31" ht="11.25" customHeight="1" x14ac:dyDescent="0.3"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22:31" ht="11.25" customHeight="1" x14ac:dyDescent="0.3"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22:31" ht="11.25" customHeight="1" x14ac:dyDescent="0.3"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22:31" ht="11.25" customHeight="1" x14ac:dyDescent="0.3"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22:31" ht="11.25" customHeight="1" x14ac:dyDescent="0.3"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22:31" ht="11.25" customHeight="1" x14ac:dyDescent="0.3"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22:31" ht="11.25" customHeight="1" x14ac:dyDescent="0.3"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22:31" ht="11.25" customHeight="1" x14ac:dyDescent="0.3"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22:31" ht="11.25" customHeight="1" x14ac:dyDescent="0.3"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22:31" ht="11.25" customHeight="1" x14ac:dyDescent="0.3"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22:31" ht="11.25" customHeight="1" x14ac:dyDescent="0.3"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22:31" ht="11.25" customHeight="1" x14ac:dyDescent="0.3"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22:31" ht="11.25" customHeight="1" x14ac:dyDescent="0.3"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22:31" ht="11.25" customHeight="1" x14ac:dyDescent="0.3"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22:31" ht="11.25" customHeight="1" x14ac:dyDescent="0.3"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22:31" ht="11.25" customHeight="1" x14ac:dyDescent="0.3"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22:31" ht="11.25" customHeight="1" x14ac:dyDescent="0.3"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22:31" ht="11.25" customHeight="1" x14ac:dyDescent="0.3"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22:31" ht="11.25" customHeight="1" x14ac:dyDescent="0.3"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22:31" ht="11.25" customHeight="1" x14ac:dyDescent="0.3"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22:31" ht="11.25" customHeight="1" x14ac:dyDescent="0.3"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22:31" ht="11.25" customHeight="1" x14ac:dyDescent="0.3"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22:31" ht="11.25" customHeight="1" x14ac:dyDescent="0.3"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22:31" ht="11.25" customHeight="1" x14ac:dyDescent="0.3"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22:31" ht="11.25" customHeight="1" x14ac:dyDescent="0.3"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22:31" ht="11.25" customHeight="1" x14ac:dyDescent="0.3"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22:31" ht="11.25" customHeight="1" x14ac:dyDescent="0.3"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22:31" ht="11.25" customHeight="1" x14ac:dyDescent="0.3"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22:31" ht="11.25" customHeight="1" x14ac:dyDescent="0.3"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22:31" ht="11.25" customHeight="1" x14ac:dyDescent="0.3"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22:31" ht="11.25" customHeight="1" x14ac:dyDescent="0.3"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22:31" ht="11.25" customHeight="1" x14ac:dyDescent="0.3"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22:31" ht="11.25" customHeight="1" x14ac:dyDescent="0.3"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22:31" ht="11.25" customHeight="1" x14ac:dyDescent="0.3"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22:31" ht="11.25" customHeight="1" x14ac:dyDescent="0.3"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7A94-3B3D-4586-989F-BBA024B4E641}">
  <dimension ref="A1:J561"/>
  <sheetViews>
    <sheetView showGridLines="0" workbookViewId="0"/>
  </sheetViews>
  <sheetFormatPr defaultRowHeight="11.25" customHeight="1" x14ac:dyDescent="0.2"/>
  <cols>
    <col min="1" max="1" width="32.33203125" style="14" bestFit="1" customWidth="1"/>
    <col min="2" max="2" width="23.21875" style="39" bestFit="1" customWidth="1"/>
    <col min="3" max="3" width="24.21875" style="39" bestFit="1" customWidth="1"/>
    <col min="4" max="4" width="24.44140625" style="39" bestFit="1" customWidth="1"/>
    <col min="5" max="5" width="25.5546875" style="39" bestFit="1" customWidth="1"/>
    <col min="6" max="6" width="22.44140625" style="39" bestFit="1" customWidth="1"/>
    <col min="7" max="7" width="23.44140625" style="39" bestFit="1" customWidth="1"/>
    <col min="8" max="8" width="17.109375" style="40" bestFit="1" customWidth="1"/>
    <col min="9" max="9" width="15" style="40" bestFit="1" customWidth="1"/>
    <col min="10" max="10" width="12.6640625" style="40" bestFit="1" customWidth="1"/>
    <col min="11" max="16384" width="8.88671875" style="14"/>
  </cols>
  <sheetData>
    <row r="1" spans="1:10" ht="11.25" customHeight="1" x14ac:dyDescent="0.2">
      <c r="A1" s="38" t="s">
        <v>674</v>
      </c>
      <c r="B1" s="39" t="s">
        <v>675</v>
      </c>
      <c r="C1" s="39" t="s">
        <v>676</v>
      </c>
      <c r="D1" s="39" t="s">
        <v>677</v>
      </c>
      <c r="E1" s="39" t="s">
        <v>678</v>
      </c>
      <c r="F1" s="39" t="s">
        <v>679</v>
      </c>
      <c r="G1" s="39" t="s">
        <v>680</v>
      </c>
      <c r="H1" s="40" t="s">
        <v>681</v>
      </c>
      <c r="I1" s="40" t="s">
        <v>682</v>
      </c>
      <c r="J1" s="40" t="s">
        <v>683</v>
      </c>
    </row>
    <row r="2" spans="1:10" ht="11.25" customHeight="1" x14ac:dyDescent="0.2">
      <c r="A2" s="41" t="s">
        <v>26</v>
      </c>
      <c r="B2" s="39">
        <v>1279696.5023999999</v>
      </c>
      <c r="C2" s="39">
        <v>1748300.3840946418</v>
      </c>
      <c r="D2" s="39">
        <v>24069790.248522393</v>
      </c>
      <c r="E2" s="39">
        <v>34510283.768716857</v>
      </c>
      <c r="F2" s="39">
        <v>12316947.714523397</v>
      </c>
      <c r="G2" s="39">
        <v>7388075.9694412258</v>
      </c>
      <c r="H2" s="40">
        <v>0.43034786104662159</v>
      </c>
      <c r="I2" s="40">
        <v>-0.40016990080020753</v>
      </c>
      <c r="J2" s="40">
        <v>0.15876803158241737</v>
      </c>
    </row>
    <row r="3" spans="1:10" ht="11.25" customHeight="1" x14ac:dyDescent="0.2">
      <c r="A3" s="42" t="s">
        <v>39</v>
      </c>
      <c r="B3" s="39">
        <v>1279696.5023999999</v>
      </c>
      <c r="C3" s="39">
        <v>1748300.3840946418</v>
      </c>
      <c r="D3" s="39">
        <v>1473917.3007683991</v>
      </c>
      <c r="E3" s="39">
        <v>2091838.1075361103</v>
      </c>
      <c r="F3" s="39">
        <v>1853042.9049102</v>
      </c>
      <c r="G3" s="39">
        <v>1110993.3456023629</v>
      </c>
      <c r="H3" s="40">
        <v>0.39458136330234894</v>
      </c>
      <c r="I3" s="40">
        <v>-0.40044920565063624</v>
      </c>
      <c r="J3" s="40">
        <v>7.477768607120594E-2</v>
      </c>
    </row>
    <row r="4" spans="1:10" ht="11.25" customHeight="1" x14ac:dyDescent="0.2">
      <c r="A4" s="43" t="s">
        <v>40</v>
      </c>
      <c r="B4" s="39">
        <v>1279696.5023999999</v>
      </c>
      <c r="C4" s="39">
        <v>1748300.3840946418</v>
      </c>
      <c r="D4" s="39">
        <v>1473917.3007683991</v>
      </c>
      <c r="E4" s="39">
        <v>2091838.1075361103</v>
      </c>
      <c r="F4" s="39">
        <v>1853042.9049102</v>
      </c>
      <c r="G4" s="39">
        <v>1110993.3456023629</v>
      </c>
      <c r="H4" s="40">
        <v>0.39458136330234894</v>
      </c>
      <c r="I4" s="40">
        <v>-0.40044920565063624</v>
      </c>
      <c r="J4" s="40">
        <v>7.477768607120594E-2</v>
      </c>
    </row>
    <row r="5" spans="1:10" ht="11.25" customHeight="1" x14ac:dyDescent="0.2">
      <c r="A5" s="44" t="s">
        <v>41</v>
      </c>
      <c r="B5" s="39">
        <v>545109.6</v>
      </c>
      <c r="C5" s="39">
        <v>744719.79978561238</v>
      </c>
      <c r="D5" s="39">
        <v>608885.40891999984</v>
      </c>
      <c r="E5" s="39">
        <v>862826.873092897</v>
      </c>
      <c r="F5" s="39">
        <v>913316.17021000013</v>
      </c>
      <c r="G5" s="39">
        <v>547579.43534152419</v>
      </c>
      <c r="H5" s="40">
        <v>0.39302740519040813</v>
      </c>
      <c r="I5" s="40">
        <v>-0.40044920565063646</v>
      </c>
      <c r="J5" s="40">
        <v>4.2477847542521152E-2</v>
      </c>
    </row>
    <row r="6" spans="1:10" ht="11.25" customHeight="1" x14ac:dyDescent="0.2">
      <c r="A6" s="45" t="s">
        <v>25</v>
      </c>
      <c r="B6" s="39">
        <v>545109.6</v>
      </c>
      <c r="C6" s="39">
        <v>744719.79978561238</v>
      </c>
      <c r="D6" s="39">
        <v>608885.40891999984</v>
      </c>
      <c r="E6" s="39">
        <v>862826.873092897</v>
      </c>
      <c r="F6" s="39">
        <v>913316.17021000013</v>
      </c>
      <c r="G6" s="39">
        <v>547579.43534152419</v>
      </c>
      <c r="H6" s="40">
        <v>0.39302740519040813</v>
      </c>
      <c r="I6" s="40">
        <v>-0.40044920565063646</v>
      </c>
      <c r="J6" s="40">
        <v>4.2477847542521152E-2</v>
      </c>
    </row>
    <row r="7" spans="1:10" ht="11.25" customHeight="1" x14ac:dyDescent="0.2">
      <c r="A7" s="46" t="s">
        <v>25</v>
      </c>
      <c r="B7" s="39">
        <v>545109.6</v>
      </c>
      <c r="C7" s="39">
        <v>744719.79978561238</v>
      </c>
      <c r="D7" s="39">
        <v>608885.40891999984</v>
      </c>
      <c r="E7" s="39">
        <v>862826.873092897</v>
      </c>
      <c r="F7" s="39">
        <v>913316.17021000013</v>
      </c>
      <c r="G7" s="39">
        <v>547579.43534152419</v>
      </c>
      <c r="H7" s="40">
        <v>0.39302740519040813</v>
      </c>
      <c r="I7" s="40">
        <v>-0.40044920565063646</v>
      </c>
      <c r="J7" s="40">
        <v>4.2477847542521152E-2</v>
      </c>
    </row>
    <row r="8" spans="1:10" ht="11.25" customHeight="1" x14ac:dyDescent="0.2">
      <c r="A8" s="47" t="s">
        <v>25</v>
      </c>
      <c r="B8" s="39">
        <v>545109.6</v>
      </c>
      <c r="C8" s="39">
        <v>744719.79978561238</v>
      </c>
      <c r="D8" s="39">
        <v>608885.40891999984</v>
      </c>
      <c r="E8" s="39">
        <v>862826.873092897</v>
      </c>
      <c r="F8" s="39">
        <v>913316.17021000013</v>
      </c>
      <c r="G8" s="39">
        <v>547579.43534152419</v>
      </c>
      <c r="H8" s="40">
        <v>0.39302740519040813</v>
      </c>
      <c r="I8" s="40">
        <v>-0.40044920565063646</v>
      </c>
      <c r="J8" s="40">
        <v>4.2477847542521152E-2</v>
      </c>
    </row>
    <row r="9" spans="1:10" ht="11.25" customHeight="1" x14ac:dyDescent="0.2">
      <c r="A9" s="48" t="s">
        <v>35</v>
      </c>
      <c r="B9" s="39">
        <v>0</v>
      </c>
      <c r="C9" s="39">
        <v>0</v>
      </c>
      <c r="D9" s="39">
        <v>267268.63377999997</v>
      </c>
      <c r="E9" s="39">
        <v>374407.60181049386</v>
      </c>
      <c r="F9" s="39">
        <v>883384.41454000014</v>
      </c>
      <c r="G9" s="39">
        <v>529633.82745330466</v>
      </c>
      <c r="H9" s="40">
        <v>0.4008662240503853</v>
      </c>
      <c r="I9" s="40">
        <v>-0.40044920565063635</v>
      </c>
      <c r="J9" s="40">
        <v>-0.21432317883854257</v>
      </c>
    </row>
    <row r="10" spans="1:10" ht="11.25" customHeight="1" x14ac:dyDescent="0.2">
      <c r="A10" s="49">
        <v>44440</v>
      </c>
      <c r="B10" s="39">
        <v>0</v>
      </c>
      <c r="C10" s="39">
        <v>0</v>
      </c>
      <c r="D10" s="39">
        <v>20313.477650000001</v>
      </c>
      <c r="E10" s="39">
        <v>28456.464732887398</v>
      </c>
      <c r="F10" s="39">
        <v>67140.72395</v>
      </c>
      <c r="G10" s="39">
        <v>40254.274377413851</v>
      </c>
      <c r="H10" s="40">
        <v>0.40086622405038552</v>
      </c>
      <c r="I10" s="40">
        <v>-0.40044920565063624</v>
      </c>
      <c r="J10" s="40">
        <v>-0.21432317883854257</v>
      </c>
    </row>
    <row r="11" spans="1:10" ht="11.25" customHeight="1" x14ac:dyDescent="0.2">
      <c r="A11" s="49">
        <v>44470</v>
      </c>
      <c r="B11" s="39">
        <v>0</v>
      </c>
      <c r="C11" s="39">
        <v>0</v>
      </c>
      <c r="D11" s="39">
        <v>20830.518540000001</v>
      </c>
      <c r="E11" s="39">
        <v>29180.769852141348</v>
      </c>
      <c r="F11" s="39">
        <v>68849.663220000002</v>
      </c>
      <c r="G11" s="39">
        <v>41278.870274237175</v>
      </c>
      <c r="H11" s="40">
        <v>0.4008662240503853</v>
      </c>
      <c r="I11" s="40">
        <v>-0.40044920565063624</v>
      </c>
      <c r="J11" s="40">
        <v>-0.21432317883854257</v>
      </c>
    </row>
    <row r="12" spans="1:10" ht="11.25" customHeight="1" x14ac:dyDescent="0.2">
      <c r="A12" s="49">
        <v>44501</v>
      </c>
      <c r="B12" s="39">
        <v>0</v>
      </c>
      <c r="C12" s="39">
        <v>0</v>
      </c>
      <c r="D12" s="39">
        <v>21173.097779999996</v>
      </c>
      <c r="E12" s="39">
        <v>29660.677538518194</v>
      </c>
      <c r="F12" s="39">
        <v>69981.966539999994</v>
      </c>
      <c r="G12" s="39">
        <v>41957.743629187593</v>
      </c>
      <c r="H12" s="40">
        <v>0.40086622405038552</v>
      </c>
      <c r="I12" s="40">
        <v>-0.40044920565063624</v>
      </c>
      <c r="J12" s="40">
        <v>-0.21432317883854246</v>
      </c>
    </row>
    <row r="13" spans="1:10" ht="11.25" customHeight="1" x14ac:dyDescent="0.2">
      <c r="A13" s="49">
        <v>44531</v>
      </c>
      <c r="B13" s="39">
        <v>0</v>
      </c>
      <c r="C13" s="39">
        <v>0</v>
      </c>
      <c r="D13" s="39">
        <v>23723.409899999999</v>
      </c>
      <c r="E13" s="39">
        <v>33233.323648212528</v>
      </c>
      <c r="F13" s="39">
        <v>78411.335699999996</v>
      </c>
      <c r="G13" s="39">
        <v>47011.578604929622</v>
      </c>
      <c r="H13" s="40">
        <v>0.4008662240503853</v>
      </c>
      <c r="I13" s="40">
        <v>-0.40044920565063624</v>
      </c>
      <c r="J13" s="40">
        <v>-0.21432317883854257</v>
      </c>
    </row>
    <row r="14" spans="1:10" ht="11.25" customHeight="1" x14ac:dyDescent="0.2">
      <c r="A14" s="49">
        <v>44562</v>
      </c>
      <c r="B14" s="39">
        <v>0</v>
      </c>
      <c r="C14" s="39">
        <v>0</v>
      </c>
      <c r="D14" s="39">
        <v>26710.044869999998</v>
      </c>
      <c r="E14" s="39">
        <v>37417.199701253267</v>
      </c>
      <c r="F14" s="39">
        <v>88282.852409999992</v>
      </c>
      <c r="G14" s="39">
        <v>52930.054289843138</v>
      </c>
      <c r="H14" s="40">
        <v>0.40086622405038552</v>
      </c>
      <c r="I14" s="40">
        <v>-0.40044920565063624</v>
      </c>
      <c r="J14" s="40">
        <v>-0.21432317883854257</v>
      </c>
    </row>
    <row r="15" spans="1:10" ht="11.25" customHeight="1" x14ac:dyDescent="0.2">
      <c r="A15" s="49">
        <v>44593</v>
      </c>
      <c r="B15" s="39">
        <v>0</v>
      </c>
      <c r="C15" s="39">
        <v>0</v>
      </c>
      <c r="D15" s="39">
        <v>23667.460689999996</v>
      </c>
      <c r="E15" s="39">
        <v>33154.946289661224</v>
      </c>
      <c r="F15" s="39">
        <v>78226.410669999997</v>
      </c>
      <c r="G15" s="39">
        <v>46900.70665629804</v>
      </c>
      <c r="H15" s="40">
        <v>0.4008662240503853</v>
      </c>
      <c r="I15" s="40">
        <v>-0.40044920565063624</v>
      </c>
      <c r="J15" s="40">
        <v>-0.21432317883854246</v>
      </c>
    </row>
    <row r="16" spans="1:10" ht="11.25" customHeight="1" x14ac:dyDescent="0.2">
      <c r="A16" s="49">
        <v>44621</v>
      </c>
      <c r="B16" s="39">
        <v>0</v>
      </c>
      <c r="C16" s="39">
        <v>0</v>
      </c>
      <c r="D16" s="39">
        <v>23526.001649999998</v>
      </c>
      <c r="E16" s="39">
        <v>32956.781098438638</v>
      </c>
      <c r="F16" s="39">
        <v>77758.855949999997</v>
      </c>
      <c r="G16" s="39">
        <v>46620.383852520252</v>
      </c>
      <c r="H16" s="40">
        <v>0.40086622405038552</v>
      </c>
      <c r="I16" s="40">
        <v>-0.40044920565063624</v>
      </c>
      <c r="J16" s="40">
        <v>-0.21432317883854246</v>
      </c>
    </row>
    <row r="17" spans="1:10" ht="11.25" customHeight="1" x14ac:dyDescent="0.2">
      <c r="A17" s="49">
        <v>44652</v>
      </c>
      <c r="B17" s="39">
        <v>0</v>
      </c>
      <c r="C17" s="39">
        <v>0</v>
      </c>
      <c r="D17" s="39">
        <v>21112.964189999999</v>
      </c>
      <c r="E17" s="39">
        <v>29576.4384233563</v>
      </c>
      <c r="F17" s="39">
        <v>69783.211169999995</v>
      </c>
      <c r="G17" s="39">
        <v>41838.57968922289</v>
      </c>
      <c r="H17" s="40">
        <v>0.4008662240503853</v>
      </c>
      <c r="I17" s="40">
        <v>-0.40044920565063624</v>
      </c>
      <c r="J17" s="40">
        <v>-0.21432317883854257</v>
      </c>
    </row>
    <row r="18" spans="1:10" ht="11.25" customHeight="1" x14ac:dyDescent="0.2">
      <c r="A18" s="49">
        <v>44682</v>
      </c>
      <c r="B18" s="39">
        <v>0</v>
      </c>
      <c r="C18" s="39">
        <v>0</v>
      </c>
      <c r="D18" s="39">
        <v>21509.670409999999</v>
      </c>
      <c r="E18" s="39">
        <v>30132.17076782501</v>
      </c>
      <c r="F18" s="39">
        <v>71094.416630000007</v>
      </c>
      <c r="G18" s="39">
        <v>42624.713964321119</v>
      </c>
      <c r="H18" s="40">
        <v>0.40086622405038574</v>
      </c>
      <c r="I18" s="40">
        <v>-0.40044920565063624</v>
      </c>
      <c r="J18" s="40">
        <v>-0.21432317883854246</v>
      </c>
    </row>
    <row r="19" spans="1:10" ht="11.25" customHeight="1" x14ac:dyDescent="0.2">
      <c r="A19" s="49">
        <v>44713</v>
      </c>
      <c r="B19" s="39">
        <v>0</v>
      </c>
      <c r="C19" s="39">
        <v>0</v>
      </c>
      <c r="D19" s="39">
        <v>20657.676649999998</v>
      </c>
      <c r="E19" s="39">
        <v>28938.641486339315</v>
      </c>
      <c r="F19" s="39">
        <v>68278.380949999992</v>
      </c>
      <c r="G19" s="39">
        <v>40936.357535460964</v>
      </c>
      <c r="H19" s="40">
        <v>0.40086622405038552</v>
      </c>
      <c r="I19" s="40">
        <v>-0.40044920565063624</v>
      </c>
      <c r="J19" s="40">
        <v>-0.21432317883854246</v>
      </c>
    </row>
    <row r="20" spans="1:10" ht="11.25" customHeight="1" x14ac:dyDescent="0.2">
      <c r="A20" s="49">
        <v>44743</v>
      </c>
      <c r="B20" s="39">
        <v>0</v>
      </c>
      <c r="C20" s="39">
        <v>0</v>
      </c>
      <c r="D20" s="39">
        <v>22071.659639999998</v>
      </c>
      <c r="E20" s="39">
        <v>30919.442498412085</v>
      </c>
      <c r="F20" s="39">
        <v>72951.92052</v>
      </c>
      <c r="G20" s="39">
        <v>43738.381897077648</v>
      </c>
      <c r="H20" s="40">
        <v>0.4008662240503853</v>
      </c>
      <c r="I20" s="40">
        <v>-0.40044920565063624</v>
      </c>
      <c r="J20" s="40">
        <v>-0.21432317883854257</v>
      </c>
    </row>
    <row r="21" spans="1:10" ht="11.25" customHeight="1" x14ac:dyDescent="0.2">
      <c r="A21" s="49">
        <v>44774</v>
      </c>
      <c r="B21" s="39">
        <v>0</v>
      </c>
      <c r="C21" s="39">
        <v>0</v>
      </c>
      <c r="D21" s="39">
        <v>21972.651809999996</v>
      </c>
      <c r="E21" s="39">
        <v>30780.745773448565</v>
      </c>
      <c r="F21" s="39">
        <v>72624.676829999997</v>
      </c>
      <c r="G21" s="39">
        <v>43542.182682792329</v>
      </c>
      <c r="H21" s="40">
        <v>0.40086622405038552</v>
      </c>
      <c r="I21" s="40">
        <v>-0.40044920565063624</v>
      </c>
      <c r="J21" s="40">
        <v>-0.21432317883854257</v>
      </c>
    </row>
    <row r="22" spans="1:10" ht="11.25" customHeight="1" x14ac:dyDescent="0.2">
      <c r="A22" s="48" t="s">
        <v>25</v>
      </c>
      <c r="B22" s="39">
        <v>545109.6</v>
      </c>
      <c r="C22" s="39">
        <v>744719.79978561238</v>
      </c>
      <c r="D22" s="39">
        <v>0</v>
      </c>
      <c r="E22" s="39">
        <v>0</v>
      </c>
      <c r="F22" s="39">
        <v>0</v>
      </c>
      <c r="G22" s="39">
        <v>0</v>
      </c>
      <c r="H22" s="40">
        <v>0.36618360745364309</v>
      </c>
      <c r="I22" s="40">
        <v>0</v>
      </c>
      <c r="J22" s="40">
        <v>0.36618360745364309</v>
      </c>
    </row>
    <row r="23" spans="1:10" ht="11.25" customHeight="1" x14ac:dyDescent="0.2">
      <c r="A23" s="49">
        <v>44440</v>
      </c>
      <c r="B23" s="39">
        <v>42634.079999999994</v>
      </c>
      <c r="C23" s="39">
        <v>58245.981214867214</v>
      </c>
      <c r="D23" s="39">
        <v>0</v>
      </c>
      <c r="E23" s="39">
        <v>0</v>
      </c>
      <c r="F23" s="39">
        <v>0</v>
      </c>
      <c r="G23" s="39">
        <v>0</v>
      </c>
      <c r="H23" s="40">
        <v>0.36618360745364331</v>
      </c>
      <c r="I23" s="40">
        <v>0</v>
      </c>
      <c r="J23" s="40">
        <v>0.36618360745364331</v>
      </c>
    </row>
    <row r="24" spans="1:10" ht="11.25" customHeight="1" x14ac:dyDescent="0.2">
      <c r="A24" s="49">
        <v>44470</v>
      </c>
      <c r="B24" s="39">
        <v>42429.599999999999</v>
      </c>
      <c r="C24" s="39">
        <v>57966.623990815096</v>
      </c>
      <c r="D24" s="39">
        <v>0</v>
      </c>
      <c r="E24" s="39">
        <v>0</v>
      </c>
      <c r="F24" s="39">
        <v>0</v>
      </c>
      <c r="G24" s="39">
        <v>0</v>
      </c>
      <c r="H24" s="40">
        <v>0.36618360745364309</v>
      </c>
      <c r="I24" s="40">
        <v>0</v>
      </c>
      <c r="J24" s="40">
        <v>0.36618360745364309</v>
      </c>
    </row>
    <row r="25" spans="1:10" ht="11.25" customHeight="1" x14ac:dyDescent="0.2">
      <c r="A25" s="49">
        <v>44501</v>
      </c>
      <c r="B25" s="39">
        <v>45053.759999999995</v>
      </c>
      <c r="C25" s="39">
        <v>61551.708366150648</v>
      </c>
      <c r="D25" s="39">
        <v>0</v>
      </c>
      <c r="E25" s="39">
        <v>0</v>
      </c>
      <c r="F25" s="39">
        <v>0</v>
      </c>
      <c r="G25" s="39">
        <v>0</v>
      </c>
      <c r="H25" s="40">
        <v>0.36618360745364331</v>
      </c>
      <c r="I25" s="40">
        <v>0</v>
      </c>
      <c r="J25" s="40">
        <v>0.36618360745364331</v>
      </c>
    </row>
    <row r="26" spans="1:10" ht="11.25" customHeight="1" x14ac:dyDescent="0.2">
      <c r="A26" s="49">
        <v>44531</v>
      </c>
      <c r="B26" s="39">
        <v>47575.68</v>
      </c>
      <c r="C26" s="39">
        <v>64997.11412946014</v>
      </c>
      <c r="D26" s="39">
        <v>0</v>
      </c>
      <c r="E26" s="39">
        <v>0</v>
      </c>
      <c r="F26" s="39">
        <v>0</v>
      </c>
      <c r="G26" s="39">
        <v>0</v>
      </c>
      <c r="H26" s="40">
        <v>0.36618360745364309</v>
      </c>
      <c r="I26" s="40">
        <v>0</v>
      </c>
      <c r="J26" s="40">
        <v>0.36618360745364309</v>
      </c>
    </row>
    <row r="27" spans="1:10" ht="11.25" customHeight="1" x14ac:dyDescent="0.2">
      <c r="A27" s="49">
        <v>44562</v>
      </c>
      <c r="B27" s="39">
        <v>48257.279999999999</v>
      </c>
      <c r="C27" s="39">
        <v>65928.304876300535</v>
      </c>
      <c r="D27" s="39">
        <v>0</v>
      </c>
      <c r="E27" s="39">
        <v>0</v>
      </c>
      <c r="F27" s="39">
        <v>0</v>
      </c>
      <c r="G27" s="39">
        <v>0</v>
      </c>
      <c r="H27" s="40">
        <v>0.36618360745364309</v>
      </c>
      <c r="I27" s="40">
        <v>0</v>
      </c>
      <c r="J27" s="40">
        <v>0.36618360745364309</v>
      </c>
    </row>
    <row r="28" spans="1:10" ht="11.25" customHeight="1" x14ac:dyDescent="0.2">
      <c r="A28" s="49">
        <v>44593</v>
      </c>
      <c r="B28" s="39">
        <v>47746.079999999994</v>
      </c>
      <c r="C28" s="39">
        <v>65229.911816170243</v>
      </c>
      <c r="D28" s="39">
        <v>0</v>
      </c>
      <c r="E28" s="39">
        <v>0</v>
      </c>
      <c r="F28" s="39">
        <v>0</v>
      </c>
      <c r="G28" s="39">
        <v>0</v>
      </c>
      <c r="H28" s="40">
        <v>0.36618360745364331</v>
      </c>
      <c r="I28" s="40">
        <v>0</v>
      </c>
      <c r="J28" s="40">
        <v>0.36618360745364331</v>
      </c>
    </row>
    <row r="29" spans="1:10" ht="11.25" customHeight="1" x14ac:dyDescent="0.2">
      <c r="A29" s="49">
        <v>44621</v>
      </c>
      <c r="B29" s="39">
        <v>48427.68</v>
      </c>
      <c r="C29" s="39">
        <v>66161.102563010645</v>
      </c>
      <c r="D29" s="39">
        <v>0</v>
      </c>
      <c r="E29" s="39">
        <v>0</v>
      </c>
      <c r="F29" s="39">
        <v>0</v>
      </c>
      <c r="G29" s="39">
        <v>0</v>
      </c>
      <c r="H29" s="40">
        <v>0.36618360745364309</v>
      </c>
      <c r="I29" s="40">
        <v>0</v>
      </c>
      <c r="J29" s="40">
        <v>0.36618360745364309</v>
      </c>
    </row>
    <row r="30" spans="1:10" ht="11.25" customHeight="1" x14ac:dyDescent="0.2">
      <c r="A30" s="49">
        <v>44652</v>
      </c>
      <c r="B30" s="39">
        <v>44508.479999999996</v>
      </c>
      <c r="C30" s="39">
        <v>60806.755768678326</v>
      </c>
      <c r="D30" s="39">
        <v>0</v>
      </c>
      <c r="E30" s="39">
        <v>0</v>
      </c>
      <c r="F30" s="39">
        <v>0</v>
      </c>
      <c r="G30" s="39">
        <v>0</v>
      </c>
      <c r="H30" s="40">
        <v>0.36618360745364331</v>
      </c>
      <c r="I30" s="40">
        <v>0</v>
      </c>
      <c r="J30" s="40">
        <v>0.36618360745364331</v>
      </c>
    </row>
    <row r="31" spans="1:10" ht="11.25" customHeight="1" x14ac:dyDescent="0.2">
      <c r="A31" s="49">
        <v>44682</v>
      </c>
      <c r="B31" s="39">
        <v>44576.639999999999</v>
      </c>
      <c r="C31" s="39">
        <v>60899.87484336237</v>
      </c>
      <c r="D31" s="39">
        <v>0</v>
      </c>
      <c r="E31" s="39">
        <v>0</v>
      </c>
      <c r="F31" s="39">
        <v>0</v>
      </c>
      <c r="G31" s="39">
        <v>0</v>
      </c>
      <c r="H31" s="40">
        <v>0.36618360745364331</v>
      </c>
      <c r="I31" s="40">
        <v>0</v>
      </c>
      <c r="J31" s="40">
        <v>0.36618360745364331</v>
      </c>
    </row>
    <row r="32" spans="1:10" ht="11.25" customHeight="1" x14ac:dyDescent="0.2">
      <c r="A32" s="49">
        <v>44713</v>
      </c>
      <c r="B32" s="39">
        <v>44406.239999999998</v>
      </c>
      <c r="C32" s="39">
        <v>60667.077156652267</v>
      </c>
      <c r="D32" s="39">
        <v>0</v>
      </c>
      <c r="E32" s="39">
        <v>0</v>
      </c>
      <c r="F32" s="39">
        <v>0</v>
      </c>
      <c r="G32" s="39">
        <v>0</v>
      </c>
      <c r="H32" s="40">
        <v>0.36618360745364331</v>
      </c>
      <c r="I32" s="40">
        <v>0</v>
      </c>
      <c r="J32" s="40">
        <v>0.36618360745364331</v>
      </c>
    </row>
    <row r="33" spans="1:10" ht="11.25" customHeight="1" x14ac:dyDescent="0.2">
      <c r="A33" s="49">
        <v>44743</v>
      </c>
      <c r="B33" s="39">
        <v>45087.839999999997</v>
      </c>
      <c r="C33" s="39">
        <v>61598.26790349267</v>
      </c>
      <c r="D33" s="39">
        <v>0</v>
      </c>
      <c r="E33" s="39">
        <v>0</v>
      </c>
      <c r="F33" s="39">
        <v>0</v>
      </c>
      <c r="G33" s="39">
        <v>0</v>
      </c>
      <c r="H33" s="40">
        <v>0.36618360745364331</v>
      </c>
      <c r="I33" s="40">
        <v>0</v>
      </c>
      <c r="J33" s="40">
        <v>0.36618360745364331</v>
      </c>
    </row>
    <row r="34" spans="1:10" ht="11.25" customHeight="1" x14ac:dyDescent="0.2">
      <c r="A34" s="49">
        <v>44774</v>
      </c>
      <c r="B34" s="39">
        <v>44406.239999999998</v>
      </c>
      <c r="C34" s="39">
        <v>60667.077156652267</v>
      </c>
      <c r="D34" s="39">
        <v>0</v>
      </c>
      <c r="E34" s="39">
        <v>0</v>
      </c>
      <c r="F34" s="39">
        <v>0</v>
      </c>
      <c r="G34" s="39">
        <v>0</v>
      </c>
      <c r="H34" s="40">
        <v>0.36618360745364331</v>
      </c>
      <c r="I34" s="40">
        <v>0</v>
      </c>
      <c r="J34" s="40">
        <v>0.36618360745364331</v>
      </c>
    </row>
    <row r="35" spans="1:10" ht="11.25" customHeight="1" x14ac:dyDescent="0.2">
      <c r="A35" s="48" t="s">
        <v>34</v>
      </c>
      <c r="B35" s="39">
        <v>0</v>
      </c>
      <c r="C35" s="39">
        <v>0</v>
      </c>
      <c r="D35" s="39">
        <v>341616.77514000004</v>
      </c>
      <c r="E35" s="39">
        <v>488419.27128240321</v>
      </c>
      <c r="F35" s="39">
        <v>29931.755670000002</v>
      </c>
      <c r="G35" s="39">
        <v>17945.607888219572</v>
      </c>
      <c r="H35" s="40">
        <v>0.42972859304769528</v>
      </c>
      <c r="I35" s="40">
        <v>-0.40044920565063635</v>
      </c>
      <c r="J35" s="40">
        <v>0.36284990299036912</v>
      </c>
    </row>
    <row r="36" spans="1:10" ht="11.25" customHeight="1" x14ac:dyDescent="0.2">
      <c r="A36" s="49">
        <v>44440</v>
      </c>
      <c r="B36" s="39">
        <v>0</v>
      </c>
      <c r="C36" s="39">
        <v>0</v>
      </c>
      <c r="D36" s="39">
        <v>18931.609840000001</v>
      </c>
      <c r="E36" s="39">
        <v>27067.063900671106</v>
      </c>
      <c r="F36" s="39">
        <v>1658.7485199999999</v>
      </c>
      <c r="G36" s="39">
        <v>994.50399279183148</v>
      </c>
      <c r="H36" s="40">
        <v>0.42972859304769528</v>
      </c>
      <c r="I36" s="40">
        <v>-0.40044920565063624</v>
      </c>
      <c r="J36" s="40">
        <v>0.36284990299036912</v>
      </c>
    </row>
    <row r="37" spans="1:10" ht="11.25" customHeight="1" x14ac:dyDescent="0.2">
      <c r="A37" s="49">
        <v>44470</v>
      </c>
      <c r="B37" s="39">
        <v>0</v>
      </c>
      <c r="C37" s="39">
        <v>0</v>
      </c>
      <c r="D37" s="39">
        <v>19486.624759999999</v>
      </c>
      <c r="E37" s="39">
        <v>27860.584601363185</v>
      </c>
      <c r="F37" s="39">
        <v>1707.37778</v>
      </c>
      <c r="G37" s="39">
        <v>1023.6597042534531</v>
      </c>
      <c r="H37" s="40">
        <v>0.42972859304769551</v>
      </c>
      <c r="I37" s="40">
        <v>-0.40044920565063635</v>
      </c>
      <c r="J37" s="40">
        <v>0.36284990299036934</v>
      </c>
    </row>
    <row r="38" spans="1:10" ht="11.25" customHeight="1" x14ac:dyDescent="0.2">
      <c r="A38" s="49">
        <v>44501</v>
      </c>
      <c r="B38" s="39">
        <v>0</v>
      </c>
      <c r="C38" s="39">
        <v>0</v>
      </c>
      <c r="D38" s="39">
        <v>28809.857040000003</v>
      </c>
      <c r="E38" s="39">
        <v>41190.276371704444</v>
      </c>
      <c r="F38" s="39">
        <v>2524.2601199999999</v>
      </c>
      <c r="G38" s="39">
        <v>1513.4221600904202</v>
      </c>
      <c r="H38" s="40">
        <v>0.42972859304769528</v>
      </c>
      <c r="I38" s="40">
        <v>-0.40044920565063624</v>
      </c>
      <c r="J38" s="40">
        <v>0.36284990299036912</v>
      </c>
    </row>
    <row r="39" spans="1:10" ht="11.25" customHeight="1" x14ac:dyDescent="0.2">
      <c r="A39" s="49">
        <v>44531</v>
      </c>
      <c r="B39" s="39">
        <v>0</v>
      </c>
      <c r="C39" s="39">
        <v>0</v>
      </c>
      <c r="D39" s="39">
        <v>36315.288159999996</v>
      </c>
      <c r="E39" s="39">
        <v>51921.005847118431</v>
      </c>
      <c r="F39" s="39">
        <v>3181.8704799999996</v>
      </c>
      <c r="G39" s="39">
        <v>1907.6929738007912</v>
      </c>
      <c r="H39" s="40">
        <v>0.42972859304769551</v>
      </c>
      <c r="I39" s="40">
        <v>-0.40044920565063624</v>
      </c>
      <c r="J39" s="40">
        <v>0.36284990299036934</v>
      </c>
    </row>
    <row r="40" spans="1:10" ht="11.25" customHeight="1" x14ac:dyDescent="0.2">
      <c r="A40" s="49">
        <v>44562</v>
      </c>
      <c r="B40" s="39">
        <v>0</v>
      </c>
      <c r="C40" s="39">
        <v>0</v>
      </c>
      <c r="D40" s="39">
        <v>28053.71286</v>
      </c>
      <c r="E40" s="39">
        <v>40109.19541709184</v>
      </c>
      <c r="F40" s="39">
        <v>2458.0083300000001</v>
      </c>
      <c r="G40" s="39">
        <v>1473.7008467688529</v>
      </c>
      <c r="H40" s="40">
        <v>0.42972859304769551</v>
      </c>
      <c r="I40" s="40">
        <v>-0.40044920565063635</v>
      </c>
      <c r="J40" s="40">
        <v>0.36284990299036912</v>
      </c>
    </row>
    <row r="41" spans="1:10" ht="11.25" customHeight="1" x14ac:dyDescent="0.2">
      <c r="A41" s="49">
        <v>44593</v>
      </c>
      <c r="B41" s="39">
        <v>0</v>
      </c>
      <c r="C41" s="39">
        <v>0</v>
      </c>
      <c r="D41" s="39">
        <v>25271.00044</v>
      </c>
      <c r="E41" s="39">
        <v>36130.671903988892</v>
      </c>
      <c r="F41" s="39">
        <v>2214.1928199999998</v>
      </c>
      <c r="G41" s="39">
        <v>1327.5210640736577</v>
      </c>
      <c r="H41" s="40">
        <v>0.42972859304769551</v>
      </c>
      <c r="I41" s="40">
        <v>-0.40044920565063624</v>
      </c>
      <c r="J41" s="40">
        <v>0.36284990299036912</v>
      </c>
    </row>
    <row r="42" spans="1:10" ht="11.25" customHeight="1" x14ac:dyDescent="0.2">
      <c r="A42" s="49">
        <v>44621</v>
      </c>
      <c r="B42" s="39">
        <v>0</v>
      </c>
      <c r="C42" s="39">
        <v>0</v>
      </c>
      <c r="D42" s="39">
        <v>23766.349900000001</v>
      </c>
      <c r="E42" s="39">
        <v>33979.43000440624</v>
      </c>
      <c r="F42" s="39">
        <v>2082.3584499999997</v>
      </c>
      <c r="G42" s="39">
        <v>1248.4796628176098</v>
      </c>
      <c r="H42" s="40">
        <v>0.42972859304769551</v>
      </c>
      <c r="I42" s="40">
        <v>-0.40044920565063624</v>
      </c>
      <c r="J42" s="40">
        <v>0.36284990299036934</v>
      </c>
    </row>
    <row r="43" spans="1:10" ht="11.25" customHeight="1" x14ac:dyDescent="0.2">
      <c r="A43" s="49">
        <v>44652</v>
      </c>
      <c r="B43" s="39">
        <v>0</v>
      </c>
      <c r="C43" s="39">
        <v>0</v>
      </c>
      <c r="D43" s="39">
        <v>32111.941220000001</v>
      </c>
      <c r="E43" s="39">
        <v>45911.360540500893</v>
      </c>
      <c r="F43" s="39">
        <v>2813.5819099999999</v>
      </c>
      <c r="G43" s="39">
        <v>1686.8852691074999</v>
      </c>
      <c r="H43" s="40">
        <v>0.42972859304769528</v>
      </c>
      <c r="I43" s="40">
        <v>-0.40044920565063624</v>
      </c>
      <c r="J43" s="40">
        <v>0.36284990299036912</v>
      </c>
    </row>
    <row r="44" spans="1:10" ht="11.25" customHeight="1" x14ac:dyDescent="0.2">
      <c r="A44" s="49">
        <v>44682</v>
      </c>
      <c r="B44" s="39">
        <v>0</v>
      </c>
      <c r="C44" s="39">
        <v>0</v>
      </c>
      <c r="D44" s="39">
        <v>36422.217640000003</v>
      </c>
      <c r="E44" s="39">
        <v>52073.885982114152</v>
      </c>
      <c r="F44" s="39">
        <v>3191.2394199999999</v>
      </c>
      <c r="G44" s="39">
        <v>1913.3101292200029</v>
      </c>
      <c r="H44" s="40">
        <v>0.42972859304769528</v>
      </c>
      <c r="I44" s="40">
        <v>-0.40044920565063624</v>
      </c>
      <c r="J44" s="40">
        <v>0.36284990299036912</v>
      </c>
    </row>
    <row r="45" spans="1:10" ht="11.25" customHeight="1" x14ac:dyDescent="0.2">
      <c r="A45" s="49">
        <v>44713</v>
      </c>
      <c r="B45" s="39">
        <v>0</v>
      </c>
      <c r="C45" s="39">
        <v>0</v>
      </c>
      <c r="D45" s="39">
        <v>32483.648460000004</v>
      </c>
      <c r="E45" s="39">
        <v>46442.801009771742</v>
      </c>
      <c r="F45" s="39">
        <v>2846.15013</v>
      </c>
      <c r="G45" s="39">
        <v>1706.4115712790449</v>
      </c>
      <c r="H45" s="40">
        <v>0.42972859304769528</v>
      </c>
      <c r="I45" s="40">
        <v>-0.40044920565063624</v>
      </c>
      <c r="J45" s="40">
        <v>0.36284990299036912</v>
      </c>
    </row>
    <row r="46" spans="1:10" ht="11.25" customHeight="1" x14ac:dyDescent="0.2">
      <c r="A46" s="49">
        <v>44743</v>
      </c>
      <c r="B46" s="39">
        <v>0</v>
      </c>
      <c r="C46" s="39">
        <v>0</v>
      </c>
      <c r="D46" s="39">
        <v>30788.052420000004</v>
      </c>
      <c r="E46" s="39">
        <v>44018.5588691253</v>
      </c>
      <c r="F46" s="39">
        <v>2697.5855100000003</v>
      </c>
      <c r="G46" s="39">
        <v>1617.3395353458334</v>
      </c>
      <c r="H46" s="40">
        <v>0.42972859304769551</v>
      </c>
      <c r="I46" s="40">
        <v>-0.40044920565063635</v>
      </c>
      <c r="J46" s="40">
        <v>0.36284990299036912</v>
      </c>
    </row>
    <row r="47" spans="1:10" ht="11.25" customHeight="1" x14ac:dyDescent="0.2">
      <c r="A47" s="49">
        <v>44774</v>
      </c>
      <c r="B47" s="39">
        <v>0</v>
      </c>
      <c r="C47" s="39">
        <v>0</v>
      </c>
      <c r="D47" s="39">
        <v>29176.472400000002</v>
      </c>
      <c r="E47" s="39">
        <v>41714.436834546912</v>
      </c>
      <c r="F47" s="39">
        <v>2556.3822</v>
      </c>
      <c r="G47" s="39">
        <v>1532.6809786705739</v>
      </c>
      <c r="H47" s="40">
        <v>0.42972859304769506</v>
      </c>
      <c r="I47" s="40">
        <v>-0.40044920565063635</v>
      </c>
      <c r="J47" s="40">
        <v>0.3628499029903689</v>
      </c>
    </row>
    <row r="48" spans="1:10" ht="11.25" customHeight="1" x14ac:dyDescent="0.2">
      <c r="A48" s="44" t="s">
        <v>38</v>
      </c>
      <c r="B48" s="39">
        <v>557344.31999999983</v>
      </c>
      <c r="C48" s="39">
        <v>761434.67369139765</v>
      </c>
      <c r="D48" s="39">
        <v>207263.66587</v>
      </c>
      <c r="E48" s="39">
        <v>292665.62550913688</v>
      </c>
      <c r="F48" s="39">
        <v>426757.00156</v>
      </c>
      <c r="G48" s="39">
        <v>255862.49927945071</v>
      </c>
      <c r="H48" s="40">
        <v>0.37861534103798178</v>
      </c>
      <c r="I48" s="40">
        <v>-0.40044920565063624</v>
      </c>
      <c r="J48" s="40">
        <v>9.9547839915812064E-2</v>
      </c>
    </row>
    <row r="49" spans="1:10" ht="11.25" customHeight="1" x14ac:dyDescent="0.2">
      <c r="A49" s="45" t="s">
        <v>25</v>
      </c>
      <c r="B49" s="39">
        <v>557344.31999999983</v>
      </c>
      <c r="C49" s="39">
        <v>761434.67369139765</v>
      </c>
      <c r="D49" s="39">
        <v>207263.66587</v>
      </c>
      <c r="E49" s="39">
        <v>292665.62550913688</v>
      </c>
      <c r="F49" s="39">
        <v>426757.00156</v>
      </c>
      <c r="G49" s="39">
        <v>255862.49927945071</v>
      </c>
      <c r="H49" s="40">
        <v>0.37861534103798178</v>
      </c>
      <c r="I49" s="40">
        <v>-0.40044920565063624</v>
      </c>
      <c r="J49" s="40">
        <v>9.9547839915812064E-2</v>
      </c>
    </row>
    <row r="50" spans="1:10" ht="11.25" customHeight="1" x14ac:dyDescent="0.2">
      <c r="A50" s="46" t="s">
        <v>25</v>
      </c>
      <c r="B50" s="39">
        <v>557344.31999999983</v>
      </c>
      <c r="C50" s="39">
        <v>761434.67369139765</v>
      </c>
      <c r="D50" s="39">
        <v>207263.66587</v>
      </c>
      <c r="E50" s="39">
        <v>292665.62550913688</v>
      </c>
      <c r="F50" s="39">
        <v>426757.00156</v>
      </c>
      <c r="G50" s="39">
        <v>255862.49927945071</v>
      </c>
      <c r="H50" s="40">
        <v>0.37861534103798178</v>
      </c>
      <c r="I50" s="40">
        <v>-0.40044920565063624</v>
      </c>
      <c r="J50" s="40">
        <v>9.9547839915812064E-2</v>
      </c>
    </row>
    <row r="51" spans="1:10" ht="11.25" customHeight="1" x14ac:dyDescent="0.2">
      <c r="A51" s="47" t="s">
        <v>25</v>
      </c>
      <c r="B51" s="39">
        <v>557344.31999999983</v>
      </c>
      <c r="C51" s="39">
        <v>761434.67369139765</v>
      </c>
      <c r="D51" s="39">
        <v>207263.66587</v>
      </c>
      <c r="E51" s="39">
        <v>292665.62550913688</v>
      </c>
      <c r="F51" s="39">
        <v>426757.00156</v>
      </c>
      <c r="G51" s="39">
        <v>255862.49927945071</v>
      </c>
      <c r="H51" s="40">
        <v>0.37861534103798178</v>
      </c>
      <c r="I51" s="40">
        <v>-0.40044920565063624</v>
      </c>
      <c r="J51" s="40">
        <v>9.9547839915812064E-2</v>
      </c>
    </row>
    <row r="52" spans="1:10" ht="11.25" customHeight="1" x14ac:dyDescent="0.2">
      <c r="A52" s="48" t="s">
        <v>35</v>
      </c>
      <c r="B52" s="39">
        <v>0</v>
      </c>
      <c r="C52" s="39">
        <v>0</v>
      </c>
      <c r="D52" s="39">
        <v>126987.63172999999</v>
      </c>
      <c r="E52" s="39">
        <v>177892.68416270599</v>
      </c>
      <c r="F52" s="39">
        <v>419723.38139</v>
      </c>
      <c r="G52" s="39">
        <v>251645.48671937548</v>
      </c>
      <c r="H52" s="40">
        <v>0.4008662240503853</v>
      </c>
      <c r="I52" s="40">
        <v>-0.40044920565063624</v>
      </c>
      <c r="J52" s="40">
        <v>-0.21432317883854246</v>
      </c>
    </row>
    <row r="53" spans="1:10" ht="11.25" customHeight="1" x14ac:dyDescent="0.2">
      <c r="A53" s="49">
        <v>44440</v>
      </c>
      <c r="B53" s="39">
        <v>0</v>
      </c>
      <c r="C53" s="39">
        <v>0</v>
      </c>
      <c r="D53" s="39">
        <v>12066.604590000001</v>
      </c>
      <c r="E53" s="39">
        <v>16903.698809102349</v>
      </c>
      <c r="F53" s="39">
        <v>39882.908370000005</v>
      </c>
      <c r="G53" s="39">
        <v>23911.829394196389</v>
      </c>
      <c r="H53" s="40">
        <v>0.4008662240503853</v>
      </c>
      <c r="I53" s="40">
        <v>-0.40044920565063624</v>
      </c>
      <c r="J53" s="40">
        <v>-0.21432317883854257</v>
      </c>
    </row>
    <row r="54" spans="1:10" ht="11.25" customHeight="1" x14ac:dyDescent="0.2">
      <c r="A54" s="49">
        <v>44470</v>
      </c>
      <c r="B54" s="39">
        <v>0</v>
      </c>
      <c r="C54" s="39">
        <v>0</v>
      </c>
      <c r="D54" s="39">
        <v>6578.6552399999991</v>
      </c>
      <c r="E54" s="39">
        <v>9215.8159253880822</v>
      </c>
      <c r="F54" s="39">
        <v>21743.971320000001</v>
      </c>
      <c r="G54" s="39">
        <v>13036.615277215782</v>
      </c>
      <c r="H54" s="40">
        <v>0.40086622405038552</v>
      </c>
      <c r="I54" s="40">
        <v>-0.40044920565063635</v>
      </c>
      <c r="J54" s="40">
        <v>-0.21432317883854257</v>
      </c>
    </row>
    <row r="55" spans="1:10" ht="11.25" customHeight="1" x14ac:dyDescent="0.2">
      <c r="A55" s="49">
        <v>44501</v>
      </c>
      <c r="B55" s="39">
        <v>0</v>
      </c>
      <c r="C55" s="39">
        <v>0</v>
      </c>
      <c r="D55" s="39">
        <v>7612.6695299999992</v>
      </c>
      <c r="E55" s="39">
        <v>10664.331619434523</v>
      </c>
      <c r="F55" s="39">
        <v>25161.626789999998</v>
      </c>
      <c r="G55" s="39">
        <v>15085.673329066731</v>
      </c>
      <c r="H55" s="40">
        <v>0.40086622405038552</v>
      </c>
      <c r="I55" s="40">
        <v>-0.40044920565063624</v>
      </c>
      <c r="J55" s="40">
        <v>-0.21432317883854235</v>
      </c>
    </row>
    <row r="56" spans="1:10" ht="11.25" customHeight="1" x14ac:dyDescent="0.2">
      <c r="A56" s="49">
        <v>44531</v>
      </c>
      <c r="B56" s="39">
        <v>0</v>
      </c>
      <c r="C56" s="39">
        <v>0</v>
      </c>
      <c r="D56" s="39">
        <v>8240.259039999999</v>
      </c>
      <c r="E56" s="39">
        <v>11543.500566561854</v>
      </c>
      <c r="F56" s="39">
        <v>27235.954720000002</v>
      </c>
      <c r="G56" s="39">
        <v>16329.338287239303</v>
      </c>
      <c r="H56" s="40">
        <v>0.40086622405038552</v>
      </c>
      <c r="I56" s="40">
        <v>-0.40044920565063624</v>
      </c>
      <c r="J56" s="40">
        <v>-0.21432317883854246</v>
      </c>
    </row>
    <row r="57" spans="1:10" ht="11.25" customHeight="1" x14ac:dyDescent="0.2">
      <c r="A57" s="49">
        <v>44562</v>
      </c>
      <c r="B57" s="39">
        <v>0</v>
      </c>
      <c r="C57" s="39">
        <v>0</v>
      </c>
      <c r="D57" s="39">
        <v>6682.1849000000002</v>
      </c>
      <c r="E57" s="39">
        <v>9360.8471292695031</v>
      </c>
      <c r="F57" s="39">
        <v>22086.1607</v>
      </c>
      <c r="G57" s="39">
        <v>13241.7751918127</v>
      </c>
      <c r="H57" s="40">
        <v>0.40086622405038552</v>
      </c>
      <c r="I57" s="40">
        <v>-0.40044920565063624</v>
      </c>
      <c r="J57" s="40">
        <v>-0.21432317883854257</v>
      </c>
    </row>
    <row r="58" spans="1:10" ht="11.25" customHeight="1" x14ac:dyDescent="0.2">
      <c r="A58" s="49">
        <v>44593</v>
      </c>
      <c r="B58" s="39">
        <v>0</v>
      </c>
      <c r="C58" s="39">
        <v>0</v>
      </c>
      <c r="D58" s="39">
        <v>9362.3477800000001</v>
      </c>
      <c r="E58" s="39">
        <v>13115.396782815109</v>
      </c>
      <c r="F58" s="39">
        <v>30944.716540000001</v>
      </c>
      <c r="G58" s="39">
        <v>18552.929382472896</v>
      </c>
      <c r="H58" s="40">
        <v>0.40086622405038552</v>
      </c>
      <c r="I58" s="40">
        <v>-0.40044920565063624</v>
      </c>
      <c r="J58" s="40">
        <v>-0.21432317883854268</v>
      </c>
    </row>
    <row r="59" spans="1:10" ht="11.25" customHeight="1" x14ac:dyDescent="0.2">
      <c r="A59" s="49">
        <v>44621</v>
      </c>
      <c r="B59" s="39">
        <v>0</v>
      </c>
      <c r="C59" s="39">
        <v>0</v>
      </c>
      <c r="D59" s="39">
        <v>12970.835609999998</v>
      </c>
      <c r="E59" s="39">
        <v>18170.405503758975</v>
      </c>
      <c r="F59" s="39">
        <v>42871.600229999996</v>
      </c>
      <c r="G59" s="39">
        <v>25703.701972924864</v>
      </c>
      <c r="H59" s="40">
        <v>0.4008662240503853</v>
      </c>
      <c r="I59" s="40">
        <v>-0.40044920565063624</v>
      </c>
      <c r="J59" s="40">
        <v>-0.21432317883854246</v>
      </c>
    </row>
    <row r="60" spans="1:10" ht="11.25" customHeight="1" x14ac:dyDescent="0.2">
      <c r="A60" s="49">
        <v>44652</v>
      </c>
      <c r="B60" s="39">
        <v>0</v>
      </c>
      <c r="C60" s="39">
        <v>0</v>
      </c>
      <c r="D60" s="39">
        <v>10578.180129999999</v>
      </c>
      <c r="E60" s="39">
        <v>14818.615256037914</v>
      </c>
      <c r="F60" s="39">
        <v>34963.322589999996</v>
      </c>
      <c r="G60" s="39">
        <v>20962.287831927551</v>
      </c>
      <c r="H60" s="40">
        <v>0.40086622405038552</v>
      </c>
      <c r="I60" s="40">
        <v>-0.40044920565063624</v>
      </c>
      <c r="J60" s="40">
        <v>-0.21432317883854246</v>
      </c>
    </row>
    <row r="61" spans="1:10" ht="11.25" customHeight="1" x14ac:dyDescent="0.2">
      <c r="A61" s="49">
        <v>44682</v>
      </c>
      <c r="B61" s="39">
        <v>0</v>
      </c>
      <c r="C61" s="39">
        <v>0</v>
      </c>
      <c r="D61" s="39">
        <v>13429.8351</v>
      </c>
      <c r="E61" s="39">
        <v>18813.402386156329</v>
      </c>
      <c r="F61" s="39">
        <v>44388.6993</v>
      </c>
      <c r="G61" s="39">
        <v>26613.279925450046</v>
      </c>
      <c r="H61" s="40">
        <v>0.4008662240503853</v>
      </c>
      <c r="I61" s="40">
        <v>-0.40044920565063624</v>
      </c>
      <c r="J61" s="40">
        <v>-0.21432317883854257</v>
      </c>
    </row>
    <row r="62" spans="1:10" ht="11.25" customHeight="1" x14ac:dyDescent="0.2">
      <c r="A62" s="49">
        <v>44713</v>
      </c>
      <c r="B62" s="39">
        <v>0</v>
      </c>
      <c r="C62" s="39">
        <v>0</v>
      </c>
      <c r="D62" s="39">
        <v>13239.175849999998</v>
      </c>
      <c r="E62" s="39">
        <v>18546.31428252855</v>
      </c>
      <c r="F62" s="39">
        <v>43758.526549999995</v>
      </c>
      <c r="G62" s="39">
        <v>26235.459352610222</v>
      </c>
      <c r="H62" s="40">
        <v>0.40086622405038552</v>
      </c>
      <c r="I62" s="40">
        <v>-0.40044920565063624</v>
      </c>
      <c r="J62" s="40">
        <v>-0.21432317883854246</v>
      </c>
    </row>
    <row r="63" spans="1:10" ht="11.25" customHeight="1" x14ac:dyDescent="0.2">
      <c r="A63" s="49">
        <v>44743</v>
      </c>
      <c r="B63" s="39">
        <v>0</v>
      </c>
      <c r="C63" s="39">
        <v>0</v>
      </c>
      <c r="D63" s="39">
        <v>13038.595569999999</v>
      </c>
      <c r="E63" s="39">
        <v>18265.328143065984</v>
      </c>
      <c r="F63" s="39">
        <v>43095.562510000003</v>
      </c>
      <c r="G63" s="39">
        <v>25837.978735803161</v>
      </c>
      <c r="H63" s="40">
        <v>0.40086622405038552</v>
      </c>
      <c r="I63" s="40">
        <v>-0.40044920565063624</v>
      </c>
      <c r="J63" s="40">
        <v>-0.21432317883854246</v>
      </c>
    </row>
    <row r="64" spans="1:10" ht="11.25" customHeight="1" x14ac:dyDescent="0.2">
      <c r="A64" s="49">
        <v>44774</v>
      </c>
      <c r="B64" s="39">
        <v>0</v>
      </c>
      <c r="C64" s="39">
        <v>0</v>
      </c>
      <c r="D64" s="39">
        <v>13188.28839</v>
      </c>
      <c r="E64" s="39">
        <v>18475.027758586835</v>
      </c>
      <c r="F64" s="39">
        <v>43590.331769999997</v>
      </c>
      <c r="G64" s="39">
        <v>26134.618038655804</v>
      </c>
      <c r="H64" s="40">
        <v>0.4008662240503853</v>
      </c>
      <c r="I64" s="40">
        <v>-0.40044920565063624</v>
      </c>
      <c r="J64" s="40">
        <v>-0.21432317883854257</v>
      </c>
    </row>
    <row r="65" spans="1:10" ht="11.25" customHeight="1" x14ac:dyDescent="0.2">
      <c r="A65" s="48" t="s">
        <v>25</v>
      </c>
      <c r="B65" s="39">
        <v>557344.31999999983</v>
      </c>
      <c r="C65" s="39">
        <v>761434.67369139765</v>
      </c>
      <c r="D65" s="39">
        <v>0</v>
      </c>
      <c r="E65" s="39">
        <v>0</v>
      </c>
      <c r="F65" s="39">
        <v>0</v>
      </c>
      <c r="G65" s="39">
        <v>0</v>
      </c>
      <c r="H65" s="40">
        <v>0.36618360745364287</v>
      </c>
      <c r="I65" s="40">
        <v>0</v>
      </c>
      <c r="J65" s="40">
        <v>0.36618360745364287</v>
      </c>
    </row>
    <row r="66" spans="1:10" ht="11.25" customHeight="1" x14ac:dyDescent="0.2">
      <c r="A66" s="49">
        <v>44440</v>
      </c>
      <c r="B66" s="39">
        <v>59776.32</v>
      </c>
      <c r="C66" s="39">
        <v>81665.428497903355</v>
      </c>
      <c r="D66" s="39">
        <v>0</v>
      </c>
      <c r="E66" s="39">
        <v>0</v>
      </c>
      <c r="F66" s="39">
        <v>0</v>
      </c>
      <c r="G66" s="39">
        <v>0</v>
      </c>
      <c r="H66" s="40">
        <v>0.36618360745364309</v>
      </c>
      <c r="I66" s="40">
        <v>0</v>
      </c>
      <c r="J66" s="40">
        <v>0.36618360745364309</v>
      </c>
    </row>
    <row r="67" spans="1:10" ht="11.25" customHeight="1" x14ac:dyDescent="0.2">
      <c r="A67" s="49">
        <v>44470</v>
      </c>
      <c r="B67" s="39">
        <v>60048.959999999992</v>
      </c>
      <c r="C67" s="39">
        <v>82037.904796639516</v>
      </c>
      <c r="D67" s="39">
        <v>0</v>
      </c>
      <c r="E67" s="39">
        <v>0</v>
      </c>
      <c r="F67" s="39">
        <v>0</v>
      </c>
      <c r="G67" s="39">
        <v>0</v>
      </c>
      <c r="H67" s="40">
        <v>0.36618360745364331</v>
      </c>
      <c r="I67" s="40">
        <v>0</v>
      </c>
      <c r="J67" s="40">
        <v>0.36618360745364331</v>
      </c>
    </row>
    <row r="68" spans="1:10" ht="11.25" customHeight="1" x14ac:dyDescent="0.2">
      <c r="A68" s="49">
        <v>44501</v>
      </c>
      <c r="B68" s="39">
        <v>40861.919999999998</v>
      </c>
      <c r="C68" s="39">
        <v>55824.885273082167</v>
      </c>
      <c r="D68" s="39">
        <v>0</v>
      </c>
      <c r="E68" s="39">
        <v>0</v>
      </c>
      <c r="F68" s="39">
        <v>0</v>
      </c>
      <c r="G68" s="39">
        <v>0</v>
      </c>
      <c r="H68" s="40">
        <v>0.36618360745364309</v>
      </c>
      <c r="I68" s="40">
        <v>0</v>
      </c>
      <c r="J68" s="40">
        <v>0.36618360745364309</v>
      </c>
    </row>
    <row r="69" spans="1:10" ht="11.25" customHeight="1" x14ac:dyDescent="0.2">
      <c r="A69" s="49">
        <v>44531</v>
      </c>
      <c r="B69" s="39">
        <v>37453.919999999998</v>
      </c>
      <c r="C69" s="39">
        <v>51168.931538880155</v>
      </c>
      <c r="D69" s="39">
        <v>0</v>
      </c>
      <c r="E69" s="39">
        <v>0</v>
      </c>
      <c r="F69" s="39">
        <v>0</v>
      </c>
      <c r="G69" s="39">
        <v>0</v>
      </c>
      <c r="H69" s="40">
        <v>0.36618360745364331</v>
      </c>
      <c r="I69" s="40">
        <v>0</v>
      </c>
      <c r="J69" s="40">
        <v>0.36618360745364331</v>
      </c>
    </row>
    <row r="70" spans="1:10" ht="11.25" customHeight="1" x14ac:dyDescent="0.2">
      <c r="A70" s="49">
        <v>44562</v>
      </c>
      <c r="B70" s="39">
        <v>37351.68</v>
      </c>
      <c r="C70" s="39">
        <v>51029.252926854097</v>
      </c>
      <c r="D70" s="39">
        <v>0</v>
      </c>
      <c r="E70" s="39">
        <v>0</v>
      </c>
      <c r="F70" s="39">
        <v>0</v>
      </c>
      <c r="G70" s="39">
        <v>0</v>
      </c>
      <c r="H70" s="40">
        <v>0.36618360745364331</v>
      </c>
      <c r="I70" s="40">
        <v>0</v>
      </c>
      <c r="J70" s="40">
        <v>0.36618360745364331</v>
      </c>
    </row>
    <row r="71" spans="1:10" ht="11.25" customHeight="1" x14ac:dyDescent="0.2">
      <c r="A71" s="49">
        <v>44593</v>
      </c>
      <c r="B71" s="39">
        <v>41713.919999999998</v>
      </c>
      <c r="C71" s="39">
        <v>56988.873706632672</v>
      </c>
      <c r="D71" s="39">
        <v>0</v>
      </c>
      <c r="E71" s="39">
        <v>0</v>
      </c>
      <c r="F71" s="39">
        <v>0</v>
      </c>
      <c r="G71" s="39">
        <v>0</v>
      </c>
      <c r="H71" s="40">
        <v>0.36618360745364309</v>
      </c>
      <c r="I71" s="40">
        <v>0</v>
      </c>
      <c r="J71" s="40">
        <v>0.36618360745364309</v>
      </c>
    </row>
    <row r="72" spans="1:10" ht="11.25" customHeight="1" x14ac:dyDescent="0.2">
      <c r="A72" s="49">
        <v>44621</v>
      </c>
      <c r="B72" s="39">
        <v>44781.119999999995</v>
      </c>
      <c r="C72" s="39">
        <v>61179.232067414487</v>
      </c>
      <c r="D72" s="39">
        <v>0</v>
      </c>
      <c r="E72" s="39">
        <v>0</v>
      </c>
      <c r="F72" s="39">
        <v>0</v>
      </c>
      <c r="G72" s="39">
        <v>0</v>
      </c>
      <c r="H72" s="40">
        <v>0.36618360745364331</v>
      </c>
      <c r="I72" s="40">
        <v>0</v>
      </c>
      <c r="J72" s="40">
        <v>0.36618360745364331</v>
      </c>
    </row>
    <row r="73" spans="1:10" ht="11.25" customHeight="1" x14ac:dyDescent="0.2">
      <c r="A73" s="49">
        <v>44652</v>
      </c>
      <c r="B73" s="39">
        <v>44610.719999999994</v>
      </c>
      <c r="C73" s="39">
        <v>60946.434380704392</v>
      </c>
      <c r="D73" s="39">
        <v>0</v>
      </c>
      <c r="E73" s="39">
        <v>0</v>
      </c>
      <c r="F73" s="39">
        <v>0</v>
      </c>
      <c r="G73" s="39">
        <v>0</v>
      </c>
      <c r="H73" s="40">
        <v>0.36618360745364353</v>
      </c>
      <c r="I73" s="40">
        <v>0</v>
      </c>
      <c r="J73" s="40">
        <v>0.36618360745364353</v>
      </c>
    </row>
    <row r="74" spans="1:10" ht="11.25" customHeight="1" x14ac:dyDescent="0.2">
      <c r="A74" s="49">
        <v>44682</v>
      </c>
      <c r="B74" s="39">
        <v>47166.719999999994</v>
      </c>
      <c r="C74" s="39">
        <v>64438.399681355899</v>
      </c>
      <c r="D74" s="39">
        <v>0</v>
      </c>
      <c r="E74" s="39">
        <v>0</v>
      </c>
      <c r="F74" s="39">
        <v>0</v>
      </c>
      <c r="G74" s="39">
        <v>0</v>
      </c>
      <c r="H74" s="40">
        <v>0.36618360745364331</v>
      </c>
      <c r="I74" s="40">
        <v>0</v>
      </c>
      <c r="J74" s="40">
        <v>0.36618360745364331</v>
      </c>
    </row>
    <row r="75" spans="1:10" ht="11.25" customHeight="1" x14ac:dyDescent="0.2">
      <c r="A75" s="49">
        <v>44713</v>
      </c>
      <c r="B75" s="39">
        <v>46451.039999999994</v>
      </c>
      <c r="C75" s="39">
        <v>63460.649397173474</v>
      </c>
      <c r="D75" s="39">
        <v>0</v>
      </c>
      <c r="E75" s="39">
        <v>0</v>
      </c>
      <c r="F75" s="39">
        <v>0</v>
      </c>
      <c r="G75" s="39">
        <v>0</v>
      </c>
      <c r="H75" s="40">
        <v>0.36618360745364331</v>
      </c>
      <c r="I75" s="40">
        <v>0</v>
      </c>
      <c r="J75" s="40">
        <v>0.36618360745364331</v>
      </c>
    </row>
    <row r="76" spans="1:10" ht="11.25" customHeight="1" x14ac:dyDescent="0.2">
      <c r="A76" s="49">
        <v>44743</v>
      </c>
      <c r="B76" s="39">
        <v>48904.799999999996</v>
      </c>
      <c r="C76" s="39">
        <v>66812.936085798923</v>
      </c>
      <c r="D76" s="39">
        <v>0</v>
      </c>
      <c r="E76" s="39">
        <v>0</v>
      </c>
      <c r="F76" s="39">
        <v>0</v>
      </c>
      <c r="G76" s="39">
        <v>0</v>
      </c>
      <c r="H76" s="40">
        <v>0.36618360745364309</v>
      </c>
      <c r="I76" s="40">
        <v>0</v>
      </c>
      <c r="J76" s="40">
        <v>0.36618360745364309</v>
      </c>
    </row>
    <row r="77" spans="1:10" ht="11.25" customHeight="1" x14ac:dyDescent="0.2">
      <c r="A77" s="49">
        <v>44774</v>
      </c>
      <c r="B77" s="39">
        <v>48223.199999999997</v>
      </c>
      <c r="C77" s="39">
        <v>65881.745338958528</v>
      </c>
      <c r="D77" s="39">
        <v>0</v>
      </c>
      <c r="E77" s="39">
        <v>0</v>
      </c>
      <c r="F77" s="39">
        <v>0</v>
      </c>
      <c r="G77" s="39">
        <v>0</v>
      </c>
      <c r="H77" s="40">
        <v>0.36618360745364331</v>
      </c>
      <c r="I77" s="40">
        <v>0</v>
      </c>
      <c r="J77" s="40">
        <v>0.36618360745364331</v>
      </c>
    </row>
    <row r="78" spans="1:10" ht="11.25" customHeight="1" x14ac:dyDescent="0.2">
      <c r="A78" s="48" t="s">
        <v>34</v>
      </c>
      <c r="B78" s="39">
        <v>0</v>
      </c>
      <c r="C78" s="39">
        <v>0</v>
      </c>
      <c r="D78" s="39">
        <v>80276.034140000003</v>
      </c>
      <c r="E78" s="39">
        <v>114772.94134643098</v>
      </c>
      <c r="F78" s="39">
        <v>7033.6201700000011</v>
      </c>
      <c r="G78" s="39">
        <v>4217.0125600752071</v>
      </c>
      <c r="H78" s="40">
        <v>0.42972859304769528</v>
      </c>
      <c r="I78" s="40">
        <v>-0.40044920565063624</v>
      </c>
      <c r="J78" s="40">
        <v>0.36284990299036912</v>
      </c>
    </row>
    <row r="79" spans="1:10" ht="11.25" customHeight="1" x14ac:dyDescent="0.2">
      <c r="A79" s="49">
        <v>44440</v>
      </c>
      <c r="B79" s="39">
        <v>0</v>
      </c>
      <c r="C79" s="39">
        <v>0</v>
      </c>
      <c r="D79" s="39">
        <v>8439.7911000000004</v>
      </c>
      <c r="E79" s="39">
        <v>12066.610655019462</v>
      </c>
      <c r="F79" s="39">
        <v>739.47704999999996</v>
      </c>
      <c r="G79" s="39">
        <v>443.35405273062418</v>
      </c>
      <c r="H79" s="40">
        <v>0.42972859304769528</v>
      </c>
      <c r="I79" s="40">
        <v>-0.40044920565063624</v>
      </c>
      <c r="J79" s="40">
        <v>0.36284990299036934</v>
      </c>
    </row>
    <row r="80" spans="1:10" ht="11.25" customHeight="1" x14ac:dyDescent="0.2">
      <c r="A80" s="49">
        <v>44470</v>
      </c>
      <c r="B80" s="39">
        <v>0</v>
      </c>
      <c r="C80" s="39">
        <v>0</v>
      </c>
      <c r="D80" s="39">
        <v>6713.6437800000003</v>
      </c>
      <c r="E80" s="39">
        <v>9598.68847580281</v>
      </c>
      <c r="F80" s="39">
        <v>588.23559</v>
      </c>
      <c r="G80" s="39">
        <v>352.67711524906662</v>
      </c>
      <c r="H80" s="40">
        <v>0.42972859304769506</v>
      </c>
      <c r="I80" s="40">
        <v>-0.40044920565063635</v>
      </c>
      <c r="J80" s="40">
        <v>0.3628499029903689</v>
      </c>
    </row>
    <row r="81" spans="1:10" ht="11.25" customHeight="1" x14ac:dyDescent="0.2">
      <c r="A81" s="49">
        <v>44501</v>
      </c>
      <c r="B81" s="39">
        <v>0</v>
      </c>
      <c r="C81" s="39">
        <v>0</v>
      </c>
      <c r="D81" s="39">
        <v>2948.1985199999999</v>
      </c>
      <c r="E81" s="39">
        <v>4215.1237220248977</v>
      </c>
      <c r="F81" s="39">
        <v>258.31505999999996</v>
      </c>
      <c r="G81" s="39">
        <v>154.87299941540354</v>
      </c>
      <c r="H81" s="40">
        <v>0.42972859304769528</v>
      </c>
      <c r="I81" s="40">
        <v>-0.40044920565063624</v>
      </c>
      <c r="J81" s="40">
        <v>0.36284990299036934</v>
      </c>
    </row>
    <row r="82" spans="1:10" ht="11.25" customHeight="1" x14ac:dyDescent="0.2">
      <c r="A82" s="49">
        <v>44531</v>
      </c>
      <c r="B82" s="39">
        <v>0</v>
      </c>
      <c r="C82" s="39">
        <v>0</v>
      </c>
      <c r="D82" s="39">
        <v>3093.3171000000002</v>
      </c>
      <c r="E82" s="39">
        <v>4422.6039052333772</v>
      </c>
      <c r="F82" s="39">
        <v>271.03005000000002</v>
      </c>
      <c r="G82" s="39">
        <v>162.49628177004777</v>
      </c>
      <c r="H82" s="40">
        <v>0.42972859304769528</v>
      </c>
      <c r="I82" s="40">
        <v>-0.40044920565063624</v>
      </c>
      <c r="J82" s="40">
        <v>0.36284990299036912</v>
      </c>
    </row>
    <row r="83" spans="1:10" ht="11.25" customHeight="1" x14ac:dyDescent="0.2">
      <c r="A83" s="49">
        <v>44562</v>
      </c>
      <c r="B83" s="39">
        <v>0</v>
      </c>
      <c r="C83" s="39">
        <v>0</v>
      </c>
      <c r="D83" s="39">
        <v>2459.3780400000001</v>
      </c>
      <c r="E83" s="39">
        <v>3516.2431049015986</v>
      </c>
      <c r="F83" s="39">
        <v>215.48561999999998</v>
      </c>
      <c r="G83" s="39">
        <v>129.19457464186513</v>
      </c>
      <c r="H83" s="40">
        <v>0.42972859304769528</v>
      </c>
      <c r="I83" s="40">
        <v>-0.40044920565063624</v>
      </c>
      <c r="J83" s="40">
        <v>0.36284990299036912</v>
      </c>
    </row>
    <row r="84" spans="1:10" ht="11.25" customHeight="1" x14ac:dyDescent="0.2">
      <c r="A84" s="49">
        <v>44593</v>
      </c>
      <c r="B84" s="39">
        <v>0</v>
      </c>
      <c r="C84" s="39">
        <v>0</v>
      </c>
      <c r="D84" s="39">
        <v>4180.4334799999997</v>
      </c>
      <c r="E84" s="39">
        <v>5976.8852776898811</v>
      </c>
      <c r="F84" s="39">
        <v>366.28093999999999</v>
      </c>
      <c r="G84" s="39">
        <v>219.60402853203161</v>
      </c>
      <c r="H84" s="40">
        <v>0.42972859304769551</v>
      </c>
      <c r="I84" s="40">
        <v>-0.40044920565063635</v>
      </c>
      <c r="J84" s="40">
        <v>0.36284990299036934</v>
      </c>
    </row>
    <row r="85" spans="1:10" ht="11.25" customHeight="1" x14ac:dyDescent="0.2">
      <c r="A85" s="49">
        <v>44621</v>
      </c>
      <c r="B85" s="39">
        <v>0</v>
      </c>
      <c r="C85" s="39">
        <v>0</v>
      </c>
      <c r="D85" s="39">
        <v>5784.3756799999992</v>
      </c>
      <c r="E85" s="39">
        <v>8270.087302625705</v>
      </c>
      <c r="F85" s="39">
        <v>506.81503999999995</v>
      </c>
      <c r="G85" s="39">
        <v>303.86135982020454</v>
      </c>
      <c r="H85" s="40">
        <v>0.42972859304769528</v>
      </c>
      <c r="I85" s="40">
        <v>-0.40044920565063624</v>
      </c>
      <c r="J85" s="40">
        <v>0.36284990299036934</v>
      </c>
    </row>
    <row r="86" spans="1:10" ht="11.25" customHeight="1" x14ac:dyDescent="0.2">
      <c r="A86" s="49">
        <v>44652</v>
      </c>
      <c r="B86" s="39">
        <v>0</v>
      </c>
      <c r="C86" s="39">
        <v>0</v>
      </c>
      <c r="D86" s="39">
        <v>7485.0636000000004</v>
      </c>
      <c r="E86" s="39">
        <v>10701.609449700518</v>
      </c>
      <c r="F86" s="39">
        <v>655.82579999999996</v>
      </c>
      <c r="G86" s="39">
        <v>393.20087934480694</v>
      </c>
      <c r="H86" s="40">
        <v>0.42972859304769528</v>
      </c>
      <c r="I86" s="40">
        <v>-0.40044920565063624</v>
      </c>
      <c r="J86" s="40">
        <v>0.36284990299036934</v>
      </c>
    </row>
    <row r="87" spans="1:10" ht="11.25" customHeight="1" x14ac:dyDescent="0.2">
      <c r="A87" s="49">
        <v>44682</v>
      </c>
      <c r="B87" s="39">
        <v>0</v>
      </c>
      <c r="C87" s="39">
        <v>0</v>
      </c>
      <c r="D87" s="39">
        <v>9020.2654199999997</v>
      </c>
      <c r="E87" s="39">
        <v>12896.53138785338</v>
      </c>
      <c r="F87" s="39">
        <v>790.33700999999996</v>
      </c>
      <c r="G87" s="39">
        <v>473.84718214920105</v>
      </c>
      <c r="H87" s="40">
        <v>0.42972859304769551</v>
      </c>
      <c r="I87" s="40">
        <v>-0.40044920565063624</v>
      </c>
      <c r="J87" s="40">
        <v>0.36284990299036934</v>
      </c>
    </row>
    <row r="88" spans="1:10" ht="11.25" customHeight="1" x14ac:dyDescent="0.2">
      <c r="A88" s="49">
        <v>44713</v>
      </c>
      <c r="B88" s="39">
        <v>0</v>
      </c>
      <c r="C88" s="39">
        <v>0</v>
      </c>
      <c r="D88" s="39">
        <v>7785.48452</v>
      </c>
      <c r="E88" s="39">
        <v>11131.129828974212</v>
      </c>
      <c r="F88" s="39">
        <v>682.14805999999999</v>
      </c>
      <c r="G88" s="39">
        <v>408.9824112368774</v>
      </c>
      <c r="H88" s="40">
        <v>0.42972859304769528</v>
      </c>
      <c r="I88" s="40">
        <v>-0.40044920565063635</v>
      </c>
      <c r="J88" s="40">
        <v>0.36284990299036912</v>
      </c>
    </row>
    <row r="89" spans="1:10" ht="11.25" customHeight="1" x14ac:dyDescent="0.2">
      <c r="A89" s="49">
        <v>44743</v>
      </c>
      <c r="B89" s="39">
        <v>0</v>
      </c>
      <c r="C89" s="39">
        <v>0</v>
      </c>
      <c r="D89" s="39">
        <v>11321.795180000001</v>
      </c>
      <c r="E89" s="39">
        <v>16187.09429347558</v>
      </c>
      <c r="F89" s="39">
        <v>991.99229000000003</v>
      </c>
      <c r="G89" s="39">
        <v>594.74976545794436</v>
      </c>
      <c r="H89" s="40">
        <v>0.42972859304769528</v>
      </c>
      <c r="I89" s="40">
        <v>-0.40044920565063635</v>
      </c>
      <c r="J89" s="40">
        <v>0.36284990299036934</v>
      </c>
    </row>
    <row r="90" spans="1:10" ht="11.25" customHeight="1" x14ac:dyDescent="0.2">
      <c r="A90" s="49">
        <v>44774</v>
      </c>
      <c r="B90" s="39">
        <v>0</v>
      </c>
      <c r="C90" s="39">
        <v>0</v>
      </c>
      <c r="D90" s="39">
        <v>11044.28772</v>
      </c>
      <c r="E90" s="39">
        <v>15790.333943129541</v>
      </c>
      <c r="F90" s="39">
        <v>967.67766000000006</v>
      </c>
      <c r="G90" s="39">
        <v>580.17190972713354</v>
      </c>
      <c r="H90" s="40">
        <v>0.42972859304769551</v>
      </c>
      <c r="I90" s="40">
        <v>-0.40044920565063624</v>
      </c>
      <c r="J90" s="40">
        <v>0.36284990299036934</v>
      </c>
    </row>
    <row r="91" spans="1:10" ht="11.25" customHeight="1" x14ac:dyDescent="0.2">
      <c r="A91" s="44" t="s">
        <v>43</v>
      </c>
      <c r="B91" s="39">
        <v>48682.598400000003</v>
      </c>
      <c r="C91" s="39">
        <v>66509.367902328944</v>
      </c>
      <c r="D91" s="39">
        <v>18954.621513599996</v>
      </c>
      <c r="E91" s="39">
        <v>26780.247820599001</v>
      </c>
      <c r="F91" s="39">
        <v>37303.157356799988</v>
      </c>
      <c r="G91" s="39">
        <v>22365.137625008752</v>
      </c>
      <c r="H91" s="40">
        <v>0.37926449138649398</v>
      </c>
      <c r="I91" s="40">
        <v>-0.40044920565063602</v>
      </c>
      <c r="J91" s="40">
        <v>0.10209965273832555</v>
      </c>
    </row>
    <row r="92" spans="1:10" ht="11.25" customHeight="1" x14ac:dyDescent="0.2">
      <c r="A92" s="45" t="s">
        <v>25</v>
      </c>
      <c r="B92" s="39">
        <v>48682.598400000003</v>
      </c>
      <c r="C92" s="39">
        <v>66509.367902328944</v>
      </c>
      <c r="D92" s="39">
        <v>18954.621513599996</v>
      </c>
      <c r="E92" s="39">
        <v>26780.247820599001</v>
      </c>
      <c r="F92" s="39">
        <v>37303.157356799988</v>
      </c>
      <c r="G92" s="39">
        <v>22365.137625008752</v>
      </c>
      <c r="H92" s="40">
        <v>0.37926449138649398</v>
      </c>
      <c r="I92" s="40">
        <v>-0.40044920565063602</v>
      </c>
      <c r="J92" s="40">
        <v>0.10209965273832555</v>
      </c>
    </row>
    <row r="93" spans="1:10" ht="11.25" customHeight="1" x14ac:dyDescent="0.2">
      <c r="A93" s="46" t="s">
        <v>25</v>
      </c>
      <c r="B93" s="39">
        <v>48682.598400000003</v>
      </c>
      <c r="C93" s="39">
        <v>66509.367902328944</v>
      </c>
      <c r="D93" s="39">
        <v>18954.621513599996</v>
      </c>
      <c r="E93" s="39">
        <v>26780.247820599001</v>
      </c>
      <c r="F93" s="39">
        <v>37303.157356799988</v>
      </c>
      <c r="G93" s="39">
        <v>22365.137625008752</v>
      </c>
      <c r="H93" s="40">
        <v>0.37926449138649398</v>
      </c>
      <c r="I93" s="40">
        <v>-0.40044920565063602</v>
      </c>
      <c r="J93" s="40">
        <v>0.10209965273832555</v>
      </c>
    </row>
    <row r="94" spans="1:10" ht="11.25" customHeight="1" x14ac:dyDescent="0.2">
      <c r="A94" s="47" t="s">
        <v>25</v>
      </c>
      <c r="B94" s="39">
        <v>48682.598400000003</v>
      </c>
      <c r="C94" s="39">
        <v>66509.367902328944</v>
      </c>
      <c r="D94" s="39">
        <v>18954.621513599996</v>
      </c>
      <c r="E94" s="39">
        <v>26780.247820599001</v>
      </c>
      <c r="F94" s="39">
        <v>37303.157356799988</v>
      </c>
      <c r="G94" s="39">
        <v>22365.137625008752</v>
      </c>
      <c r="H94" s="40">
        <v>0.37926449138649398</v>
      </c>
      <c r="I94" s="40">
        <v>-0.40044920565063602</v>
      </c>
      <c r="J94" s="40">
        <v>0.10209965273832555</v>
      </c>
    </row>
    <row r="95" spans="1:10" ht="11.25" customHeight="1" x14ac:dyDescent="0.2">
      <c r="A95" s="48" t="s">
        <v>35</v>
      </c>
      <c r="B95" s="39">
        <v>0</v>
      </c>
      <c r="C95" s="39">
        <v>0</v>
      </c>
      <c r="D95" s="39">
        <v>11077.279478399998</v>
      </c>
      <c r="E95" s="39">
        <v>15517.786675657033</v>
      </c>
      <c r="F95" s="39">
        <v>36612.960931199996</v>
      </c>
      <c r="G95" s="39">
        <v>21951.329809783179</v>
      </c>
      <c r="H95" s="40">
        <v>0.40086622405038574</v>
      </c>
      <c r="I95" s="40">
        <v>-0.40044920565063624</v>
      </c>
      <c r="J95" s="40">
        <v>-0.21432317883854235</v>
      </c>
    </row>
    <row r="96" spans="1:10" ht="11.25" customHeight="1" x14ac:dyDescent="0.2">
      <c r="A96" s="49">
        <v>44440</v>
      </c>
      <c r="B96" s="39">
        <v>0</v>
      </c>
      <c r="C96" s="39">
        <v>0</v>
      </c>
      <c r="D96" s="39">
        <v>83.773987199999993</v>
      </c>
      <c r="E96" s="39">
        <v>117.35614912250931</v>
      </c>
      <c r="F96" s="39">
        <v>276.89232959999998</v>
      </c>
      <c r="G96" s="39">
        <v>166.01101616092583</v>
      </c>
      <c r="H96" s="40">
        <v>0.4008662240503853</v>
      </c>
      <c r="I96" s="40">
        <v>-0.40044920565063624</v>
      </c>
      <c r="J96" s="40">
        <v>-0.21432317883854257</v>
      </c>
    </row>
    <row r="97" spans="1:10" ht="11.25" customHeight="1" x14ac:dyDescent="0.2">
      <c r="A97" s="49">
        <v>44470</v>
      </c>
      <c r="B97" s="39">
        <v>0</v>
      </c>
      <c r="C97" s="39">
        <v>0</v>
      </c>
      <c r="D97" s="39">
        <v>107.74643519999998</v>
      </c>
      <c r="E97" s="39">
        <v>150.93834183351353</v>
      </c>
      <c r="F97" s="39">
        <v>356.12679359999998</v>
      </c>
      <c r="G97" s="39">
        <v>213.51610199197188</v>
      </c>
      <c r="H97" s="40">
        <v>0.40086622405038574</v>
      </c>
      <c r="I97" s="40">
        <v>-0.40044920565063635</v>
      </c>
      <c r="J97" s="40">
        <v>-0.21432317883854257</v>
      </c>
    </row>
    <row r="98" spans="1:10" ht="11.25" customHeight="1" x14ac:dyDescent="0.2">
      <c r="A98" s="49">
        <v>44501</v>
      </c>
      <c r="B98" s="39">
        <v>0</v>
      </c>
      <c r="C98" s="39">
        <v>0</v>
      </c>
      <c r="D98" s="39">
        <v>185.36533439999999</v>
      </c>
      <c r="E98" s="39">
        <v>259.67203607076505</v>
      </c>
      <c r="F98" s="39">
        <v>612.67513919999999</v>
      </c>
      <c r="G98" s="39">
        <v>367.32986638546703</v>
      </c>
      <c r="H98" s="40">
        <v>0.40086622405038552</v>
      </c>
      <c r="I98" s="40">
        <v>-0.40044920565063624</v>
      </c>
      <c r="J98" s="40">
        <v>-0.21432317883854246</v>
      </c>
    </row>
    <row r="99" spans="1:10" ht="11.25" customHeight="1" x14ac:dyDescent="0.2">
      <c r="A99" s="49">
        <v>44531</v>
      </c>
      <c r="B99" s="39">
        <v>0</v>
      </c>
      <c r="C99" s="39">
        <v>0</v>
      </c>
      <c r="D99" s="39">
        <v>103.8590112</v>
      </c>
      <c r="E99" s="39">
        <v>145.49258085335069</v>
      </c>
      <c r="F99" s="39">
        <v>343.27796159999997</v>
      </c>
      <c r="G99" s="39">
        <v>205.81257455991039</v>
      </c>
      <c r="H99" s="40">
        <v>0.40086622405038552</v>
      </c>
      <c r="I99" s="40">
        <v>-0.40044920565063624</v>
      </c>
      <c r="J99" s="40">
        <v>-0.21432317883854235</v>
      </c>
    </row>
    <row r="100" spans="1:10" ht="11.25" customHeight="1" x14ac:dyDescent="0.2">
      <c r="A100" s="49">
        <v>44562</v>
      </c>
      <c r="B100" s="39">
        <v>0</v>
      </c>
      <c r="C100" s="39">
        <v>0</v>
      </c>
      <c r="D100" s="39">
        <v>222.68460479999996</v>
      </c>
      <c r="E100" s="39">
        <v>311.95134148032832</v>
      </c>
      <c r="F100" s="39">
        <v>736.02392639999994</v>
      </c>
      <c r="G100" s="39">
        <v>441.28372973325759</v>
      </c>
      <c r="H100" s="40">
        <v>0.40086622405038574</v>
      </c>
      <c r="I100" s="40">
        <v>-0.40044920565063624</v>
      </c>
      <c r="J100" s="40">
        <v>-0.21432317883854257</v>
      </c>
    </row>
    <row r="101" spans="1:10" ht="11.25" customHeight="1" x14ac:dyDescent="0.2">
      <c r="A101" s="49">
        <v>44593</v>
      </c>
      <c r="B101" s="39">
        <v>0</v>
      </c>
      <c r="C101" s="39">
        <v>0</v>
      </c>
      <c r="D101" s="39">
        <v>1891.8148896</v>
      </c>
      <c r="E101" s="39">
        <v>2650.1795809962487</v>
      </c>
      <c r="F101" s="39">
        <v>6252.8840928</v>
      </c>
      <c r="G101" s="39">
        <v>3748.9216248127404</v>
      </c>
      <c r="H101" s="40">
        <v>0.4008662240503853</v>
      </c>
      <c r="I101" s="40">
        <v>-0.40044920565063624</v>
      </c>
      <c r="J101" s="40">
        <v>-0.21432317883854257</v>
      </c>
    </row>
    <row r="102" spans="1:10" ht="11.25" customHeight="1" x14ac:dyDescent="0.2">
      <c r="A102" s="49">
        <v>44621</v>
      </c>
      <c r="B102" s="39">
        <v>0</v>
      </c>
      <c r="C102" s="39">
        <v>0</v>
      </c>
      <c r="D102" s="39">
        <v>3444.3224543999995</v>
      </c>
      <c r="E102" s="39">
        <v>4825.0349911072835</v>
      </c>
      <c r="F102" s="39">
        <v>11384.2792992</v>
      </c>
      <c r="G102" s="39">
        <v>6825.4536969303772</v>
      </c>
      <c r="H102" s="40">
        <v>0.40086622405038552</v>
      </c>
      <c r="I102" s="40">
        <v>-0.40044920565063635</v>
      </c>
      <c r="J102" s="40">
        <v>-0.21432317883854257</v>
      </c>
    </row>
    <row r="103" spans="1:10" ht="11.25" customHeight="1" x14ac:dyDescent="0.2">
      <c r="A103" s="49">
        <v>44652</v>
      </c>
      <c r="B103" s="39">
        <v>0</v>
      </c>
      <c r="C103" s="39">
        <v>0</v>
      </c>
      <c r="D103" s="39">
        <v>2616.4307231999996</v>
      </c>
      <c r="E103" s="39">
        <v>3665.2694276986031</v>
      </c>
      <c r="F103" s="39">
        <v>8647.9063776000003</v>
      </c>
      <c r="G103" s="39">
        <v>5184.8591381490087</v>
      </c>
      <c r="H103" s="40">
        <v>0.40086622405038552</v>
      </c>
      <c r="I103" s="40">
        <v>-0.40044920565063624</v>
      </c>
      <c r="J103" s="40">
        <v>-0.21432317883854246</v>
      </c>
    </row>
    <row r="104" spans="1:10" ht="11.25" customHeight="1" x14ac:dyDescent="0.2">
      <c r="A104" s="49">
        <v>44682</v>
      </c>
      <c r="B104" s="39">
        <v>0</v>
      </c>
      <c r="C104" s="39">
        <v>0</v>
      </c>
      <c r="D104" s="39">
        <v>1616.8444319999999</v>
      </c>
      <c r="E104" s="39">
        <v>2264.9827543327301</v>
      </c>
      <c r="F104" s="39">
        <v>5344.0433760000005</v>
      </c>
      <c r="G104" s="39">
        <v>3204.0254511182557</v>
      </c>
      <c r="H104" s="40">
        <v>0.40086622405038552</v>
      </c>
      <c r="I104" s="40">
        <v>-0.40044920565063624</v>
      </c>
      <c r="J104" s="40">
        <v>-0.21432317883854257</v>
      </c>
    </row>
    <row r="105" spans="1:10" ht="11.25" customHeight="1" x14ac:dyDescent="0.2">
      <c r="A105" s="49">
        <v>44713</v>
      </c>
      <c r="B105" s="39">
        <v>0</v>
      </c>
      <c r="C105" s="39">
        <v>0</v>
      </c>
      <c r="D105" s="39">
        <v>540.28714559999992</v>
      </c>
      <c r="E105" s="39">
        <v>756.87001355963275</v>
      </c>
      <c r="F105" s="39">
        <v>1785.7735008</v>
      </c>
      <c r="G105" s="39">
        <v>1070.6619209326841</v>
      </c>
      <c r="H105" s="40">
        <v>0.40086622405038552</v>
      </c>
      <c r="I105" s="40">
        <v>-0.40044920565063624</v>
      </c>
      <c r="J105" s="40">
        <v>-0.21432317883854246</v>
      </c>
    </row>
    <row r="106" spans="1:10" ht="11.25" customHeight="1" x14ac:dyDescent="0.2">
      <c r="A106" s="49">
        <v>44743</v>
      </c>
      <c r="B106" s="39">
        <v>0</v>
      </c>
      <c r="C106" s="39">
        <v>0</v>
      </c>
      <c r="D106" s="39">
        <v>64.401657599999993</v>
      </c>
      <c r="E106" s="39">
        <v>90.218106904697805</v>
      </c>
      <c r="F106" s="39">
        <v>212.8623168</v>
      </c>
      <c r="G106" s="39">
        <v>127.6217711244859</v>
      </c>
      <c r="H106" s="40">
        <v>0.40086622405038552</v>
      </c>
      <c r="I106" s="40">
        <v>-0.40044920565063635</v>
      </c>
      <c r="J106" s="40">
        <v>-0.21432317883854257</v>
      </c>
    </row>
    <row r="107" spans="1:10" ht="11.25" customHeight="1" x14ac:dyDescent="0.2">
      <c r="A107" s="49">
        <v>44774</v>
      </c>
      <c r="B107" s="39">
        <v>0</v>
      </c>
      <c r="C107" s="39">
        <v>0</v>
      </c>
      <c r="D107" s="39">
        <v>199.7488032</v>
      </c>
      <c r="E107" s="39">
        <v>279.82135169736756</v>
      </c>
      <c r="F107" s="39">
        <v>660.21581760000004</v>
      </c>
      <c r="G107" s="39">
        <v>395.83291788409463</v>
      </c>
      <c r="H107" s="40">
        <v>0.40086622405038552</v>
      </c>
      <c r="I107" s="40">
        <v>-0.40044920565063635</v>
      </c>
      <c r="J107" s="40">
        <v>-0.21432317883854268</v>
      </c>
    </row>
    <row r="108" spans="1:10" ht="11.25" customHeight="1" x14ac:dyDescent="0.2">
      <c r="A108" s="48" t="s">
        <v>25</v>
      </c>
      <c r="B108" s="39">
        <v>48682.598400000003</v>
      </c>
      <c r="C108" s="39">
        <v>66509.367902328944</v>
      </c>
      <c r="D108" s="39">
        <v>0</v>
      </c>
      <c r="E108" s="39">
        <v>0</v>
      </c>
      <c r="F108" s="39">
        <v>0</v>
      </c>
      <c r="G108" s="39">
        <v>0</v>
      </c>
      <c r="H108" s="40">
        <v>0.36618360745364287</v>
      </c>
      <c r="I108" s="40">
        <v>0</v>
      </c>
      <c r="J108" s="40">
        <v>0.36618360745364287</v>
      </c>
    </row>
    <row r="109" spans="1:10" ht="11.25" customHeight="1" x14ac:dyDescent="0.2">
      <c r="A109" s="49">
        <v>44440</v>
      </c>
      <c r="B109" s="39">
        <v>687.05279999999993</v>
      </c>
      <c r="C109" s="39">
        <v>938.64027281512642</v>
      </c>
      <c r="D109" s="39">
        <v>0</v>
      </c>
      <c r="E109" s="39">
        <v>0</v>
      </c>
      <c r="F109" s="39">
        <v>0</v>
      </c>
      <c r="G109" s="39">
        <v>0</v>
      </c>
      <c r="H109" s="40">
        <v>0.36618360745364331</v>
      </c>
      <c r="I109" s="40">
        <v>0</v>
      </c>
      <c r="J109" s="40">
        <v>0.36618360745364331</v>
      </c>
    </row>
    <row r="110" spans="1:10" ht="11.25" customHeight="1" x14ac:dyDescent="0.2">
      <c r="A110" s="49">
        <v>44470</v>
      </c>
      <c r="B110" s="39">
        <v>2028.4416000000001</v>
      </c>
      <c r="C110" s="39">
        <v>2771.2236625970399</v>
      </c>
      <c r="D110" s="39">
        <v>0</v>
      </c>
      <c r="E110" s="39">
        <v>0</v>
      </c>
      <c r="F110" s="39">
        <v>0</v>
      </c>
      <c r="G110" s="39">
        <v>0</v>
      </c>
      <c r="H110" s="40">
        <v>0.36618360745364309</v>
      </c>
      <c r="I110" s="40">
        <v>0</v>
      </c>
      <c r="J110" s="40">
        <v>0.36618360745364309</v>
      </c>
    </row>
    <row r="111" spans="1:10" ht="11.25" customHeight="1" x14ac:dyDescent="0.2">
      <c r="A111" s="49">
        <v>44501</v>
      </c>
      <c r="B111" s="39">
        <v>2061.1583999999998</v>
      </c>
      <c r="C111" s="39">
        <v>2815.9208184453792</v>
      </c>
      <c r="D111" s="39">
        <v>0</v>
      </c>
      <c r="E111" s="39">
        <v>0</v>
      </c>
      <c r="F111" s="39">
        <v>0</v>
      </c>
      <c r="G111" s="39">
        <v>0</v>
      </c>
      <c r="H111" s="40">
        <v>0.36618360745364331</v>
      </c>
      <c r="I111" s="40">
        <v>0</v>
      </c>
      <c r="J111" s="40">
        <v>0.36618360745364331</v>
      </c>
    </row>
    <row r="112" spans="1:10" ht="11.25" customHeight="1" x14ac:dyDescent="0.2">
      <c r="A112" s="49">
        <v>44531</v>
      </c>
      <c r="B112" s="39">
        <v>1439.5391999999999</v>
      </c>
      <c r="C112" s="39">
        <v>1966.6748573269315</v>
      </c>
      <c r="D112" s="39">
        <v>0</v>
      </c>
      <c r="E112" s="39">
        <v>0</v>
      </c>
      <c r="F112" s="39">
        <v>0</v>
      </c>
      <c r="G112" s="39">
        <v>0</v>
      </c>
      <c r="H112" s="40">
        <v>0.36618360745364331</v>
      </c>
      <c r="I112" s="40">
        <v>0</v>
      </c>
      <c r="J112" s="40">
        <v>0.36618360745364331</v>
      </c>
    </row>
    <row r="113" spans="1:10" ht="11.25" customHeight="1" x14ac:dyDescent="0.2">
      <c r="A113" s="49">
        <v>44562</v>
      </c>
      <c r="B113" s="39">
        <v>3238.9632000000001</v>
      </c>
      <c r="C113" s="39">
        <v>4425.0184289855961</v>
      </c>
      <c r="D113" s="39">
        <v>0</v>
      </c>
      <c r="E113" s="39">
        <v>0</v>
      </c>
      <c r="F113" s="39">
        <v>0</v>
      </c>
      <c r="G113" s="39">
        <v>0</v>
      </c>
      <c r="H113" s="40">
        <v>0.36618360745364309</v>
      </c>
      <c r="I113" s="40">
        <v>0</v>
      </c>
      <c r="J113" s="40">
        <v>0.36618360745364309</v>
      </c>
    </row>
    <row r="114" spans="1:10" ht="11.25" customHeight="1" x14ac:dyDescent="0.2">
      <c r="A114" s="49">
        <v>44593</v>
      </c>
      <c r="B114" s="39">
        <v>6216.192</v>
      </c>
      <c r="C114" s="39">
        <v>8492.4596111844767</v>
      </c>
      <c r="D114" s="39">
        <v>0</v>
      </c>
      <c r="E114" s="39">
        <v>0</v>
      </c>
      <c r="F114" s="39">
        <v>0</v>
      </c>
      <c r="G114" s="39">
        <v>0</v>
      </c>
      <c r="H114" s="40">
        <v>0.36618360745364309</v>
      </c>
      <c r="I114" s="40">
        <v>0</v>
      </c>
      <c r="J114" s="40">
        <v>0.36618360745364309</v>
      </c>
    </row>
    <row r="115" spans="1:10" ht="11.25" customHeight="1" x14ac:dyDescent="0.2">
      <c r="A115" s="49">
        <v>44621</v>
      </c>
      <c r="B115" s="39">
        <v>6674.2271999999994</v>
      </c>
      <c r="C115" s="39">
        <v>9118.2197930612274</v>
      </c>
      <c r="D115" s="39">
        <v>0</v>
      </c>
      <c r="E115" s="39">
        <v>0</v>
      </c>
      <c r="F115" s="39">
        <v>0</v>
      </c>
      <c r="G115" s="39">
        <v>0</v>
      </c>
      <c r="H115" s="40">
        <v>0.36618360745364331</v>
      </c>
      <c r="I115" s="40">
        <v>0</v>
      </c>
      <c r="J115" s="40">
        <v>0.36618360745364331</v>
      </c>
    </row>
    <row r="116" spans="1:10" ht="11.25" customHeight="1" x14ac:dyDescent="0.2">
      <c r="A116" s="49">
        <v>44652</v>
      </c>
      <c r="B116" s="39">
        <v>6477.9264000000003</v>
      </c>
      <c r="C116" s="39">
        <v>8850.0368579711921</v>
      </c>
      <c r="D116" s="39">
        <v>0</v>
      </c>
      <c r="E116" s="39">
        <v>0</v>
      </c>
      <c r="F116" s="39">
        <v>0</v>
      </c>
      <c r="G116" s="39">
        <v>0</v>
      </c>
      <c r="H116" s="40">
        <v>0.36618360745364309</v>
      </c>
      <c r="I116" s="40">
        <v>0</v>
      </c>
      <c r="J116" s="40">
        <v>0.36618360745364309</v>
      </c>
    </row>
    <row r="117" spans="1:10" ht="11.25" customHeight="1" x14ac:dyDescent="0.2">
      <c r="A117" s="49">
        <v>44682</v>
      </c>
      <c r="B117" s="39">
        <v>6314.3423999999995</v>
      </c>
      <c r="C117" s="39">
        <v>8626.5510787294952</v>
      </c>
      <c r="D117" s="39">
        <v>0</v>
      </c>
      <c r="E117" s="39">
        <v>0</v>
      </c>
      <c r="F117" s="39">
        <v>0</v>
      </c>
      <c r="G117" s="39">
        <v>0</v>
      </c>
      <c r="H117" s="40">
        <v>0.36618360745364331</v>
      </c>
      <c r="I117" s="40">
        <v>0</v>
      </c>
      <c r="J117" s="40">
        <v>0.36618360745364331</v>
      </c>
    </row>
    <row r="118" spans="1:10" ht="11.25" customHeight="1" x14ac:dyDescent="0.2">
      <c r="A118" s="49">
        <v>44713</v>
      </c>
      <c r="B118" s="39">
        <v>6412.4928</v>
      </c>
      <c r="C118" s="39">
        <v>8760.6425462745119</v>
      </c>
      <c r="D118" s="39">
        <v>0</v>
      </c>
      <c r="E118" s="39">
        <v>0</v>
      </c>
      <c r="F118" s="39">
        <v>0</v>
      </c>
      <c r="G118" s="39">
        <v>0</v>
      </c>
      <c r="H118" s="40">
        <v>0.36618360745364287</v>
      </c>
      <c r="I118" s="40">
        <v>0</v>
      </c>
      <c r="J118" s="40">
        <v>0.36618360745364287</v>
      </c>
    </row>
    <row r="119" spans="1:10" ht="11.25" customHeight="1" x14ac:dyDescent="0.2">
      <c r="A119" s="49">
        <v>44743</v>
      </c>
      <c r="B119" s="39">
        <v>654.3359999999999</v>
      </c>
      <c r="C119" s="39">
        <v>893.94311696678699</v>
      </c>
      <c r="D119" s="39">
        <v>0</v>
      </c>
      <c r="E119" s="39">
        <v>0</v>
      </c>
      <c r="F119" s="39">
        <v>0</v>
      </c>
      <c r="G119" s="39">
        <v>0</v>
      </c>
      <c r="H119" s="40">
        <v>0.36618360745364331</v>
      </c>
      <c r="I119" s="40">
        <v>0</v>
      </c>
      <c r="J119" s="40">
        <v>0.36618360745364331</v>
      </c>
    </row>
    <row r="120" spans="1:10" ht="11.25" customHeight="1" x14ac:dyDescent="0.2">
      <c r="A120" s="49">
        <v>44774</v>
      </c>
      <c r="B120" s="39">
        <v>6477.9264000000003</v>
      </c>
      <c r="C120" s="39">
        <v>8850.0368579711921</v>
      </c>
      <c r="D120" s="39">
        <v>0</v>
      </c>
      <c r="E120" s="39">
        <v>0</v>
      </c>
      <c r="F120" s="39">
        <v>0</v>
      </c>
      <c r="G120" s="39">
        <v>0</v>
      </c>
      <c r="H120" s="40">
        <v>0.36618360745364309</v>
      </c>
      <c r="I120" s="40">
        <v>0</v>
      </c>
      <c r="J120" s="40">
        <v>0.36618360745364309</v>
      </c>
    </row>
    <row r="121" spans="1:10" ht="11.25" customHeight="1" x14ac:dyDescent="0.2">
      <c r="A121" s="48" t="s">
        <v>34</v>
      </c>
      <c r="B121" s="39">
        <v>0</v>
      </c>
      <c r="C121" s="39">
        <v>0</v>
      </c>
      <c r="D121" s="39">
        <v>7877.3420352000003</v>
      </c>
      <c r="E121" s="39">
        <v>11262.461144941966</v>
      </c>
      <c r="F121" s="39">
        <v>690.19642560000011</v>
      </c>
      <c r="G121" s="39">
        <v>413.80781522557146</v>
      </c>
      <c r="H121" s="40">
        <v>0.42972859304769551</v>
      </c>
      <c r="I121" s="40">
        <v>-0.40044920565063646</v>
      </c>
      <c r="J121" s="40">
        <v>0.36284990299036912</v>
      </c>
    </row>
    <row r="122" spans="1:10" ht="11.25" customHeight="1" x14ac:dyDescent="0.2">
      <c r="A122" s="49">
        <v>44440</v>
      </c>
      <c r="B122" s="39">
        <v>0</v>
      </c>
      <c r="C122" s="39">
        <v>0</v>
      </c>
      <c r="D122" s="39">
        <v>491.26458239999999</v>
      </c>
      <c r="E122" s="39">
        <v>702.37502020891566</v>
      </c>
      <c r="F122" s="39">
        <v>43.043587199999997</v>
      </c>
      <c r="G122" s="39">
        <v>25.806816897406105</v>
      </c>
      <c r="H122" s="40">
        <v>0.42972859304769551</v>
      </c>
      <c r="I122" s="40">
        <v>-0.40044920565063624</v>
      </c>
      <c r="J122" s="40">
        <v>0.36284990299036912</v>
      </c>
    </row>
    <row r="123" spans="1:10" ht="11.25" customHeight="1" x14ac:dyDescent="0.2">
      <c r="A123" s="49">
        <v>44470</v>
      </c>
      <c r="B123" s="39">
        <v>0</v>
      </c>
      <c r="C123" s="39">
        <v>0</v>
      </c>
      <c r="D123" s="39">
        <v>508.37329920000002</v>
      </c>
      <c r="E123" s="39">
        <v>726.83584180823107</v>
      </c>
      <c r="F123" s="39">
        <v>44.5426176</v>
      </c>
      <c r="G123" s="39">
        <v>26.705561764479949</v>
      </c>
      <c r="H123" s="40">
        <v>0.42972859304769528</v>
      </c>
      <c r="I123" s="40">
        <v>-0.40044920565063624</v>
      </c>
      <c r="J123" s="40">
        <v>0.36284990299036912</v>
      </c>
    </row>
    <row r="124" spans="1:10" ht="11.25" customHeight="1" x14ac:dyDescent="0.2">
      <c r="A124" s="49">
        <v>44501</v>
      </c>
      <c r="B124" s="39">
        <v>0</v>
      </c>
      <c r="C124" s="39">
        <v>0</v>
      </c>
      <c r="D124" s="39">
        <v>598.80508799999996</v>
      </c>
      <c r="E124" s="39">
        <v>856.12875597604136</v>
      </c>
      <c r="F124" s="39">
        <v>52.466063999999996</v>
      </c>
      <c r="G124" s="39">
        <v>31.456070347584554</v>
      </c>
      <c r="H124" s="40">
        <v>0.42972859304769528</v>
      </c>
      <c r="I124" s="40">
        <v>-0.40044920565063624</v>
      </c>
      <c r="J124" s="40">
        <v>0.36284990299036912</v>
      </c>
    </row>
    <row r="125" spans="1:10" ht="11.25" customHeight="1" x14ac:dyDescent="0.2">
      <c r="A125" s="49">
        <v>44531</v>
      </c>
      <c r="B125" s="39">
        <v>0</v>
      </c>
      <c r="C125" s="39">
        <v>0</v>
      </c>
      <c r="D125" s="39">
        <v>496.15278719999998</v>
      </c>
      <c r="E125" s="39">
        <v>709.36382638014857</v>
      </c>
      <c r="F125" s="39">
        <v>43.471881599999996</v>
      </c>
      <c r="G125" s="39">
        <v>26.063601145141487</v>
      </c>
      <c r="H125" s="40">
        <v>0.42972859304769528</v>
      </c>
      <c r="I125" s="40">
        <v>-0.40044920565063624</v>
      </c>
      <c r="J125" s="40">
        <v>0.3628499029903689</v>
      </c>
    </row>
    <row r="126" spans="1:10" ht="11.25" customHeight="1" x14ac:dyDescent="0.2">
      <c r="A126" s="49">
        <v>44562</v>
      </c>
      <c r="B126" s="39">
        <v>0</v>
      </c>
      <c r="C126" s="39">
        <v>0</v>
      </c>
      <c r="D126" s="39">
        <v>391.05638399999998</v>
      </c>
      <c r="E126" s="39">
        <v>559.1044936986392</v>
      </c>
      <c r="F126" s="39">
        <v>34.263551999999997</v>
      </c>
      <c r="G126" s="39">
        <v>20.542739818830729</v>
      </c>
      <c r="H126" s="40">
        <v>0.42972859304769528</v>
      </c>
      <c r="I126" s="40">
        <v>-0.40044920565063624</v>
      </c>
      <c r="J126" s="40">
        <v>0.3628499029903689</v>
      </c>
    </row>
    <row r="127" spans="1:10" ht="11.25" customHeight="1" x14ac:dyDescent="0.2">
      <c r="A127" s="49">
        <v>44593</v>
      </c>
      <c r="B127" s="39">
        <v>0</v>
      </c>
      <c r="C127" s="39">
        <v>0</v>
      </c>
      <c r="D127" s="39">
        <v>1581.3342528000001</v>
      </c>
      <c r="E127" s="39">
        <v>2260.8787963938726</v>
      </c>
      <c r="F127" s="39">
        <v>138.5532384</v>
      </c>
      <c r="G127" s="39">
        <v>83.069704142396759</v>
      </c>
      <c r="H127" s="40">
        <v>0.42972859304769528</v>
      </c>
      <c r="I127" s="40">
        <v>-0.40044920565063635</v>
      </c>
      <c r="J127" s="40">
        <v>0.36284990299036912</v>
      </c>
    </row>
    <row r="128" spans="1:10" ht="11.25" customHeight="1" x14ac:dyDescent="0.2">
      <c r="A128" s="49">
        <v>44621</v>
      </c>
      <c r="B128" s="39">
        <v>0</v>
      </c>
      <c r="C128" s="39">
        <v>0</v>
      </c>
      <c r="D128" s="39">
        <v>1224.4953024000001</v>
      </c>
      <c r="E128" s="39">
        <v>1750.6959458938643</v>
      </c>
      <c r="F128" s="39">
        <v>107.2877472</v>
      </c>
      <c r="G128" s="39">
        <v>64.324454057713723</v>
      </c>
      <c r="H128" s="40">
        <v>0.42972859304769528</v>
      </c>
      <c r="I128" s="40">
        <v>-0.40044920565063624</v>
      </c>
      <c r="J128" s="40">
        <v>0.3628499029903689</v>
      </c>
    </row>
    <row r="129" spans="1:10" ht="11.25" customHeight="1" x14ac:dyDescent="0.2">
      <c r="A129" s="49">
        <v>44652</v>
      </c>
      <c r="B129" s="39">
        <v>0</v>
      </c>
      <c r="C129" s="39">
        <v>0</v>
      </c>
      <c r="D129" s="39">
        <v>1080.2932607999999</v>
      </c>
      <c r="E129" s="39">
        <v>1544.5261638424911</v>
      </c>
      <c r="F129" s="39">
        <v>94.653062399999996</v>
      </c>
      <c r="G129" s="39">
        <v>56.749318749519887</v>
      </c>
      <c r="H129" s="40">
        <v>0.42972859304769551</v>
      </c>
      <c r="I129" s="40">
        <v>-0.40044920565063635</v>
      </c>
      <c r="J129" s="40">
        <v>0.36284990299036934</v>
      </c>
    </row>
    <row r="130" spans="1:10" ht="11.25" customHeight="1" x14ac:dyDescent="0.2">
      <c r="A130" s="49">
        <v>44682</v>
      </c>
      <c r="B130" s="39">
        <v>0</v>
      </c>
      <c r="C130" s="39">
        <v>0</v>
      </c>
      <c r="D130" s="39">
        <v>415.49740800000006</v>
      </c>
      <c r="E130" s="39">
        <v>594.04852455480432</v>
      </c>
      <c r="F130" s="39">
        <v>36.405024000000004</v>
      </c>
      <c r="G130" s="39">
        <v>21.826661057507653</v>
      </c>
      <c r="H130" s="40">
        <v>0.42972859304769528</v>
      </c>
      <c r="I130" s="40">
        <v>-0.40044920565063624</v>
      </c>
      <c r="J130" s="40">
        <v>0.36284990299036912</v>
      </c>
    </row>
    <row r="131" spans="1:10" ht="11.25" customHeight="1" x14ac:dyDescent="0.2">
      <c r="A131" s="49">
        <v>44713</v>
      </c>
      <c r="B131" s="39">
        <v>0</v>
      </c>
      <c r="C131" s="39">
        <v>0</v>
      </c>
      <c r="D131" s="39">
        <v>388.61228160000002</v>
      </c>
      <c r="E131" s="39">
        <v>555.61009061302275</v>
      </c>
      <c r="F131" s="39">
        <v>34.049404799999998</v>
      </c>
      <c r="G131" s="39">
        <v>20.414347694963038</v>
      </c>
      <c r="H131" s="40">
        <v>0.42972859304769528</v>
      </c>
      <c r="I131" s="40">
        <v>-0.40044920565063624</v>
      </c>
      <c r="J131" s="40">
        <v>0.3628499029903689</v>
      </c>
    </row>
    <row r="132" spans="1:10" ht="11.25" customHeight="1" x14ac:dyDescent="0.2">
      <c r="A132" s="49">
        <v>44743</v>
      </c>
      <c r="B132" s="39">
        <v>0</v>
      </c>
      <c r="C132" s="39">
        <v>0</v>
      </c>
      <c r="D132" s="39">
        <v>356.83895040000004</v>
      </c>
      <c r="E132" s="39">
        <v>510.18285050000839</v>
      </c>
      <c r="F132" s="39">
        <v>31.2654912</v>
      </c>
      <c r="G132" s="39">
        <v>18.745250084683043</v>
      </c>
      <c r="H132" s="40">
        <v>0.42972859304769528</v>
      </c>
      <c r="I132" s="40">
        <v>-0.40044920565063624</v>
      </c>
      <c r="J132" s="40">
        <v>0.36284990299036912</v>
      </c>
    </row>
    <row r="133" spans="1:10" ht="11.25" customHeight="1" x14ac:dyDescent="0.2">
      <c r="A133" s="49">
        <v>44774</v>
      </c>
      <c r="B133" s="39">
        <v>0</v>
      </c>
      <c r="C133" s="39">
        <v>0</v>
      </c>
      <c r="D133" s="39">
        <v>344.6184384</v>
      </c>
      <c r="E133" s="39">
        <v>492.71083507192594</v>
      </c>
      <c r="F133" s="39">
        <v>30.194755199999999</v>
      </c>
      <c r="G133" s="39">
        <v>18.103289465344581</v>
      </c>
      <c r="H133" s="40">
        <v>0.42972859304769551</v>
      </c>
      <c r="I133" s="40">
        <v>-0.40044920565063624</v>
      </c>
      <c r="J133" s="40">
        <v>0.36284990299036934</v>
      </c>
    </row>
    <row r="134" spans="1:10" ht="11.25" customHeight="1" x14ac:dyDescent="0.2">
      <c r="A134" s="44" t="s">
        <v>48</v>
      </c>
      <c r="B134" s="39">
        <v>128559.98399999998</v>
      </c>
      <c r="C134" s="39">
        <v>175636.54271530264</v>
      </c>
      <c r="D134" s="39">
        <v>638813.6044648001</v>
      </c>
      <c r="E134" s="39">
        <v>909565.36111347738</v>
      </c>
      <c r="F134" s="39">
        <v>475666.57578340004</v>
      </c>
      <c r="G134" s="39">
        <v>285186.27335637924</v>
      </c>
      <c r="H134" s="40">
        <v>0.41417677144690912</v>
      </c>
      <c r="I134" s="40">
        <v>-0.40044920565063646</v>
      </c>
      <c r="J134" s="40">
        <v>0.10244883198442745</v>
      </c>
    </row>
    <row r="135" spans="1:10" ht="11.25" customHeight="1" x14ac:dyDescent="0.2">
      <c r="A135" s="45" t="s">
        <v>49</v>
      </c>
      <c r="B135" s="39">
        <v>128559.98399999998</v>
      </c>
      <c r="C135" s="39">
        <v>175636.54271530264</v>
      </c>
      <c r="D135" s="39">
        <v>638813.6044648001</v>
      </c>
      <c r="E135" s="39">
        <v>909565.36111347738</v>
      </c>
      <c r="F135" s="39">
        <v>475666.57578340004</v>
      </c>
      <c r="G135" s="39">
        <v>285186.27335637924</v>
      </c>
      <c r="H135" s="40">
        <v>0.41417677144690912</v>
      </c>
      <c r="I135" s="40">
        <v>-0.40044920565063646</v>
      </c>
      <c r="J135" s="40">
        <v>0.10244883198442745</v>
      </c>
    </row>
    <row r="136" spans="1:10" ht="11.25" customHeight="1" x14ac:dyDescent="0.2">
      <c r="A136" s="46" t="s">
        <v>25</v>
      </c>
      <c r="B136" s="39">
        <v>128559.98399999998</v>
      </c>
      <c r="C136" s="39">
        <v>175636.54271530264</v>
      </c>
      <c r="D136" s="39">
        <v>638813.6044648001</v>
      </c>
      <c r="E136" s="39">
        <v>909565.36111347738</v>
      </c>
      <c r="F136" s="39">
        <v>475666.57578340004</v>
      </c>
      <c r="G136" s="39">
        <v>285186.27335637924</v>
      </c>
      <c r="H136" s="40">
        <v>0.41417677144690912</v>
      </c>
      <c r="I136" s="40">
        <v>-0.40044920565063646</v>
      </c>
      <c r="J136" s="40">
        <v>0.10244883198442745</v>
      </c>
    </row>
    <row r="137" spans="1:10" ht="11.25" customHeight="1" x14ac:dyDescent="0.2">
      <c r="A137" s="47" t="s">
        <v>25</v>
      </c>
      <c r="B137" s="39">
        <v>128559.98399999998</v>
      </c>
      <c r="C137" s="39">
        <v>175636.54271530264</v>
      </c>
      <c r="D137" s="39">
        <v>638813.6044648001</v>
      </c>
      <c r="E137" s="39">
        <v>909565.36111347738</v>
      </c>
      <c r="F137" s="39">
        <v>475666.57578340004</v>
      </c>
      <c r="G137" s="39">
        <v>285186.27335637924</v>
      </c>
      <c r="H137" s="40">
        <v>0.41417677144690912</v>
      </c>
      <c r="I137" s="40">
        <v>-0.40044920565063646</v>
      </c>
      <c r="J137" s="40">
        <v>0.10244883198442745</v>
      </c>
    </row>
    <row r="138" spans="1:10" ht="11.25" customHeight="1" x14ac:dyDescent="0.2">
      <c r="A138" s="48" t="s">
        <v>35</v>
      </c>
      <c r="B138" s="39">
        <v>0</v>
      </c>
      <c r="C138" s="39">
        <v>0</v>
      </c>
      <c r="D138" s="39">
        <v>130436.79186759998</v>
      </c>
      <c r="E138" s="39">
        <v>182724.49610081082</v>
      </c>
      <c r="F138" s="39">
        <v>431123.65034680004</v>
      </c>
      <c r="G138" s="39">
        <v>258480.52702822129</v>
      </c>
      <c r="H138" s="40">
        <v>0.40086622405038552</v>
      </c>
      <c r="I138" s="40">
        <v>-0.40044920565063635</v>
      </c>
      <c r="J138" s="40">
        <v>-0.21432317883854257</v>
      </c>
    </row>
    <row r="139" spans="1:10" ht="11.25" customHeight="1" x14ac:dyDescent="0.2">
      <c r="A139" s="49">
        <v>44440</v>
      </c>
      <c r="B139" s="39">
        <v>0</v>
      </c>
      <c r="C139" s="39">
        <v>0</v>
      </c>
      <c r="D139" s="39">
        <v>8762.2253502000003</v>
      </c>
      <c r="E139" s="39">
        <v>12274.70554061324</v>
      </c>
      <c r="F139" s="39">
        <v>28961.173638600001</v>
      </c>
      <c r="G139" s="39">
        <v>17363.694660312482</v>
      </c>
      <c r="H139" s="40">
        <v>0.4008662240503853</v>
      </c>
      <c r="I139" s="40">
        <v>-0.40044920565063635</v>
      </c>
      <c r="J139" s="40">
        <v>-0.21432317883854246</v>
      </c>
    </row>
    <row r="140" spans="1:10" ht="11.25" customHeight="1" x14ac:dyDescent="0.2">
      <c r="A140" s="49">
        <v>44470</v>
      </c>
      <c r="B140" s="39">
        <v>0</v>
      </c>
      <c r="C140" s="39">
        <v>0</v>
      </c>
      <c r="D140" s="39">
        <v>9646.8410765999997</v>
      </c>
      <c r="E140" s="39">
        <v>13513.933832990797</v>
      </c>
      <c r="F140" s="39">
        <v>31885.032433799999</v>
      </c>
      <c r="G140" s="39">
        <v>19116.696523540017</v>
      </c>
      <c r="H140" s="40">
        <v>0.40086622405038552</v>
      </c>
      <c r="I140" s="40">
        <v>-0.40044920565063624</v>
      </c>
      <c r="J140" s="40">
        <v>-0.21432317883854257</v>
      </c>
    </row>
    <row r="141" spans="1:10" ht="11.25" customHeight="1" x14ac:dyDescent="0.2">
      <c r="A141" s="49">
        <v>44501</v>
      </c>
      <c r="B141" s="39">
        <v>0</v>
      </c>
      <c r="C141" s="39">
        <v>0</v>
      </c>
      <c r="D141" s="39">
        <v>9837.4800796</v>
      </c>
      <c r="E141" s="39">
        <v>13780.993573280139</v>
      </c>
      <c r="F141" s="39">
        <v>32515.138262800003</v>
      </c>
      <c r="G141" s="39">
        <v>19494.476973841131</v>
      </c>
      <c r="H141" s="40">
        <v>0.40086622405038552</v>
      </c>
      <c r="I141" s="40">
        <v>-0.40044920565063635</v>
      </c>
      <c r="J141" s="40">
        <v>-0.21432317883854268</v>
      </c>
    </row>
    <row r="142" spans="1:10" ht="11.25" customHeight="1" x14ac:dyDescent="0.2">
      <c r="A142" s="49">
        <v>44531</v>
      </c>
      <c r="B142" s="39">
        <v>0</v>
      </c>
      <c r="C142" s="39">
        <v>0</v>
      </c>
      <c r="D142" s="39">
        <v>11432.1230012</v>
      </c>
      <c r="E142" s="39">
        <v>16014.874981570603</v>
      </c>
      <c r="F142" s="39">
        <v>37785.800531599998</v>
      </c>
      <c r="G142" s="39">
        <v>22654.506723847389</v>
      </c>
      <c r="H142" s="40">
        <v>0.40086622405038552</v>
      </c>
      <c r="I142" s="40">
        <v>-0.40044920565063624</v>
      </c>
      <c r="J142" s="40">
        <v>-0.21432317883854246</v>
      </c>
    </row>
    <row r="143" spans="1:10" ht="11.25" customHeight="1" x14ac:dyDescent="0.2">
      <c r="A143" s="49">
        <v>44562</v>
      </c>
      <c r="B143" s="39">
        <v>0</v>
      </c>
      <c r="C143" s="39">
        <v>0</v>
      </c>
      <c r="D143" s="39">
        <v>14090.157259999998</v>
      </c>
      <c r="E143" s="39">
        <v>19738.425397092324</v>
      </c>
      <c r="F143" s="39">
        <v>46571.216179999996</v>
      </c>
      <c r="G143" s="39">
        <v>27921.80965453494</v>
      </c>
      <c r="H143" s="40">
        <v>0.40086622405038552</v>
      </c>
      <c r="I143" s="40">
        <v>-0.40044920565063624</v>
      </c>
      <c r="J143" s="40">
        <v>-0.21432317883854257</v>
      </c>
    </row>
    <row r="144" spans="1:10" ht="11.25" customHeight="1" x14ac:dyDescent="0.2">
      <c r="A144" s="49">
        <v>44593</v>
      </c>
      <c r="B144" s="39">
        <v>0</v>
      </c>
      <c r="C144" s="39">
        <v>0</v>
      </c>
      <c r="D144" s="39">
        <v>12092.666528399997</v>
      </c>
      <c r="E144" s="39">
        <v>16940.20809834019</v>
      </c>
      <c r="F144" s="39">
        <v>39969.049081199999</v>
      </c>
      <c r="G144" s="39">
        <v>23963.475126022164</v>
      </c>
      <c r="H144" s="40">
        <v>0.40086622405038574</v>
      </c>
      <c r="I144" s="40">
        <v>-0.40044920565063635</v>
      </c>
      <c r="J144" s="40">
        <v>-0.21432317883854257</v>
      </c>
    </row>
    <row r="145" spans="1:10" ht="11.25" customHeight="1" x14ac:dyDescent="0.2">
      <c r="A145" s="49">
        <v>44621</v>
      </c>
      <c r="B145" s="39">
        <v>0</v>
      </c>
      <c r="C145" s="39">
        <v>0</v>
      </c>
      <c r="D145" s="39">
        <v>11596.2438334</v>
      </c>
      <c r="E145" s="39">
        <v>16244.786312062624</v>
      </c>
      <c r="F145" s="39">
        <v>38328.257696200002</v>
      </c>
      <c r="G145" s="39">
        <v>22979.737347783823</v>
      </c>
      <c r="H145" s="40">
        <v>0.4008662240503853</v>
      </c>
      <c r="I145" s="40">
        <v>-0.40044920565063635</v>
      </c>
      <c r="J145" s="40">
        <v>-0.21432317883854268</v>
      </c>
    </row>
    <row r="146" spans="1:10" ht="11.25" customHeight="1" x14ac:dyDescent="0.2">
      <c r="A146" s="49">
        <v>44652</v>
      </c>
      <c r="B146" s="39">
        <v>0</v>
      </c>
      <c r="C146" s="39">
        <v>0</v>
      </c>
      <c r="D146" s="39">
        <v>11560.336453800001</v>
      </c>
      <c r="E146" s="39">
        <v>16194.48487678683</v>
      </c>
      <c r="F146" s="39">
        <v>38209.575533399999</v>
      </c>
      <c r="G146" s="39">
        <v>22908.581362801986</v>
      </c>
      <c r="H146" s="40">
        <v>0.40086622405038552</v>
      </c>
      <c r="I146" s="40">
        <v>-0.40044920565063613</v>
      </c>
      <c r="J146" s="40">
        <v>-0.21432317883854257</v>
      </c>
    </row>
    <row r="147" spans="1:10" ht="11.25" customHeight="1" x14ac:dyDescent="0.2">
      <c r="A147" s="49">
        <v>44682</v>
      </c>
      <c r="B147" s="39">
        <v>0</v>
      </c>
      <c r="C147" s="39">
        <v>0</v>
      </c>
      <c r="D147" s="39">
        <v>10957.523872599999</v>
      </c>
      <c r="E147" s="39">
        <v>15350.025092351119</v>
      </c>
      <c r="F147" s="39">
        <v>36217.141061800001</v>
      </c>
      <c r="G147" s="39">
        <v>21714.015692665151</v>
      </c>
      <c r="H147" s="40">
        <v>0.40086622405038574</v>
      </c>
      <c r="I147" s="40">
        <v>-0.40044920565063624</v>
      </c>
      <c r="J147" s="40">
        <v>-0.21432317883854246</v>
      </c>
    </row>
    <row r="148" spans="1:10" ht="11.25" customHeight="1" x14ac:dyDescent="0.2">
      <c r="A148" s="49">
        <v>44713</v>
      </c>
      <c r="B148" s="39">
        <v>0</v>
      </c>
      <c r="C148" s="39">
        <v>0</v>
      </c>
      <c r="D148" s="39">
        <v>9576.9929759999995</v>
      </c>
      <c r="E148" s="39">
        <v>13416.085988046183</v>
      </c>
      <c r="F148" s="39">
        <v>31654.168367999999</v>
      </c>
      <c r="G148" s="39">
        <v>18978.281789502904</v>
      </c>
      <c r="H148" s="40">
        <v>0.40086622405038552</v>
      </c>
      <c r="I148" s="40">
        <v>-0.40044920565063624</v>
      </c>
      <c r="J148" s="40">
        <v>-0.21432317883854257</v>
      </c>
    </row>
    <row r="149" spans="1:10" ht="11.25" customHeight="1" x14ac:dyDescent="0.2">
      <c r="A149" s="49">
        <v>44743</v>
      </c>
      <c r="B149" s="39">
        <v>0</v>
      </c>
      <c r="C149" s="39">
        <v>0</v>
      </c>
      <c r="D149" s="39">
        <v>10621.669336200001</v>
      </c>
      <c r="E149" s="39">
        <v>14879.537816114258</v>
      </c>
      <c r="F149" s="39">
        <v>35107.064436599998</v>
      </c>
      <c r="G149" s="39">
        <v>21048.468370237828</v>
      </c>
      <c r="H149" s="40">
        <v>0.4008662240503853</v>
      </c>
      <c r="I149" s="40">
        <v>-0.40044920565063624</v>
      </c>
      <c r="J149" s="40">
        <v>-0.21432317883854257</v>
      </c>
    </row>
    <row r="150" spans="1:10" ht="11.25" customHeight="1" x14ac:dyDescent="0.2">
      <c r="A150" s="49">
        <v>44774</v>
      </c>
      <c r="B150" s="39">
        <v>0</v>
      </c>
      <c r="C150" s="39">
        <v>0</v>
      </c>
      <c r="D150" s="39">
        <v>10262.532099599999</v>
      </c>
      <c r="E150" s="39">
        <v>14376.434591562524</v>
      </c>
      <c r="F150" s="39">
        <v>33920.0331228</v>
      </c>
      <c r="G150" s="39">
        <v>20336.782803131468</v>
      </c>
      <c r="H150" s="40">
        <v>0.4008662240503853</v>
      </c>
      <c r="I150" s="40">
        <v>-0.40044920565063635</v>
      </c>
      <c r="J150" s="40">
        <v>-0.21432317883854268</v>
      </c>
    </row>
    <row r="151" spans="1:10" ht="11.25" customHeight="1" x14ac:dyDescent="0.2">
      <c r="A151" s="48" t="s">
        <v>25</v>
      </c>
      <c r="B151" s="39">
        <v>128559.98399999998</v>
      </c>
      <c r="C151" s="39">
        <v>175636.54271530264</v>
      </c>
      <c r="D151" s="39">
        <v>0</v>
      </c>
      <c r="E151" s="39">
        <v>0</v>
      </c>
      <c r="F151" s="39">
        <v>0</v>
      </c>
      <c r="G151" s="39">
        <v>0</v>
      </c>
      <c r="H151" s="40">
        <v>0.36618360745364331</v>
      </c>
      <c r="I151" s="40">
        <v>0</v>
      </c>
      <c r="J151" s="40">
        <v>0.36618360745364331</v>
      </c>
    </row>
    <row r="152" spans="1:10" ht="11.25" customHeight="1" x14ac:dyDescent="0.2">
      <c r="A152" s="49">
        <v>44440</v>
      </c>
      <c r="B152" s="39">
        <v>9414.6</v>
      </c>
      <c r="C152" s="39">
        <v>12862.072190733068</v>
      </c>
      <c r="D152" s="39">
        <v>0</v>
      </c>
      <c r="E152" s="39">
        <v>0</v>
      </c>
      <c r="F152" s="39">
        <v>0</v>
      </c>
      <c r="G152" s="39">
        <v>0</v>
      </c>
      <c r="H152" s="40">
        <v>0.36618360745364309</v>
      </c>
      <c r="I152" s="40">
        <v>0</v>
      </c>
      <c r="J152" s="40">
        <v>0.36618360745364309</v>
      </c>
    </row>
    <row r="153" spans="1:10" ht="11.25" customHeight="1" x14ac:dyDescent="0.2">
      <c r="A153" s="49">
        <v>44470</v>
      </c>
      <c r="B153" s="39">
        <v>9646.3439999999991</v>
      </c>
      <c r="C153" s="39">
        <v>13178.677044658805</v>
      </c>
      <c r="D153" s="39">
        <v>0</v>
      </c>
      <c r="E153" s="39">
        <v>0</v>
      </c>
      <c r="F153" s="39">
        <v>0</v>
      </c>
      <c r="G153" s="39">
        <v>0</v>
      </c>
      <c r="H153" s="40">
        <v>0.36618360745364331</v>
      </c>
      <c r="I153" s="40">
        <v>0</v>
      </c>
      <c r="J153" s="40">
        <v>0.36618360745364331</v>
      </c>
    </row>
    <row r="154" spans="1:10" ht="11.25" customHeight="1" x14ac:dyDescent="0.2">
      <c r="A154" s="49">
        <v>44501</v>
      </c>
      <c r="B154" s="39">
        <v>9559.4399999999987</v>
      </c>
      <c r="C154" s="39">
        <v>13059.950224436654</v>
      </c>
      <c r="D154" s="39">
        <v>0</v>
      </c>
      <c r="E154" s="39">
        <v>0</v>
      </c>
      <c r="F154" s="39">
        <v>0</v>
      </c>
      <c r="G154" s="39">
        <v>0</v>
      </c>
      <c r="H154" s="40">
        <v>0.36618360745364331</v>
      </c>
      <c r="I154" s="40">
        <v>0</v>
      </c>
      <c r="J154" s="40">
        <v>0.36618360745364331</v>
      </c>
    </row>
    <row r="155" spans="1:10" ht="11.25" customHeight="1" x14ac:dyDescent="0.2">
      <c r="A155" s="49">
        <v>44531</v>
      </c>
      <c r="B155" s="39">
        <v>11036.807999999999</v>
      </c>
      <c r="C155" s="39">
        <v>15078.306168213227</v>
      </c>
      <c r="D155" s="39">
        <v>0</v>
      </c>
      <c r="E155" s="39">
        <v>0</v>
      </c>
      <c r="F155" s="39">
        <v>0</v>
      </c>
      <c r="G155" s="39">
        <v>0</v>
      </c>
      <c r="H155" s="40">
        <v>0.36618360745364309</v>
      </c>
      <c r="I155" s="40">
        <v>0</v>
      </c>
      <c r="J155" s="40">
        <v>0.36618360745364309</v>
      </c>
    </row>
    <row r="156" spans="1:10" ht="11.25" customHeight="1" x14ac:dyDescent="0.2">
      <c r="A156" s="49">
        <v>44562</v>
      </c>
      <c r="B156" s="39">
        <v>11036.807999999999</v>
      </c>
      <c r="C156" s="39">
        <v>15078.306168213227</v>
      </c>
      <c r="D156" s="39">
        <v>0</v>
      </c>
      <c r="E156" s="39">
        <v>0</v>
      </c>
      <c r="F156" s="39">
        <v>0</v>
      </c>
      <c r="G156" s="39">
        <v>0</v>
      </c>
      <c r="H156" s="40">
        <v>0.36618360745364309</v>
      </c>
      <c r="I156" s="40">
        <v>0</v>
      </c>
      <c r="J156" s="40">
        <v>0.36618360745364309</v>
      </c>
    </row>
    <row r="157" spans="1:10" ht="11.25" customHeight="1" x14ac:dyDescent="0.2">
      <c r="A157" s="49">
        <v>44593</v>
      </c>
      <c r="B157" s="39">
        <v>11355.455999999998</v>
      </c>
      <c r="C157" s="39">
        <v>15513.637842361115</v>
      </c>
      <c r="D157" s="39">
        <v>0</v>
      </c>
      <c r="E157" s="39">
        <v>0</v>
      </c>
      <c r="F157" s="39">
        <v>0</v>
      </c>
      <c r="G157" s="39">
        <v>0</v>
      </c>
      <c r="H157" s="40">
        <v>0.36618360745364309</v>
      </c>
      <c r="I157" s="40">
        <v>0</v>
      </c>
      <c r="J157" s="40">
        <v>0.36618360745364309</v>
      </c>
    </row>
    <row r="158" spans="1:10" ht="11.25" customHeight="1" x14ac:dyDescent="0.2">
      <c r="A158" s="49">
        <v>44621</v>
      </c>
      <c r="B158" s="39">
        <v>10978.871999999999</v>
      </c>
      <c r="C158" s="39">
        <v>14999.154954731792</v>
      </c>
      <c r="D158" s="39">
        <v>0</v>
      </c>
      <c r="E158" s="39">
        <v>0</v>
      </c>
      <c r="F158" s="39">
        <v>0</v>
      </c>
      <c r="G158" s="39">
        <v>0</v>
      </c>
      <c r="H158" s="40">
        <v>0.36618360745364309</v>
      </c>
      <c r="I158" s="40">
        <v>0</v>
      </c>
      <c r="J158" s="40">
        <v>0.36618360745364309</v>
      </c>
    </row>
    <row r="159" spans="1:10" ht="11.25" customHeight="1" x14ac:dyDescent="0.2">
      <c r="A159" s="49">
        <v>44652</v>
      </c>
      <c r="B159" s="39">
        <v>10834.031999999999</v>
      </c>
      <c r="C159" s="39">
        <v>14801.276921028208</v>
      </c>
      <c r="D159" s="39">
        <v>0</v>
      </c>
      <c r="E159" s="39">
        <v>0</v>
      </c>
      <c r="F159" s="39">
        <v>0</v>
      </c>
      <c r="G159" s="39">
        <v>0</v>
      </c>
      <c r="H159" s="40">
        <v>0.36618360745364309</v>
      </c>
      <c r="I159" s="40">
        <v>0</v>
      </c>
      <c r="J159" s="40">
        <v>0.36618360745364309</v>
      </c>
    </row>
    <row r="160" spans="1:10" ht="11.25" customHeight="1" x14ac:dyDescent="0.2">
      <c r="A160" s="49">
        <v>44682</v>
      </c>
      <c r="B160" s="39">
        <v>11065.776</v>
      </c>
      <c r="C160" s="39">
        <v>15117.881774953945</v>
      </c>
      <c r="D160" s="39">
        <v>0</v>
      </c>
      <c r="E160" s="39">
        <v>0</v>
      </c>
      <c r="F160" s="39">
        <v>0</v>
      </c>
      <c r="G160" s="39">
        <v>0</v>
      </c>
      <c r="H160" s="40">
        <v>0.36618360745364309</v>
      </c>
      <c r="I160" s="40">
        <v>0</v>
      </c>
      <c r="J160" s="40">
        <v>0.36618360745364309</v>
      </c>
    </row>
    <row r="161" spans="1:10" ht="11.25" customHeight="1" x14ac:dyDescent="0.2">
      <c r="A161" s="49">
        <v>44713</v>
      </c>
      <c r="B161" s="39">
        <v>10573.32</v>
      </c>
      <c r="C161" s="39">
        <v>14445.096460361754</v>
      </c>
      <c r="D161" s="39">
        <v>0</v>
      </c>
      <c r="E161" s="39">
        <v>0</v>
      </c>
      <c r="F161" s="39">
        <v>0</v>
      </c>
      <c r="G161" s="39">
        <v>0</v>
      </c>
      <c r="H161" s="40">
        <v>0.36618360745364309</v>
      </c>
      <c r="I161" s="40">
        <v>0</v>
      </c>
      <c r="J161" s="40">
        <v>0.36618360745364309</v>
      </c>
    </row>
    <row r="162" spans="1:10" ht="11.25" customHeight="1" x14ac:dyDescent="0.2">
      <c r="A162" s="49">
        <v>44743</v>
      </c>
      <c r="B162" s="39">
        <v>10776.096</v>
      </c>
      <c r="C162" s="39">
        <v>14722.125707546773</v>
      </c>
      <c r="D162" s="39">
        <v>0</v>
      </c>
      <c r="E162" s="39">
        <v>0</v>
      </c>
      <c r="F162" s="39">
        <v>0</v>
      </c>
      <c r="G162" s="39">
        <v>0</v>
      </c>
      <c r="H162" s="40">
        <v>0.36618360745364309</v>
      </c>
      <c r="I162" s="40">
        <v>0</v>
      </c>
      <c r="J162" s="40">
        <v>0.36618360745364309</v>
      </c>
    </row>
    <row r="163" spans="1:10" ht="11.25" customHeight="1" x14ac:dyDescent="0.2">
      <c r="A163" s="49">
        <v>44774</v>
      </c>
      <c r="B163" s="39">
        <v>12282.431999999999</v>
      </c>
      <c r="C163" s="39">
        <v>16780.057258064062</v>
      </c>
      <c r="D163" s="39">
        <v>0</v>
      </c>
      <c r="E163" s="39">
        <v>0</v>
      </c>
      <c r="F163" s="39">
        <v>0</v>
      </c>
      <c r="G163" s="39">
        <v>0</v>
      </c>
      <c r="H163" s="40">
        <v>0.36618360745364309</v>
      </c>
      <c r="I163" s="40">
        <v>0</v>
      </c>
      <c r="J163" s="40">
        <v>0.36618360745364309</v>
      </c>
    </row>
    <row r="164" spans="1:10" ht="11.25" customHeight="1" x14ac:dyDescent="0.2">
      <c r="A164" s="48" t="s">
        <v>34</v>
      </c>
      <c r="B164" s="39">
        <v>0</v>
      </c>
      <c r="C164" s="39">
        <v>0</v>
      </c>
      <c r="D164" s="39">
        <v>508376.81259720004</v>
      </c>
      <c r="E164" s="39">
        <v>726840.86501266656</v>
      </c>
      <c r="F164" s="39">
        <v>44542.925436599995</v>
      </c>
      <c r="G164" s="39">
        <v>26705.746328158002</v>
      </c>
      <c r="H164" s="40">
        <v>0.42972859304769506</v>
      </c>
      <c r="I164" s="40">
        <v>-0.40044920565063635</v>
      </c>
      <c r="J164" s="40">
        <v>0.3628499029903689</v>
      </c>
    </row>
    <row r="165" spans="1:10" ht="11.25" customHeight="1" x14ac:dyDescent="0.2">
      <c r="A165" s="49">
        <v>44440</v>
      </c>
      <c r="B165" s="39">
        <v>0</v>
      </c>
      <c r="C165" s="39">
        <v>0</v>
      </c>
      <c r="D165" s="39">
        <v>35325.783119599997</v>
      </c>
      <c r="E165" s="39">
        <v>50506.282197893735</v>
      </c>
      <c r="F165" s="39">
        <v>3095.1720937999999</v>
      </c>
      <c r="G165" s="39">
        <v>1855.7128874857733</v>
      </c>
      <c r="H165" s="40">
        <v>0.42972859304769551</v>
      </c>
      <c r="I165" s="40">
        <v>-0.40044920565063624</v>
      </c>
      <c r="J165" s="40">
        <v>0.36284990299036934</v>
      </c>
    </row>
    <row r="166" spans="1:10" ht="11.25" customHeight="1" x14ac:dyDescent="0.2">
      <c r="A166" s="49">
        <v>44470</v>
      </c>
      <c r="B166" s="39">
        <v>0</v>
      </c>
      <c r="C166" s="39">
        <v>0</v>
      </c>
      <c r="D166" s="39">
        <v>36196.901949999999</v>
      </c>
      <c r="E166" s="39">
        <v>51751.74569765888</v>
      </c>
      <c r="F166" s="39">
        <v>3171.4977249999997</v>
      </c>
      <c r="G166" s="39">
        <v>1901.4739803009497</v>
      </c>
      <c r="H166" s="40">
        <v>0.42972859304769528</v>
      </c>
      <c r="I166" s="40">
        <v>-0.40044920565063624</v>
      </c>
      <c r="J166" s="40">
        <v>0.36284990299036912</v>
      </c>
    </row>
    <row r="167" spans="1:10" ht="11.25" customHeight="1" x14ac:dyDescent="0.2">
      <c r="A167" s="49">
        <v>44501</v>
      </c>
      <c r="B167" s="39">
        <v>0</v>
      </c>
      <c r="C167" s="39">
        <v>0</v>
      </c>
      <c r="D167" s="39">
        <v>32300.799049199999</v>
      </c>
      <c r="E167" s="39">
        <v>46181.375978929049</v>
      </c>
      <c r="F167" s="39">
        <v>2830.1292426</v>
      </c>
      <c r="G167" s="39">
        <v>1696.8062355121931</v>
      </c>
      <c r="H167" s="40">
        <v>0.42972859304769528</v>
      </c>
      <c r="I167" s="40">
        <v>-0.40044920565063624</v>
      </c>
      <c r="J167" s="40">
        <v>0.36284990299036934</v>
      </c>
    </row>
    <row r="168" spans="1:10" ht="11.25" customHeight="1" x14ac:dyDescent="0.2">
      <c r="A168" s="49">
        <v>44531</v>
      </c>
      <c r="B168" s="39">
        <v>0</v>
      </c>
      <c r="C168" s="39">
        <v>0</v>
      </c>
      <c r="D168" s="39">
        <v>45855.790959600003</v>
      </c>
      <c r="E168" s="39">
        <v>65561.335491758146</v>
      </c>
      <c r="F168" s="39">
        <v>4017.7896138000001</v>
      </c>
      <c r="G168" s="39">
        <v>2408.8689544824133</v>
      </c>
      <c r="H168" s="40">
        <v>0.42972859304769551</v>
      </c>
      <c r="I168" s="40">
        <v>-0.40044920565063624</v>
      </c>
      <c r="J168" s="40">
        <v>0.36284990299036934</v>
      </c>
    </row>
    <row r="169" spans="1:10" ht="11.25" customHeight="1" x14ac:dyDescent="0.2">
      <c r="A169" s="49">
        <v>44562</v>
      </c>
      <c r="B169" s="39">
        <v>0</v>
      </c>
      <c r="C169" s="39">
        <v>0</v>
      </c>
      <c r="D169" s="39">
        <v>53056.880411999999</v>
      </c>
      <c r="E169" s="39">
        <v>75856.938982948588</v>
      </c>
      <c r="F169" s="39">
        <v>4648.7341859999997</v>
      </c>
      <c r="G169" s="39">
        <v>2787.1522739353427</v>
      </c>
      <c r="H169" s="40">
        <v>0.42972859304769551</v>
      </c>
      <c r="I169" s="40">
        <v>-0.40044920565063624</v>
      </c>
      <c r="J169" s="40">
        <v>0.36284990299036912</v>
      </c>
    </row>
    <row r="170" spans="1:10" ht="11.25" customHeight="1" x14ac:dyDescent="0.2">
      <c r="A170" s="49">
        <v>44593</v>
      </c>
      <c r="B170" s="39">
        <v>0</v>
      </c>
      <c r="C170" s="39">
        <v>0</v>
      </c>
      <c r="D170" s="39">
        <v>50548.823999199994</v>
      </c>
      <c r="E170" s="39">
        <v>72271.09901659179</v>
      </c>
      <c r="F170" s="39">
        <v>4428.9834675999991</v>
      </c>
      <c r="G170" s="39">
        <v>2655.4005561597792</v>
      </c>
      <c r="H170" s="40">
        <v>0.42972859304769551</v>
      </c>
      <c r="I170" s="40">
        <v>-0.40044920565063624</v>
      </c>
      <c r="J170" s="40">
        <v>0.36284990299036912</v>
      </c>
    </row>
    <row r="171" spans="1:10" ht="11.25" customHeight="1" x14ac:dyDescent="0.2">
      <c r="A171" s="49">
        <v>44621</v>
      </c>
      <c r="B171" s="39">
        <v>0</v>
      </c>
      <c r="C171" s="39">
        <v>0</v>
      </c>
      <c r="D171" s="39">
        <v>47648.285475999997</v>
      </c>
      <c r="E171" s="39">
        <v>68124.116154736417</v>
      </c>
      <c r="F171" s="39">
        <v>4174.8442779999996</v>
      </c>
      <c r="G171" s="39">
        <v>2503.0312031597955</v>
      </c>
      <c r="H171" s="40">
        <v>0.42972859304769551</v>
      </c>
      <c r="I171" s="40">
        <v>-0.40044920565063635</v>
      </c>
      <c r="J171" s="40">
        <v>0.36284990299036934</v>
      </c>
    </row>
    <row r="172" spans="1:10" ht="11.25" customHeight="1" x14ac:dyDescent="0.2">
      <c r="A172" s="49">
        <v>44652</v>
      </c>
      <c r="B172" s="39">
        <v>0</v>
      </c>
      <c r="C172" s="39">
        <v>0</v>
      </c>
      <c r="D172" s="39">
        <v>41282.417099999999</v>
      </c>
      <c r="E172" s="39">
        <v>59022.652117991121</v>
      </c>
      <c r="F172" s="39">
        <v>3617.08005</v>
      </c>
      <c r="G172" s="39">
        <v>2168.6232172027362</v>
      </c>
      <c r="H172" s="40">
        <v>0.42972859304769551</v>
      </c>
      <c r="I172" s="40">
        <v>-0.40044920565063624</v>
      </c>
      <c r="J172" s="40">
        <v>0.36284990299036934</v>
      </c>
    </row>
    <row r="173" spans="1:10" ht="11.25" customHeight="1" x14ac:dyDescent="0.2">
      <c r="A173" s="49">
        <v>44682</v>
      </c>
      <c r="B173" s="39">
        <v>0</v>
      </c>
      <c r="C173" s="39">
        <v>0</v>
      </c>
      <c r="D173" s="39">
        <v>41828.062960800002</v>
      </c>
      <c r="E173" s="39">
        <v>59802.777606855008</v>
      </c>
      <c r="F173" s="39">
        <v>3664.8884124000001</v>
      </c>
      <c r="G173" s="39">
        <v>2197.2867588561985</v>
      </c>
      <c r="H173" s="40">
        <v>0.42972859304769551</v>
      </c>
      <c r="I173" s="40">
        <v>-0.40044920565063624</v>
      </c>
      <c r="J173" s="40">
        <v>0.36284990299036912</v>
      </c>
    </row>
    <row r="174" spans="1:10" ht="11.25" customHeight="1" x14ac:dyDescent="0.2">
      <c r="A174" s="49">
        <v>44713</v>
      </c>
      <c r="B174" s="39">
        <v>0</v>
      </c>
      <c r="C174" s="39">
        <v>0</v>
      </c>
      <c r="D174" s="39">
        <v>39552.145357200003</v>
      </c>
      <c r="E174" s="39">
        <v>56548.833133567496</v>
      </c>
      <c r="F174" s="39">
        <v>3465.4772165999998</v>
      </c>
      <c r="G174" s="39">
        <v>2077.7296180121521</v>
      </c>
      <c r="H174" s="40">
        <v>0.42972859304769528</v>
      </c>
      <c r="I174" s="40">
        <v>-0.40044920565063624</v>
      </c>
      <c r="J174" s="40">
        <v>0.36284990299036934</v>
      </c>
    </row>
    <row r="175" spans="1:10" ht="11.25" customHeight="1" x14ac:dyDescent="0.2">
      <c r="A175" s="49">
        <v>44743</v>
      </c>
      <c r="B175" s="39">
        <v>0</v>
      </c>
      <c r="C175" s="39">
        <v>0</v>
      </c>
      <c r="D175" s="39">
        <v>41868.747082000002</v>
      </c>
      <c r="E175" s="39">
        <v>59860.944858217663</v>
      </c>
      <c r="F175" s="39">
        <v>3668.4530709999999</v>
      </c>
      <c r="G175" s="39">
        <v>2199.4239527514128</v>
      </c>
      <c r="H175" s="40">
        <v>0.42972859304769528</v>
      </c>
      <c r="I175" s="40">
        <v>-0.40044920565063624</v>
      </c>
      <c r="J175" s="40">
        <v>0.36284990299036934</v>
      </c>
    </row>
    <row r="176" spans="1:10" ht="11.25" customHeight="1" x14ac:dyDescent="0.2">
      <c r="A176" s="49">
        <v>44774</v>
      </c>
      <c r="B176" s="39">
        <v>0</v>
      </c>
      <c r="C176" s="39">
        <v>0</v>
      </c>
      <c r="D176" s="39">
        <v>42912.175131600001</v>
      </c>
      <c r="E176" s="39">
        <v>61352.763775518768</v>
      </c>
      <c r="F176" s="39">
        <v>3759.8760797999994</v>
      </c>
      <c r="G176" s="39">
        <v>2254.2366902992617</v>
      </c>
      <c r="H176" s="40">
        <v>0.42972859304769528</v>
      </c>
      <c r="I176" s="40">
        <v>-0.40044920565063613</v>
      </c>
      <c r="J176" s="40">
        <v>0.3628499029903689</v>
      </c>
    </row>
    <row r="177" spans="1:10" ht="11.25" customHeight="1" x14ac:dyDescent="0.2">
      <c r="A177" s="42" t="s">
        <v>22</v>
      </c>
      <c r="B177" s="39">
        <v>0</v>
      </c>
      <c r="C177" s="39">
        <v>0</v>
      </c>
      <c r="D177" s="39">
        <v>14526432.061179997</v>
      </c>
      <c r="E177" s="39">
        <v>20828444.621174078</v>
      </c>
      <c r="F177" s="39">
        <v>6726077.3744799988</v>
      </c>
      <c r="G177" s="39">
        <v>4032625.8157240157</v>
      </c>
      <c r="H177" s="40">
        <v>0.43383072549765256</v>
      </c>
      <c r="I177" s="40">
        <v>-0.40044908923817069</v>
      </c>
      <c r="J177" s="40">
        <v>0.16979458412488557</v>
      </c>
    </row>
    <row r="178" spans="1:10" ht="11.25" customHeight="1" x14ac:dyDescent="0.2">
      <c r="A178" s="43" t="s">
        <v>33</v>
      </c>
      <c r="B178" s="39">
        <v>0</v>
      </c>
      <c r="C178" s="39">
        <v>0</v>
      </c>
      <c r="D178" s="39">
        <v>2731.0109900000007</v>
      </c>
      <c r="E178" s="39">
        <v>3887.2979817920591</v>
      </c>
      <c r="F178" s="39">
        <v>1625.7341599999997</v>
      </c>
      <c r="G178" s="39">
        <v>974.71020702889541</v>
      </c>
      <c r="H178" s="40">
        <v>0.42339155573740772</v>
      </c>
      <c r="I178" s="40">
        <v>-0.40044920565063624</v>
      </c>
      <c r="J178" s="40">
        <v>0.11597259454594289</v>
      </c>
    </row>
    <row r="179" spans="1:10" ht="11.25" customHeight="1" x14ac:dyDescent="0.2">
      <c r="A179" s="44" t="s">
        <v>24</v>
      </c>
      <c r="B179" s="39">
        <v>0</v>
      </c>
      <c r="C179" s="39">
        <v>0</v>
      </c>
      <c r="D179" s="39">
        <v>2731.0109900000007</v>
      </c>
      <c r="E179" s="39">
        <v>3887.2979817920591</v>
      </c>
      <c r="F179" s="39">
        <v>1625.7341599999997</v>
      </c>
      <c r="G179" s="39">
        <v>974.71020702889541</v>
      </c>
      <c r="H179" s="40">
        <v>0.42339155573740772</v>
      </c>
      <c r="I179" s="40">
        <v>-0.40044920565063624</v>
      </c>
      <c r="J179" s="40">
        <v>0.11597259454594289</v>
      </c>
    </row>
    <row r="180" spans="1:10" ht="11.25" customHeight="1" x14ac:dyDescent="0.2">
      <c r="A180" s="45" t="s">
        <v>24</v>
      </c>
      <c r="B180" s="39">
        <v>0</v>
      </c>
      <c r="C180" s="39">
        <v>0</v>
      </c>
      <c r="D180" s="39">
        <v>2731.0109900000007</v>
      </c>
      <c r="E180" s="39">
        <v>3887.2979817920591</v>
      </c>
      <c r="F180" s="39">
        <v>1625.7341599999997</v>
      </c>
      <c r="G180" s="39">
        <v>974.71020702889541</v>
      </c>
      <c r="H180" s="40">
        <v>0.42339155573740772</v>
      </c>
      <c r="I180" s="40">
        <v>-0.40044920565063624</v>
      </c>
      <c r="J180" s="40">
        <v>0.11597259454594289</v>
      </c>
    </row>
    <row r="181" spans="1:10" ht="11.25" customHeight="1" x14ac:dyDescent="0.2">
      <c r="A181" s="46" t="s">
        <v>25</v>
      </c>
      <c r="B181" s="39">
        <v>0</v>
      </c>
      <c r="C181" s="39">
        <v>0</v>
      </c>
      <c r="D181" s="39">
        <v>2731.0109900000007</v>
      </c>
      <c r="E181" s="39">
        <v>3887.2979817920591</v>
      </c>
      <c r="F181" s="39">
        <v>1625.7341599999997</v>
      </c>
      <c r="G181" s="39">
        <v>974.71020702889541</v>
      </c>
      <c r="H181" s="40">
        <v>0.42339155573740772</v>
      </c>
      <c r="I181" s="40">
        <v>-0.40044920565063624</v>
      </c>
      <c r="J181" s="40">
        <v>0.11597259454594289</v>
      </c>
    </row>
    <row r="182" spans="1:10" ht="11.25" customHeight="1" x14ac:dyDescent="0.2">
      <c r="A182" s="47" t="s">
        <v>25</v>
      </c>
      <c r="B182" s="39">
        <v>0</v>
      </c>
      <c r="C182" s="39">
        <v>0</v>
      </c>
      <c r="D182" s="39">
        <v>2731.0109900000007</v>
      </c>
      <c r="E182" s="39">
        <v>3887.2979817920591</v>
      </c>
      <c r="F182" s="39">
        <v>1625.7341599999997</v>
      </c>
      <c r="G182" s="39">
        <v>974.71020702889541</v>
      </c>
      <c r="H182" s="40">
        <v>0.42339155573740772</v>
      </c>
      <c r="I182" s="40">
        <v>-0.40044920565063624</v>
      </c>
      <c r="J182" s="40">
        <v>0.11597259454594289</v>
      </c>
    </row>
    <row r="183" spans="1:10" ht="11.25" customHeight="1" x14ac:dyDescent="0.2">
      <c r="A183" s="48" t="s">
        <v>35</v>
      </c>
      <c r="B183" s="39">
        <v>0</v>
      </c>
      <c r="C183" s="39">
        <v>0</v>
      </c>
      <c r="D183" s="39">
        <v>1983.5276999999999</v>
      </c>
      <c r="E183" s="39">
        <v>2800.9259449424703</v>
      </c>
      <c r="F183" s="39">
        <v>1459.9931499999998</v>
      </c>
      <c r="G183" s="39">
        <v>875.34005282712974</v>
      </c>
      <c r="H183" s="40">
        <v>0.41209318374654935</v>
      </c>
      <c r="I183" s="40">
        <v>-0.40044920565063624</v>
      </c>
      <c r="J183" s="40">
        <v>6.7589295348567502E-2</v>
      </c>
    </row>
    <row r="184" spans="1:10" ht="11.25" customHeight="1" x14ac:dyDescent="0.2">
      <c r="A184" s="49">
        <v>44440</v>
      </c>
      <c r="B184" s="39">
        <v>0</v>
      </c>
      <c r="C184" s="39">
        <v>0</v>
      </c>
      <c r="D184" s="39">
        <v>199.41348000000002</v>
      </c>
      <c r="E184" s="39">
        <v>281.59041585517883</v>
      </c>
      <c r="F184" s="39">
        <v>146.78005999999999</v>
      </c>
      <c r="G184" s="39">
        <v>88.002101567647273</v>
      </c>
      <c r="H184" s="40">
        <v>0.41209318374654913</v>
      </c>
      <c r="I184" s="40">
        <v>-0.40044920565063624</v>
      </c>
      <c r="J184" s="40">
        <v>6.7589295348567502E-2</v>
      </c>
    </row>
    <row r="185" spans="1:10" ht="11.25" customHeight="1" x14ac:dyDescent="0.2">
      <c r="A185" s="49">
        <v>44470</v>
      </c>
      <c r="B185" s="39">
        <v>0</v>
      </c>
      <c r="C185" s="39">
        <v>0</v>
      </c>
      <c r="D185" s="39">
        <v>192.44310000000002</v>
      </c>
      <c r="E185" s="39">
        <v>271.74758976905554</v>
      </c>
      <c r="F185" s="39">
        <v>141.64945</v>
      </c>
      <c r="G185" s="39">
        <v>84.926040266650475</v>
      </c>
      <c r="H185" s="40">
        <v>0.41209318374654913</v>
      </c>
      <c r="I185" s="40">
        <v>-0.40044920565063635</v>
      </c>
      <c r="J185" s="40">
        <v>6.758929534856728E-2</v>
      </c>
    </row>
    <row r="186" spans="1:10" ht="11.25" customHeight="1" x14ac:dyDescent="0.2">
      <c r="A186" s="49">
        <v>44501</v>
      </c>
      <c r="B186" s="39">
        <v>0</v>
      </c>
      <c r="C186" s="39">
        <v>0</v>
      </c>
      <c r="D186" s="39">
        <v>205.17162000000002</v>
      </c>
      <c r="E186" s="39">
        <v>289.72144610023719</v>
      </c>
      <c r="F186" s="39">
        <v>151.01839000000001</v>
      </c>
      <c r="G186" s="39">
        <v>90.543195685862017</v>
      </c>
      <c r="H186" s="40">
        <v>0.41209318374654913</v>
      </c>
      <c r="I186" s="40">
        <v>-0.40044920565063624</v>
      </c>
      <c r="J186" s="40">
        <v>6.7589295348567502E-2</v>
      </c>
    </row>
    <row r="187" spans="1:10" ht="11.25" customHeight="1" x14ac:dyDescent="0.2">
      <c r="A187" s="49">
        <v>44531</v>
      </c>
      <c r="B187" s="39">
        <v>0</v>
      </c>
      <c r="C187" s="39">
        <v>0</v>
      </c>
      <c r="D187" s="39">
        <v>217.59708000000001</v>
      </c>
      <c r="E187" s="39">
        <v>307.26735347115255</v>
      </c>
      <c r="F187" s="39">
        <v>160.16425999999998</v>
      </c>
      <c r="G187" s="39">
        <v>96.026609309378017</v>
      </c>
      <c r="H187" s="40">
        <v>0.41209318374654913</v>
      </c>
      <c r="I187" s="40">
        <v>-0.40044920565063624</v>
      </c>
      <c r="J187" s="40">
        <v>6.758929534856728E-2</v>
      </c>
    </row>
    <row r="188" spans="1:10" ht="11.25" customHeight="1" x14ac:dyDescent="0.2">
      <c r="A188" s="49">
        <v>44562</v>
      </c>
      <c r="B188" s="39">
        <v>0</v>
      </c>
      <c r="C188" s="39">
        <v>0</v>
      </c>
      <c r="D188" s="39">
        <v>226.68888000000001</v>
      </c>
      <c r="E188" s="39">
        <v>320.10582227913943</v>
      </c>
      <c r="F188" s="39">
        <v>166.85636</v>
      </c>
      <c r="G188" s="39">
        <v>100.0388631802434</v>
      </c>
      <c r="H188" s="40">
        <v>0.41209318374654913</v>
      </c>
      <c r="I188" s="40">
        <v>-0.40044920565063624</v>
      </c>
      <c r="J188" s="40">
        <v>6.758929534856728E-2</v>
      </c>
    </row>
    <row r="189" spans="1:10" ht="11.25" customHeight="1" x14ac:dyDescent="0.2">
      <c r="A189" s="49">
        <v>44593</v>
      </c>
      <c r="B189" s="39">
        <v>0</v>
      </c>
      <c r="C189" s="39">
        <v>0</v>
      </c>
      <c r="D189" s="39">
        <v>206.38386000000003</v>
      </c>
      <c r="E189" s="39">
        <v>291.43324194130213</v>
      </c>
      <c r="F189" s="39">
        <v>151.91067000000001</v>
      </c>
      <c r="G189" s="39">
        <v>91.078162868644057</v>
      </c>
      <c r="H189" s="40">
        <v>0.41209318374654913</v>
      </c>
      <c r="I189" s="40">
        <v>-0.40044920565063635</v>
      </c>
      <c r="J189" s="40">
        <v>6.7589295348567502E-2</v>
      </c>
    </row>
    <row r="190" spans="1:10" ht="11.25" customHeight="1" x14ac:dyDescent="0.2">
      <c r="A190" s="49">
        <v>44621</v>
      </c>
      <c r="B190" s="39">
        <v>0</v>
      </c>
      <c r="C190" s="39">
        <v>0</v>
      </c>
      <c r="D190" s="39">
        <v>237.59904</v>
      </c>
      <c r="E190" s="39">
        <v>335.51198484872373</v>
      </c>
      <c r="F190" s="39">
        <v>174.88687999999999</v>
      </c>
      <c r="G190" s="39">
        <v>104.85356782528186</v>
      </c>
      <c r="H190" s="40">
        <v>0.41209318374654935</v>
      </c>
      <c r="I190" s="40">
        <v>-0.40044920565063624</v>
      </c>
      <c r="J190" s="40">
        <v>6.7589295348567502E-2</v>
      </c>
    </row>
    <row r="191" spans="1:10" ht="11.25" customHeight="1" x14ac:dyDescent="0.2">
      <c r="A191" s="49">
        <v>44652</v>
      </c>
      <c r="B191" s="39">
        <v>0</v>
      </c>
      <c r="C191" s="39">
        <v>0</v>
      </c>
      <c r="D191" s="39">
        <v>135.16476</v>
      </c>
      <c r="E191" s="39">
        <v>190.86523627873822</v>
      </c>
      <c r="F191" s="39">
        <v>99.489220000000003</v>
      </c>
      <c r="G191" s="39">
        <v>59.648840880198605</v>
      </c>
      <c r="H191" s="40">
        <v>0.41209318374654913</v>
      </c>
      <c r="I191" s="40">
        <v>-0.40044920565063624</v>
      </c>
      <c r="J191" s="40">
        <v>6.7589295348567502E-2</v>
      </c>
    </row>
    <row r="192" spans="1:10" ht="11.25" customHeight="1" x14ac:dyDescent="0.2">
      <c r="A192" s="49">
        <v>44682</v>
      </c>
      <c r="B192" s="39">
        <v>0</v>
      </c>
      <c r="C192" s="39">
        <v>0</v>
      </c>
      <c r="D192" s="39">
        <v>89.705759999999998</v>
      </c>
      <c r="E192" s="39">
        <v>126.67289223880384</v>
      </c>
      <c r="F192" s="39">
        <v>66.028719999999993</v>
      </c>
      <c r="G192" s="39">
        <v>39.587571525871716</v>
      </c>
      <c r="H192" s="40">
        <v>0.41209318374654913</v>
      </c>
      <c r="I192" s="40">
        <v>-0.40044920565063624</v>
      </c>
      <c r="J192" s="40">
        <v>6.7589295348567502E-2</v>
      </c>
    </row>
    <row r="193" spans="1:10" ht="11.25" customHeight="1" x14ac:dyDescent="0.2">
      <c r="A193" s="49">
        <v>44713</v>
      </c>
      <c r="B193" s="39">
        <v>0</v>
      </c>
      <c r="C193" s="39">
        <v>0</v>
      </c>
      <c r="D193" s="39">
        <v>85.765979999999999</v>
      </c>
      <c r="E193" s="39">
        <v>121.10955575534285</v>
      </c>
      <c r="F193" s="39">
        <v>63.128809999999994</v>
      </c>
      <c r="G193" s="39">
        <v>37.848928181830054</v>
      </c>
      <c r="H193" s="40">
        <v>0.41209318374654913</v>
      </c>
      <c r="I193" s="40">
        <v>-0.40044920565063624</v>
      </c>
      <c r="J193" s="40">
        <v>6.758929534856728E-2</v>
      </c>
    </row>
    <row r="194" spans="1:10" ht="11.25" customHeight="1" x14ac:dyDescent="0.2">
      <c r="A194" s="49">
        <v>44743</v>
      </c>
      <c r="B194" s="39">
        <v>0</v>
      </c>
      <c r="C194" s="39">
        <v>0</v>
      </c>
      <c r="D194" s="39">
        <v>80.007840000000002</v>
      </c>
      <c r="E194" s="39">
        <v>112.97852551028451</v>
      </c>
      <c r="F194" s="39">
        <v>58.890480000000004</v>
      </c>
      <c r="G194" s="39">
        <v>35.307834063615317</v>
      </c>
      <c r="H194" s="40">
        <v>0.41209318374654913</v>
      </c>
      <c r="I194" s="40">
        <v>-0.40044920565063635</v>
      </c>
      <c r="J194" s="40">
        <v>6.758929534856728E-2</v>
      </c>
    </row>
    <row r="195" spans="1:10" ht="11.25" customHeight="1" x14ac:dyDescent="0.2">
      <c r="A195" s="49">
        <v>44774</v>
      </c>
      <c r="B195" s="39">
        <v>0</v>
      </c>
      <c r="C195" s="39">
        <v>0</v>
      </c>
      <c r="D195" s="39">
        <v>107.58629999999999</v>
      </c>
      <c r="E195" s="39">
        <v>151.92188089451136</v>
      </c>
      <c r="F195" s="39">
        <v>79.189849999999993</v>
      </c>
      <c r="G195" s="39">
        <v>47.478337471906961</v>
      </c>
      <c r="H195" s="40">
        <v>0.41209318374654913</v>
      </c>
      <c r="I195" s="40">
        <v>-0.40044920565063624</v>
      </c>
      <c r="J195" s="40">
        <v>6.7589295348567502E-2</v>
      </c>
    </row>
    <row r="196" spans="1:10" ht="11.25" customHeight="1" x14ac:dyDescent="0.2">
      <c r="A196" s="48" t="s">
        <v>36</v>
      </c>
      <c r="B196" s="39">
        <v>0</v>
      </c>
      <c r="C196" s="39">
        <v>0</v>
      </c>
      <c r="D196" s="39">
        <v>179.78264000000004</v>
      </c>
      <c r="E196" s="39">
        <v>260.05404075883399</v>
      </c>
      <c r="F196" s="39">
        <v>55.321359999999991</v>
      </c>
      <c r="G196" s="39">
        <v>33.167965332487121</v>
      </c>
      <c r="H196" s="40">
        <v>0.44649138959598056</v>
      </c>
      <c r="I196" s="40">
        <v>-0.40044920565063613</v>
      </c>
      <c r="J196" s="40">
        <v>0.24720126450983848</v>
      </c>
    </row>
    <row r="197" spans="1:10" ht="11.25" customHeight="1" x14ac:dyDescent="0.2">
      <c r="A197" s="49">
        <v>44440</v>
      </c>
      <c r="B197" s="39">
        <v>0</v>
      </c>
      <c r="C197" s="39">
        <v>0</v>
      </c>
      <c r="D197" s="39">
        <v>13.773669999999999</v>
      </c>
      <c r="E197" s="39">
        <v>19.923495058136474</v>
      </c>
      <c r="F197" s="39">
        <v>4.2383299999999995</v>
      </c>
      <c r="G197" s="39">
        <v>2.5410941182147386</v>
      </c>
      <c r="H197" s="40">
        <v>0.446491389595981</v>
      </c>
      <c r="I197" s="40">
        <v>-0.40044920565063624</v>
      </c>
      <c r="J197" s="40">
        <v>0.24720126450983848</v>
      </c>
    </row>
    <row r="198" spans="1:10" ht="11.25" customHeight="1" x14ac:dyDescent="0.2">
      <c r="A198" s="49">
        <v>44470</v>
      </c>
      <c r="B198" s="39">
        <v>0</v>
      </c>
      <c r="C198" s="39">
        <v>0</v>
      </c>
      <c r="D198" s="39">
        <v>11.598879999999999</v>
      </c>
      <c r="E198" s="39">
        <v>16.777680048957031</v>
      </c>
      <c r="F198" s="39">
        <v>3.5691199999999998</v>
      </c>
      <c r="G198" s="39">
        <v>2.139868731128201</v>
      </c>
      <c r="H198" s="40">
        <v>0.446491389595981</v>
      </c>
      <c r="I198" s="40">
        <v>-0.40044920565063624</v>
      </c>
      <c r="J198" s="40">
        <v>0.24720126450983848</v>
      </c>
    </row>
    <row r="199" spans="1:10" ht="11.25" customHeight="1" x14ac:dyDescent="0.2">
      <c r="A199" s="49">
        <v>44501</v>
      </c>
      <c r="B199" s="39">
        <v>0</v>
      </c>
      <c r="C199" s="39">
        <v>0</v>
      </c>
      <c r="D199" s="39">
        <v>17.398319999999998</v>
      </c>
      <c r="E199" s="39">
        <v>25.166520073435546</v>
      </c>
      <c r="F199" s="39">
        <v>5.3536799999999998</v>
      </c>
      <c r="G199" s="39">
        <v>3.2098030966923017</v>
      </c>
      <c r="H199" s="40">
        <v>0.446491389595981</v>
      </c>
      <c r="I199" s="40">
        <v>-0.40044920565063624</v>
      </c>
      <c r="J199" s="40">
        <v>0.2472012645098387</v>
      </c>
    </row>
    <row r="200" spans="1:10" ht="11.25" customHeight="1" x14ac:dyDescent="0.2">
      <c r="A200" s="49">
        <v>44531</v>
      </c>
      <c r="B200" s="39">
        <v>0</v>
      </c>
      <c r="C200" s="39">
        <v>0</v>
      </c>
      <c r="D200" s="39">
        <v>10.873949999999999</v>
      </c>
      <c r="E200" s="39">
        <v>15.729075045897215</v>
      </c>
      <c r="F200" s="39">
        <v>3.34605</v>
      </c>
      <c r="G200" s="39">
        <v>2.0061269354326883</v>
      </c>
      <c r="H200" s="40">
        <v>0.446491389595981</v>
      </c>
      <c r="I200" s="40">
        <v>-0.40044920565063635</v>
      </c>
      <c r="J200" s="40">
        <v>0.2472012645098387</v>
      </c>
    </row>
    <row r="201" spans="1:10" ht="11.25" customHeight="1" x14ac:dyDescent="0.2">
      <c r="A201" s="49">
        <v>44562</v>
      </c>
      <c r="B201" s="39">
        <v>0</v>
      </c>
      <c r="C201" s="39">
        <v>0</v>
      </c>
      <c r="D201" s="39">
        <v>24.64762</v>
      </c>
      <c r="E201" s="39">
        <v>35.652570104033693</v>
      </c>
      <c r="F201" s="39">
        <v>7.5843800000000003</v>
      </c>
      <c r="G201" s="39">
        <v>4.5472210536474273</v>
      </c>
      <c r="H201" s="40">
        <v>0.446491389595981</v>
      </c>
      <c r="I201" s="40">
        <v>-0.40044920565063624</v>
      </c>
      <c r="J201" s="40">
        <v>0.2472012645098387</v>
      </c>
    </row>
    <row r="202" spans="1:10" ht="11.25" customHeight="1" x14ac:dyDescent="0.2">
      <c r="A202" s="49">
        <v>44593</v>
      </c>
      <c r="B202" s="39">
        <v>0</v>
      </c>
      <c r="C202" s="39">
        <v>0</v>
      </c>
      <c r="D202" s="39">
        <v>15.948459999999997</v>
      </c>
      <c r="E202" s="39">
        <v>23.069310067315914</v>
      </c>
      <c r="F202" s="39">
        <v>4.9075399999999991</v>
      </c>
      <c r="G202" s="39">
        <v>2.9423195053012763</v>
      </c>
      <c r="H202" s="40">
        <v>0.446491389595981</v>
      </c>
      <c r="I202" s="40">
        <v>-0.40044920565063624</v>
      </c>
      <c r="J202" s="40">
        <v>0.24720126450983892</v>
      </c>
    </row>
    <row r="203" spans="1:10" ht="11.25" customHeight="1" x14ac:dyDescent="0.2">
      <c r="A203" s="49">
        <v>44621</v>
      </c>
      <c r="B203" s="39">
        <v>0</v>
      </c>
      <c r="C203" s="39">
        <v>0</v>
      </c>
      <c r="D203" s="39">
        <v>26.822409999999998</v>
      </c>
      <c r="E203" s="39">
        <v>38.798385113213129</v>
      </c>
      <c r="F203" s="39">
        <v>8.2535899999999991</v>
      </c>
      <c r="G203" s="39">
        <v>4.9484464407339646</v>
      </c>
      <c r="H203" s="40">
        <v>0.44649138959598078</v>
      </c>
      <c r="I203" s="40">
        <v>-0.40044920565063624</v>
      </c>
      <c r="J203" s="40">
        <v>0.2472012645098387</v>
      </c>
    </row>
    <row r="204" spans="1:10" ht="11.25" customHeight="1" x14ac:dyDescent="0.2">
      <c r="A204" s="49">
        <v>44652</v>
      </c>
      <c r="B204" s="39">
        <v>0</v>
      </c>
      <c r="C204" s="39">
        <v>0</v>
      </c>
      <c r="D204" s="39">
        <v>15.948459999999997</v>
      </c>
      <c r="E204" s="39">
        <v>23.069310067315914</v>
      </c>
      <c r="F204" s="39">
        <v>4.9075399999999991</v>
      </c>
      <c r="G204" s="39">
        <v>2.9423195053012763</v>
      </c>
      <c r="H204" s="40">
        <v>0.446491389595981</v>
      </c>
      <c r="I204" s="40">
        <v>-0.40044920565063624</v>
      </c>
      <c r="J204" s="40">
        <v>0.24720126450983892</v>
      </c>
    </row>
    <row r="205" spans="1:10" ht="11.25" customHeight="1" x14ac:dyDescent="0.2">
      <c r="A205" s="49">
        <v>44682</v>
      </c>
      <c r="B205" s="39">
        <v>0</v>
      </c>
      <c r="C205" s="39">
        <v>0</v>
      </c>
      <c r="D205" s="39">
        <v>8.6991599999999991</v>
      </c>
      <c r="E205" s="39">
        <v>12.583260036717773</v>
      </c>
      <c r="F205" s="39">
        <v>2.6768399999999999</v>
      </c>
      <c r="G205" s="39">
        <v>1.6049015483461508</v>
      </c>
      <c r="H205" s="40">
        <v>0.446491389595981</v>
      </c>
      <c r="I205" s="40">
        <v>-0.40044920565063624</v>
      </c>
      <c r="J205" s="40">
        <v>0.2472012645098387</v>
      </c>
    </row>
    <row r="206" spans="1:10" ht="11.25" customHeight="1" x14ac:dyDescent="0.2">
      <c r="A206" s="49">
        <v>44713</v>
      </c>
      <c r="B206" s="39">
        <v>0</v>
      </c>
      <c r="C206" s="39">
        <v>0</v>
      </c>
      <c r="D206" s="39">
        <v>10.873949999999999</v>
      </c>
      <c r="E206" s="39">
        <v>15.729075045897215</v>
      </c>
      <c r="F206" s="39">
        <v>3.34605</v>
      </c>
      <c r="G206" s="39">
        <v>2.0061269354326883</v>
      </c>
      <c r="H206" s="40">
        <v>0.446491389595981</v>
      </c>
      <c r="I206" s="40">
        <v>-0.40044920565063635</v>
      </c>
      <c r="J206" s="40">
        <v>0.2472012645098387</v>
      </c>
    </row>
    <row r="207" spans="1:10" ht="11.25" customHeight="1" x14ac:dyDescent="0.2">
      <c r="A207" s="49">
        <v>44743</v>
      </c>
      <c r="B207" s="39">
        <v>0</v>
      </c>
      <c r="C207" s="39">
        <v>0</v>
      </c>
      <c r="D207" s="39">
        <v>9.4240899999999996</v>
      </c>
      <c r="E207" s="39">
        <v>13.631865039777587</v>
      </c>
      <c r="F207" s="39">
        <v>2.8999099999999998</v>
      </c>
      <c r="G207" s="39">
        <v>1.7386433440416633</v>
      </c>
      <c r="H207" s="40">
        <v>0.44649138959598078</v>
      </c>
      <c r="I207" s="40">
        <v>-0.40044920565063624</v>
      </c>
      <c r="J207" s="40">
        <v>0.24720126450983848</v>
      </c>
    </row>
    <row r="208" spans="1:10" ht="11.25" customHeight="1" x14ac:dyDescent="0.2">
      <c r="A208" s="49">
        <v>44774</v>
      </c>
      <c r="B208" s="39">
        <v>0</v>
      </c>
      <c r="C208" s="39">
        <v>0</v>
      </c>
      <c r="D208" s="39">
        <v>13.773669999999999</v>
      </c>
      <c r="E208" s="39">
        <v>19.923495058136474</v>
      </c>
      <c r="F208" s="39">
        <v>4.2383299999999995</v>
      </c>
      <c r="G208" s="39">
        <v>2.5410941182147386</v>
      </c>
      <c r="H208" s="40">
        <v>0.446491389595981</v>
      </c>
      <c r="I208" s="40">
        <v>-0.40044920565063624</v>
      </c>
      <c r="J208" s="40">
        <v>0.24720126450983848</v>
      </c>
    </row>
    <row r="209" spans="1:10" ht="11.25" customHeight="1" x14ac:dyDescent="0.2">
      <c r="A209" s="48" t="s">
        <v>34</v>
      </c>
      <c r="B209" s="39">
        <v>0</v>
      </c>
      <c r="C209" s="39">
        <v>0</v>
      </c>
      <c r="D209" s="39">
        <v>567.70065</v>
      </c>
      <c r="E209" s="39">
        <v>826.31799609075472</v>
      </c>
      <c r="F209" s="39">
        <v>110.41965000000002</v>
      </c>
      <c r="G209" s="39">
        <v>66.202188869278714</v>
      </c>
      <c r="H209" s="40">
        <v>0.455552316332128</v>
      </c>
      <c r="I209" s="40">
        <v>-0.40044920565063646</v>
      </c>
      <c r="J209" s="40">
        <v>0.31616792029383789</v>
      </c>
    </row>
    <row r="210" spans="1:10" ht="11.25" customHeight="1" x14ac:dyDescent="0.2">
      <c r="A210" s="49">
        <v>44440</v>
      </c>
      <c r="B210" s="39">
        <v>0</v>
      </c>
      <c r="C210" s="39">
        <v>0</v>
      </c>
      <c r="D210" s="39">
        <v>34.406099999999995</v>
      </c>
      <c r="E210" s="39">
        <v>50.079878550954845</v>
      </c>
      <c r="F210" s="39">
        <v>6.6920999999999999</v>
      </c>
      <c r="G210" s="39">
        <v>4.0122538708653765</v>
      </c>
      <c r="H210" s="40">
        <v>0.45555231633212867</v>
      </c>
      <c r="I210" s="40">
        <v>-0.40044920565063635</v>
      </c>
      <c r="J210" s="40">
        <v>0.31616792029383856</v>
      </c>
    </row>
    <row r="211" spans="1:10" ht="11.25" customHeight="1" x14ac:dyDescent="0.2">
      <c r="A211" s="49">
        <v>44470</v>
      </c>
      <c r="B211" s="39">
        <v>0</v>
      </c>
      <c r="C211" s="39">
        <v>0</v>
      </c>
      <c r="D211" s="39">
        <v>24.08427</v>
      </c>
      <c r="E211" s="39">
        <v>35.055914985668394</v>
      </c>
      <c r="F211" s="39">
        <v>4.6844700000000001</v>
      </c>
      <c r="G211" s="39">
        <v>2.808577709605764</v>
      </c>
      <c r="H211" s="40">
        <v>0.45555231633212867</v>
      </c>
      <c r="I211" s="40">
        <v>-0.40044920565063624</v>
      </c>
      <c r="J211" s="40">
        <v>0.31616792029383833</v>
      </c>
    </row>
    <row r="212" spans="1:10" ht="11.25" customHeight="1" x14ac:dyDescent="0.2">
      <c r="A212" s="49">
        <v>44501</v>
      </c>
      <c r="B212" s="39">
        <v>0</v>
      </c>
      <c r="C212" s="39">
        <v>0</v>
      </c>
      <c r="D212" s="39">
        <v>133.03691999999998</v>
      </c>
      <c r="E212" s="39">
        <v>193.64219706369209</v>
      </c>
      <c r="F212" s="39">
        <v>25.87612</v>
      </c>
      <c r="G212" s="39">
        <v>15.514048300679459</v>
      </c>
      <c r="H212" s="40">
        <v>0.45555231633212889</v>
      </c>
      <c r="I212" s="40">
        <v>-0.40044920565063624</v>
      </c>
      <c r="J212" s="40">
        <v>0.31616792029383878</v>
      </c>
    </row>
    <row r="213" spans="1:10" ht="11.25" customHeight="1" x14ac:dyDescent="0.2">
      <c r="A213" s="49">
        <v>44531</v>
      </c>
      <c r="B213" s="39">
        <v>0</v>
      </c>
      <c r="C213" s="39">
        <v>0</v>
      </c>
      <c r="D213" s="39">
        <v>34.406099999999995</v>
      </c>
      <c r="E213" s="39">
        <v>50.079878550954845</v>
      </c>
      <c r="F213" s="39">
        <v>6.6920999999999999</v>
      </c>
      <c r="G213" s="39">
        <v>4.0122538708653765</v>
      </c>
      <c r="H213" s="40">
        <v>0.45555231633212867</v>
      </c>
      <c r="I213" s="40">
        <v>-0.40044920565063635</v>
      </c>
      <c r="J213" s="40">
        <v>0.31616792029383856</v>
      </c>
    </row>
    <row r="214" spans="1:10" ht="11.25" customHeight="1" x14ac:dyDescent="0.2">
      <c r="A214" s="49">
        <v>44562</v>
      </c>
      <c r="B214" s="39">
        <v>0</v>
      </c>
      <c r="C214" s="39">
        <v>0</v>
      </c>
      <c r="D214" s="39">
        <v>53.902889999999992</v>
      </c>
      <c r="E214" s="39">
        <v>78.458476396495925</v>
      </c>
      <c r="F214" s="39">
        <v>10.48429</v>
      </c>
      <c r="G214" s="39">
        <v>6.2858643976890907</v>
      </c>
      <c r="H214" s="40">
        <v>0.45555231633212867</v>
      </c>
      <c r="I214" s="40">
        <v>-0.40044920565063624</v>
      </c>
      <c r="J214" s="40">
        <v>0.31616792029383856</v>
      </c>
    </row>
    <row r="215" spans="1:10" ht="11.25" customHeight="1" x14ac:dyDescent="0.2">
      <c r="A215" s="49">
        <v>44593</v>
      </c>
      <c r="B215" s="39">
        <v>0</v>
      </c>
      <c r="C215" s="39">
        <v>0</v>
      </c>
      <c r="D215" s="39">
        <v>48.16854</v>
      </c>
      <c r="E215" s="39">
        <v>70.111829971336789</v>
      </c>
      <c r="F215" s="39">
        <v>9.3689400000000003</v>
      </c>
      <c r="G215" s="39">
        <v>5.6171554192115281</v>
      </c>
      <c r="H215" s="40">
        <v>0.45555231633212867</v>
      </c>
      <c r="I215" s="40">
        <v>-0.40044920565063624</v>
      </c>
      <c r="J215" s="40">
        <v>0.31616792029383833</v>
      </c>
    </row>
    <row r="216" spans="1:10" ht="11.25" customHeight="1" x14ac:dyDescent="0.2">
      <c r="A216" s="49">
        <v>44621</v>
      </c>
      <c r="B216" s="39">
        <v>0</v>
      </c>
      <c r="C216" s="39">
        <v>0</v>
      </c>
      <c r="D216" s="39">
        <v>65.371589999999998</v>
      </c>
      <c r="E216" s="39">
        <v>95.151769246814212</v>
      </c>
      <c r="F216" s="39">
        <v>12.71499</v>
      </c>
      <c r="G216" s="39">
        <v>7.6232823546442168</v>
      </c>
      <c r="H216" s="40">
        <v>0.45555231633212867</v>
      </c>
      <c r="I216" s="40">
        <v>-0.40044920565063624</v>
      </c>
      <c r="J216" s="40">
        <v>0.31616792029383833</v>
      </c>
    </row>
    <row r="217" spans="1:10" ht="11.25" customHeight="1" x14ac:dyDescent="0.2">
      <c r="A217" s="49">
        <v>44652</v>
      </c>
      <c r="B217" s="39">
        <v>0</v>
      </c>
      <c r="C217" s="39">
        <v>0</v>
      </c>
      <c r="D217" s="39">
        <v>44.727929999999994</v>
      </c>
      <c r="E217" s="39">
        <v>65.103842116241296</v>
      </c>
      <c r="F217" s="39">
        <v>8.6997299999999989</v>
      </c>
      <c r="G217" s="39">
        <v>5.21593003212499</v>
      </c>
      <c r="H217" s="40">
        <v>0.45555231633212867</v>
      </c>
      <c r="I217" s="40">
        <v>-0.40044920565063624</v>
      </c>
      <c r="J217" s="40">
        <v>0.31616792029383833</v>
      </c>
    </row>
    <row r="218" spans="1:10" ht="11.25" customHeight="1" x14ac:dyDescent="0.2">
      <c r="A218" s="49">
        <v>44682</v>
      </c>
      <c r="B218" s="39">
        <v>0</v>
      </c>
      <c r="C218" s="39">
        <v>0</v>
      </c>
      <c r="D218" s="39">
        <v>26.378009999999996</v>
      </c>
      <c r="E218" s="39">
        <v>38.394573555732052</v>
      </c>
      <c r="F218" s="39">
        <v>5.1306099999999999</v>
      </c>
      <c r="G218" s="39">
        <v>3.076061300996789</v>
      </c>
      <c r="H218" s="40">
        <v>0.45555231633212889</v>
      </c>
      <c r="I218" s="40">
        <v>-0.40044920565063624</v>
      </c>
      <c r="J218" s="40">
        <v>0.31616792029383856</v>
      </c>
    </row>
    <row r="219" spans="1:10" ht="11.25" customHeight="1" x14ac:dyDescent="0.2">
      <c r="A219" s="49">
        <v>44713</v>
      </c>
      <c r="B219" s="39">
        <v>0</v>
      </c>
      <c r="C219" s="39">
        <v>0</v>
      </c>
      <c r="D219" s="39">
        <v>29.818619999999996</v>
      </c>
      <c r="E219" s="39">
        <v>43.402561410827531</v>
      </c>
      <c r="F219" s="39">
        <v>5.7998199999999995</v>
      </c>
      <c r="G219" s="39">
        <v>3.4772866880833266</v>
      </c>
      <c r="H219" s="40">
        <v>0.45555231633212867</v>
      </c>
      <c r="I219" s="40">
        <v>-0.40044920565063624</v>
      </c>
      <c r="J219" s="40">
        <v>0.31616792029383833</v>
      </c>
    </row>
    <row r="220" spans="1:10" ht="11.25" customHeight="1" x14ac:dyDescent="0.2">
      <c r="A220" s="49">
        <v>44743</v>
      </c>
      <c r="B220" s="39">
        <v>0</v>
      </c>
      <c r="C220" s="39">
        <v>0</v>
      </c>
      <c r="D220" s="39">
        <v>28.671749999999999</v>
      </c>
      <c r="E220" s="39">
        <v>41.733232125795709</v>
      </c>
      <c r="F220" s="39">
        <v>5.5767500000000005</v>
      </c>
      <c r="G220" s="39">
        <v>3.3435448923878144</v>
      </c>
      <c r="H220" s="40">
        <v>0.45555231633212867</v>
      </c>
      <c r="I220" s="40">
        <v>-0.40044920565063624</v>
      </c>
      <c r="J220" s="40">
        <v>0.31616792029383833</v>
      </c>
    </row>
    <row r="221" spans="1:10" ht="11.25" customHeight="1" x14ac:dyDescent="0.2">
      <c r="A221" s="49">
        <v>44774</v>
      </c>
      <c r="B221" s="39">
        <v>0</v>
      </c>
      <c r="C221" s="39">
        <v>0</v>
      </c>
      <c r="D221" s="39">
        <v>44.727929999999994</v>
      </c>
      <c r="E221" s="39">
        <v>65.103842116241296</v>
      </c>
      <c r="F221" s="39">
        <v>8.6997299999999989</v>
      </c>
      <c r="G221" s="39">
        <v>5.21593003212499</v>
      </c>
      <c r="H221" s="40">
        <v>0.45555231633212867</v>
      </c>
      <c r="I221" s="40">
        <v>-0.40044920565063624</v>
      </c>
      <c r="J221" s="40">
        <v>0.31616792029383833</v>
      </c>
    </row>
    <row r="222" spans="1:10" ht="11.25" customHeight="1" x14ac:dyDescent="0.2">
      <c r="A222" s="43" t="s">
        <v>23</v>
      </c>
      <c r="B222" s="39">
        <v>0</v>
      </c>
      <c r="C222" s="39">
        <v>0</v>
      </c>
      <c r="D222" s="39">
        <v>14523701.050189998</v>
      </c>
      <c r="E222" s="39">
        <v>20824557.323192287</v>
      </c>
      <c r="F222" s="39">
        <v>6724451.6403199984</v>
      </c>
      <c r="G222" s="39">
        <v>4031651.1055169874</v>
      </c>
      <c r="H222" s="40">
        <v>0.43383268846062206</v>
      </c>
      <c r="I222" s="40">
        <v>-0.40044908921002631</v>
      </c>
      <c r="J222" s="40">
        <v>0.16980561984622455</v>
      </c>
    </row>
    <row r="223" spans="1:10" ht="11.25" customHeight="1" x14ac:dyDescent="0.2">
      <c r="A223" s="44" t="s">
        <v>24</v>
      </c>
      <c r="B223" s="39">
        <v>0</v>
      </c>
      <c r="C223" s="39">
        <v>0</v>
      </c>
      <c r="D223" s="39">
        <v>14523701.050189998</v>
      </c>
      <c r="E223" s="39">
        <v>20824557.323192287</v>
      </c>
      <c r="F223" s="39">
        <v>6724451.6403199984</v>
      </c>
      <c r="G223" s="39">
        <v>4031651.1055169874</v>
      </c>
      <c r="H223" s="40">
        <v>0.43383268846062206</v>
      </c>
      <c r="I223" s="40">
        <v>-0.40044908921002631</v>
      </c>
      <c r="J223" s="40">
        <v>0.16980561984622455</v>
      </c>
    </row>
    <row r="224" spans="1:10" ht="11.25" customHeight="1" x14ac:dyDescent="0.2">
      <c r="A224" s="45" t="s">
        <v>24</v>
      </c>
      <c r="B224" s="39">
        <v>0</v>
      </c>
      <c r="C224" s="39">
        <v>0</v>
      </c>
      <c r="D224" s="39">
        <v>14353038.942899998</v>
      </c>
      <c r="E224" s="39">
        <v>20584591.185103133</v>
      </c>
      <c r="F224" s="39">
        <v>6633652.5370199997</v>
      </c>
      <c r="G224" s="39">
        <v>3977211.6480080131</v>
      </c>
      <c r="H224" s="40">
        <v>0.43416256773174089</v>
      </c>
      <c r="I224" s="40">
        <v>-0.40044920565063624</v>
      </c>
      <c r="J224" s="40">
        <v>0.17035135607781715</v>
      </c>
    </row>
    <row r="225" spans="1:10" ht="11.25" customHeight="1" x14ac:dyDescent="0.2">
      <c r="A225" s="46" t="s">
        <v>25</v>
      </c>
      <c r="B225" s="39">
        <v>0</v>
      </c>
      <c r="C225" s="39">
        <v>0</v>
      </c>
      <c r="D225" s="39">
        <v>14353038.942899998</v>
      </c>
      <c r="E225" s="39">
        <v>20584591.185103133</v>
      </c>
      <c r="F225" s="39">
        <v>6633652.5370199997</v>
      </c>
      <c r="G225" s="39">
        <v>3977211.6480080131</v>
      </c>
      <c r="H225" s="40">
        <v>0.43416256773174089</v>
      </c>
      <c r="I225" s="40">
        <v>-0.40044920565063624</v>
      </c>
      <c r="J225" s="40">
        <v>0.17035135607781715</v>
      </c>
    </row>
    <row r="226" spans="1:10" ht="11.25" customHeight="1" x14ac:dyDescent="0.2">
      <c r="A226" s="47" t="s">
        <v>25</v>
      </c>
      <c r="B226" s="39">
        <v>0</v>
      </c>
      <c r="C226" s="39">
        <v>0</v>
      </c>
      <c r="D226" s="39">
        <v>14353038.942899998</v>
      </c>
      <c r="E226" s="39">
        <v>20584591.185103133</v>
      </c>
      <c r="F226" s="39">
        <v>6633652.5370199997</v>
      </c>
      <c r="G226" s="39">
        <v>3977211.6480080131</v>
      </c>
      <c r="H226" s="40">
        <v>0.43416256773174089</v>
      </c>
      <c r="I226" s="40">
        <v>-0.40044920565063624</v>
      </c>
      <c r="J226" s="40">
        <v>0.17035135607781715</v>
      </c>
    </row>
    <row r="227" spans="1:10" ht="11.25" customHeight="1" x14ac:dyDescent="0.2">
      <c r="A227" s="48" t="s">
        <v>25</v>
      </c>
      <c r="B227" s="39">
        <v>0</v>
      </c>
      <c r="C227" s="39">
        <v>0</v>
      </c>
      <c r="D227" s="39">
        <v>14353038.942899998</v>
      </c>
      <c r="E227" s="39">
        <v>20584591.185103133</v>
      </c>
      <c r="F227" s="39">
        <v>6633652.5370199997</v>
      </c>
      <c r="G227" s="39">
        <v>3977211.6480080131</v>
      </c>
      <c r="H227" s="40">
        <v>0.43416256773174089</v>
      </c>
      <c r="I227" s="40">
        <v>-0.40044920565063624</v>
      </c>
      <c r="J227" s="40">
        <v>0.17035135607781715</v>
      </c>
    </row>
    <row r="228" spans="1:10" ht="11.25" customHeight="1" x14ac:dyDescent="0.2">
      <c r="A228" s="49">
        <v>44440</v>
      </c>
      <c r="B228" s="39">
        <v>0</v>
      </c>
      <c r="C228" s="39">
        <v>0</v>
      </c>
      <c r="D228" s="39">
        <v>1084527.0988999999</v>
      </c>
      <c r="E228" s="39">
        <v>1555388.1689330796</v>
      </c>
      <c r="F228" s="39">
        <v>501244.08981999999</v>
      </c>
      <c r="G228" s="39">
        <v>300521.29221450479</v>
      </c>
      <c r="H228" s="40">
        <v>0.43416256773174089</v>
      </c>
      <c r="I228" s="40">
        <v>-0.40044920565063635</v>
      </c>
      <c r="J228" s="40">
        <v>0.17035135607781737</v>
      </c>
    </row>
    <row r="229" spans="1:10" ht="11.25" customHeight="1" x14ac:dyDescent="0.2">
      <c r="A229" s="49">
        <v>44470</v>
      </c>
      <c r="B229" s="39">
        <v>0</v>
      </c>
      <c r="C229" s="39">
        <v>0</v>
      </c>
      <c r="D229" s="39">
        <v>1056864.0141500002</v>
      </c>
      <c r="E229" s="39">
        <v>1515714.8082766389</v>
      </c>
      <c r="F229" s="39">
        <v>488458.83276999998</v>
      </c>
      <c r="G229" s="39">
        <v>292855.88119421655</v>
      </c>
      <c r="H229" s="40">
        <v>0.43416256773174067</v>
      </c>
      <c r="I229" s="40">
        <v>-0.40044920565063613</v>
      </c>
      <c r="J229" s="40">
        <v>0.17035135607781737</v>
      </c>
    </row>
    <row r="230" spans="1:10" ht="11.25" customHeight="1" x14ac:dyDescent="0.2">
      <c r="A230" s="49">
        <v>44501</v>
      </c>
      <c r="B230" s="39">
        <v>0</v>
      </c>
      <c r="C230" s="39">
        <v>0</v>
      </c>
      <c r="D230" s="39">
        <v>1103622.6634999998</v>
      </c>
      <c r="E230" s="39">
        <v>1582774.3128921029</v>
      </c>
      <c r="F230" s="39">
        <v>510069.63129999995</v>
      </c>
      <c r="G230" s="39">
        <v>305812.6526194021</v>
      </c>
      <c r="H230" s="40">
        <v>0.43416256773174111</v>
      </c>
      <c r="I230" s="40">
        <v>-0.40044920565063613</v>
      </c>
      <c r="J230" s="40">
        <v>0.1703513560778176</v>
      </c>
    </row>
    <row r="231" spans="1:10" ht="11.25" customHeight="1" x14ac:dyDescent="0.2">
      <c r="A231" s="49">
        <v>44531</v>
      </c>
      <c r="B231" s="39">
        <v>0</v>
      </c>
      <c r="C231" s="39">
        <v>0</v>
      </c>
      <c r="D231" s="39">
        <v>1039072.0871999998</v>
      </c>
      <c r="E231" s="39">
        <v>1490198.2926371314</v>
      </c>
      <c r="F231" s="39">
        <v>480235.80335999996</v>
      </c>
      <c r="G231" s="39">
        <v>287925.75737949286</v>
      </c>
      <c r="H231" s="40">
        <v>0.43416256773174111</v>
      </c>
      <c r="I231" s="40">
        <v>-0.40044920565063613</v>
      </c>
      <c r="J231" s="40">
        <v>0.17035135607781782</v>
      </c>
    </row>
    <row r="232" spans="1:10" ht="11.25" customHeight="1" x14ac:dyDescent="0.2">
      <c r="A232" s="49">
        <v>44562</v>
      </c>
      <c r="B232" s="39">
        <v>0</v>
      </c>
      <c r="C232" s="39">
        <v>0</v>
      </c>
      <c r="D232" s="39">
        <v>1524329.3624999998</v>
      </c>
      <c r="E232" s="39">
        <v>2186136.1125918874</v>
      </c>
      <c r="F232" s="39">
        <v>704510.82750000001</v>
      </c>
      <c r="G232" s="39">
        <v>422390.02625535254</v>
      </c>
      <c r="H232" s="40">
        <v>0.43416256773174089</v>
      </c>
      <c r="I232" s="40">
        <v>-0.40044920565063635</v>
      </c>
      <c r="J232" s="40">
        <v>0.17035135607781715</v>
      </c>
    </row>
    <row r="233" spans="1:10" ht="11.25" customHeight="1" x14ac:dyDescent="0.2">
      <c r="A233" s="49">
        <v>44593</v>
      </c>
      <c r="B233" s="39">
        <v>0</v>
      </c>
      <c r="C233" s="39">
        <v>0</v>
      </c>
      <c r="D233" s="39">
        <v>1568466.7397</v>
      </c>
      <c r="E233" s="39">
        <v>2249436.2868099837</v>
      </c>
      <c r="F233" s="39">
        <v>724910.1328599999</v>
      </c>
      <c r="G233" s="39">
        <v>434620.44598811574</v>
      </c>
      <c r="H233" s="40">
        <v>0.43416256773174067</v>
      </c>
      <c r="I233" s="40">
        <v>-0.40044920565063624</v>
      </c>
      <c r="J233" s="40">
        <v>0.17035135607781715</v>
      </c>
    </row>
    <row r="234" spans="1:10" ht="11.25" customHeight="1" x14ac:dyDescent="0.2">
      <c r="A234" s="49">
        <v>44621</v>
      </c>
      <c r="B234" s="39">
        <v>0</v>
      </c>
      <c r="C234" s="39">
        <v>0</v>
      </c>
      <c r="D234" s="39">
        <v>1515720.33445</v>
      </c>
      <c r="E234" s="39">
        <v>2173789.3668180243</v>
      </c>
      <c r="F234" s="39">
        <v>700531.92790999985</v>
      </c>
      <c r="G234" s="39">
        <v>420004.47384553164</v>
      </c>
      <c r="H234" s="40">
        <v>0.43416256773174045</v>
      </c>
      <c r="I234" s="40">
        <v>-0.40044920565063624</v>
      </c>
      <c r="J234" s="40">
        <v>0.17035135607781693</v>
      </c>
    </row>
    <row r="235" spans="1:10" ht="11.25" customHeight="1" x14ac:dyDescent="0.2">
      <c r="A235" s="49">
        <v>44652</v>
      </c>
      <c r="B235" s="39">
        <v>0</v>
      </c>
      <c r="C235" s="39">
        <v>0</v>
      </c>
      <c r="D235" s="39">
        <v>1174835.2577499996</v>
      </c>
      <c r="E235" s="39">
        <v>1684904.7499165214</v>
      </c>
      <c r="F235" s="39">
        <v>542982.49445</v>
      </c>
      <c r="G235" s="39">
        <v>325545.58586529648</v>
      </c>
      <c r="H235" s="40">
        <v>0.43416256773174111</v>
      </c>
      <c r="I235" s="40">
        <v>-0.40044920565063624</v>
      </c>
      <c r="J235" s="40">
        <v>0.1703513560778176</v>
      </c>
    </row>
    <row r="236" spans="1:10" ht="11.25" customHeight="1" x14ac:dyDescent="0.2">
      <c r="A236" s="49">
        <v>44682</v>
      </c>
      <c r="B236" s="39">
        <v>0</v>
      </c>
      <c r="C236" s="39">
        <v>0</v>
      </c>
      <c r="D236" s="39">
        <v>1082013.4576999999</v>
      </c>
      <c r="E236" s="39">
        <v>1551783.1988153311</v>
      </c>
      <c r="F236" s="39">
        <v>500082.34125999996</v>
      </c>
      <c r="G236" s="39">
        <v>299824.76494252257</v>
      </c>
      <c r="H236" s="40">
        <v>0.43416256773174067</v>
      </c>
      <c r="I236" s="40">
        <v>-0.40044920565063624</v>
      </c>
      <c r="J236" s="40">
        <v>0.17035135607781737</v>
      </c>
    </row>
    <row r="237" spans="1:10" ht="11.25" customHeight="1" x14ac:dyDescent="0.2">
      <c r="A237" s="49">
        <v>44713</v>
      </c>
      <c r="B237" s="39">
        <v>0</v>
      </c>
      <c r="C237" s="39">
        <v>0</v>
      </c>
      <c r="D237" s="39">
        <v>1114458.6386499999</v>
      </c>
      <c r="E237" s="39">
        <v>1598314.8628371041</v>
      </c>
      <c r="F237" s="39">
        <v>515077.77586999995</v>
      </c>
      <c r="G237" s="39">
        <v>308815.28967456199</v>
      </c>
      <c r="H237" s="40">
        <v>0.43416256773174089</v>
      </c>
      <c r="I237" s="40">
        <v>-0.40044920565063624</v>
      </c>
      <c r="J237" s="40">
        <v>0.17035135607781737</v>
      </c>
    </row>
    <row r="238" spans="1:10" ht="11.25" customHeight="1" x14ac:dyDescent="0.2">
      <c r="A238" s="49">
        <v>44743</v>
      </c>
      <c r="B238" s="39">
        <v>0</v>
      </c>
      <c r="C238" s="39">
        <v>0</v>
      </c>
      <c r="D238" s="39">
        <v>977120.09849999996</v>
      </c>
      <c r="E238" s="39">
        <v>1401349.0694470513</v>
      </c>
      <c r="F238" s="39">
        <v>451602.98429999995</v>
      </c>
      <c r="G238" s="39">
        <v>270758.92796760821</v>
      </c>
      <c r="H238" s="40">
        <v>0.43416256773174067</v>
      </c>
      <c r="I238" s="40">
        <v>-0.40044920565063624</v>
      </c>
      <c r="J238" s="40">
        <v>0.17035135607781715</v>
      </c>
    </row>
    <row r="239" spans="1:10" ht="11.25" customHeight="1" x14ac:dyDescent="0.2">
      <c r="A239" s="49">
        <v>44774</v>
      </c>
      <c r="B239" s="39">
        <v>0</v>
      </c>
      <c r="C239" s="39">
        <v>0</v>
      </c>
      <c r="D239" s="39">
        <v>1112009.1898999999</v>
      </c>
      <c r="E239" s="39">
        <v>1594801.9551282767</v>
      </c>
      <c r="F239" s="39">
        <v>513945.6956199999</v>
      </c>
      <c r="G239" s="39">
        <v>308136.55006140727</v>
      </c>
      <c r="H239" s="40">
        <v>0.43416256773174067</v>
      </c>
      <c r="I239" s="40">
        <v>-0.40044920565063624</v>
      </c>
      <c r="J239" s="40">
        <v>0.17035135607781737</v>
      </c>
    </row>
    <row r="240" spans="1:10" ht="11.25" customHeight="1" x14ac:dyDescent="0.2">
      <c r="A240" s="45" t="s">
        <v>29</v>
      </c>
      <c r="B240" s="39">
        <v>0</v>
      </c>
      <c r="C240" s="39">
        <v>0</v>
      </c>
      <c r="D240" s="39">
        <v>12226.817020000002</v>
      </c>
      <c r="E240" s="39">
        <v>17192.39045672644</v>
      </c>
      <c r="F240" s="39">
        <v>6505.0266099999999</v>
      </c>
      <c r="G240" s="39">
        <v>3900.3186749580177</v>
      </c>
      <c r="H240" s="40">
        <v>0.40612151376797456</v>
      </c>
      <c r="I240" s="40">
        <v>-0.4004146471957295</v>
      </c>
      <c r="J240" s="40">
        <v>0.12603487133019864</v>
      </c>
    </row>
    <row r="241" spans="1:10" ht="11.25" customHeight="1" x14ac:dyDescent="0.2">
      <c r="A241" s="46" t="s">
        <v>25</v>
      </c>
      <c r="B241" s="39">
        <v>0</v>
      </c>
      <c r="C241" s="39">
        <v>0</v>
      </c>
      <c r="D241" s="39">
        <v>12226.817020000002</v>
      </c>
      <c r="E241" s="39">
        <v>17192.39045672644</v>
      </c>
      <c r="F241" s="39">
        <v>6505.0266099999999</v>
      </c>
      <c r="G241" s="39">
        <v>3900.3186749580177</v>
      </c>
      <c r="H241" s="40">
        <v>0.40612151376797456</v>
      </c>
      <c r="I241" s="40">
        <v>-0.4004146471957295</v>
      </c>
      <c r="J241" s="40">
        <v>0.12603487133019864</v>
      </c>
    </row>
    <row r="242" spans="1:10" ht="11.25" customHeight="1" x14ac:dyDescent="0.2">
      <c r="A242" s="47" t="s">
        <v>25</v>
      </c>
      <c r="B242" s="39">
        <v>0</v>
      </c>
      <c r="C242" s="39">
        <v>0</v>
      </c>
      <c r="D242" s="39">
        <v>12226.817020000002</v>
      </c>
      <c r="E242" s="39">
        <v>17192.39045672644</v>
      </c>
      <c r="F242" s="39">
        <v>6505.0266099999999</v>
      </c>
      <c r="G242" s="39">
        <v>3900.3186749580177</v>
      </c>
      <c r="H242" s="40">
        <v>0.40612151376797456</v>
      </c>
      <c r="I242" s="40">
        <v>-0.4004146471957295</v>
      </c>
      <c r="J242" s="40">
        <v>0.12603487133019864</v>
      </c>
    </row>
    <row r="243" spans="1:10" ht="11.25" customHeight="1" x14ac:dyDescent="0.2">
      <c r="A243" s="48" t="s">
        <v>25</v>
      </c>
      <c r="B243" s="39">
        <v>0</v>
      </c>
      <c r="C243" s="39">
        <v>0</v>
      </c>
      <c r="D243" s="39">
        <v>12226.817020000002</v>
      </c>
      <c r="E243" s="39">
        <v>17192.39045672644</v>
      </c>
      <c r="F243" s="39">
        <v>6505.0266099999999</v>
      </c>
      <c r="G243" s="39">
        <v>3900.3186749580177</v>
      </c>
      <c r="H243" s="40">
        <v>0.40612151376797456</v>
      </c>
      <c r="I243" s="40">
        <v>-0.4004146471957295</v>
      </c>
      <c r="J243" s="40">
        <v>0.12603487133019864</v>
      </c>
    </row>
    <row r="244" spans="1:10" ht="11.25" customHeight="1" x14ac:dyDescent="0.2">
      <c r="A244" s="49">
        <v>44440</v>
      </c>
      <c r="B244" s="39">
        <v>0</v>
      </c>
      <c r="C244" s="39">
        <v>0</v>
      </c>
      <c r="D244" s="39">
        <v>836.41800000000012</v>
      </c>
      <c r="E244" s="39">
        <v>1176.105344302782</v>
      </c>
      <c r="F244" s="39">
        <v>444.99899999999997</v>
      </c>
      <c r="G244" s="39">
        <v>266.81488241254755</v>
      </c>
      <c r="H244" s="40">
        <v>0.40612151376797456</v>
      </c>
      <c r="I244" s="40">
        <v>-0.4004146471957295</v>
      </c>
      <c r="J244" s="40">
        <v>0.12603487133019886</v>
      </c>
    </row>
    <row r="245" spans="1:10" ht="11.25" customHeight="1" x14ac:dyDescent="0.2">
      <c r="A245" s="49">
        <v>44470</v>
      </c>
      <c r="B245" s="39">
        <v>0</v>
      </c>
      <c r="C245" s="39">
        <v>0</v>
      </c>
      <c r="D245" s="39">
        <v>836.41800000000012</v>
      </c>
      <c r="E245" s="39">
        <v>1176.105344302782</v>
      </c>
      <c r="F245" s="39">
        <v>444.99899999999997</v>
      </c>
      <c r="G245" s="39">
        <v>266.81488241254755</v>
      </c>
      <c r="H245" s="40">
        <v>0.40612151376797456</v>
      </c>
      <c r="I245" s="40">
        <v>-0.4004146471957295</v>
      </c>
      <c r="J245" s="40">
        <v>0.12603487133019886</v>
      </c>
    </row>
    <row r="246" spans="1:10" ht="11.25" customHeight="1" x14ac:dyDescent="0.2">
      <c r="A246" s="49">
        <v>44501</v>
      </c>
      <c r="B246" s="39">
        <v>0</v>
      </c>
      <c r="C246" s="39">
        <v>0</v>
      </c>
      <c r="D246" s="39">
        <v>854.02680000000009</v>
      </c>
      <c r="E246" s="39">
        <v>1200.8654568144195</v>
      </c>
      <c r="F246" s="39">
        <v>454.36739999999998</v>
      </c>
      <c r="G246" s="39">
        <v>272.43203783175909</v>
      </c>
      <c r="H246" s="40">
        <v>0.40612151376797478</v>
      </c>
      <c r="I246" s="40">
        <v>-0.4004146471957295</v>
      </c>
      <c r="J246" s="40">
        <v>0.12603487133019886</v>
      </c>
    </row>
    <row r="247" spans="1:10" ht="11.25" customHeight="1" x14ac:dyDescent="0.2">
      <c r="A247" s="49">
        <v>44531</v>
      </c>
      <c r="B247" s="39">
        <v>0</v>
      </c>
      <c r="C247" s="39">
        <v>0</v>
      </c>
      <c r="D247" s="39">
        <v>849.6246000000001</v>
      </c>
      <c r="E247" s="39">
        <v>1194.6754286865103</v>
      </c>
      <c r="F247" s="39">
        <v>452.02529999999996</v>
      </c>
      <c r="G247" s="39">
        <v>271.02774897695616</v>
      </c>
      <c r="H247" s="40">
        <v>0.40612151376797478</v>
      </c>
      <c r="I247" s="40">
        <v>-0.40041464719572961</v>
      </c>
      <c r="J247" s="40">
        <v>0.12603487133019886</v>
      </c>
    </row>
    <row r="248" spans="1:10" ht="11.25" customHeight="1" x14ac:dyDescent="0.2">
      <c r="A248" s="49">
        <v>44562</v>
      </c>
      <c r="B248" s="39">
        <v>0</v>
      </c>
      <c r="C248" s="39">
        <v>0</v>
      </c>
      <c r="D248" s="39">
        <v>840.82020000000011</v>
      </c>
      <c r="E248" s="39">
        <v>1182.2953724306915</v>
      </c>
      <c r="F248" s="39">
        <v>447.34109999999998</v>
      </c>
      <c r="G248" s="39">
        <v>268.21917126735042</v>
      </c>
      <c r="H248" s="40">
        <v>0.40612151376797478</v>
      </c>
      <c r="I248" s="40">
        <v>-0.4004146471957295</v>
      </c>
      <c r="J248" s="40">
        <v>0.12603487133019886</v>
      </c>
    </row>
    <row r="249" spans="1:10" ht="11.25" customHeight="1" x14ac:dyDescent="0.2">
      <c r="A249" s="49">
        <v>44593</v>
      </c>
      <c r="B249" s="39">
        <v>0</v>
      </c>
      <c r="C249" s="39">
        <v>0</v>
      </c>
      <c r="D249" s="39">
        <v>858.42899999999997</v>
      </c>
      <c r="E249" s="39">
        <v>1207.0554849423288</v>
      </c>
      <c r="F249" s="39">
        <v>456.70949999999993</v>
      </c>
      <c r="G249" s="39">
        <v>273.83632668656196</v>
      </c>
      <c r="H249" s="40">
        <v>0.40612151376797478</v>
      </c>
      <c r="I249" s="40">
        <v>-0.4004146471957295</v>
      </c>
      <c r="J249" s="40">
        <v>0.12603487133019886</v>
      </c>
    </row>
    <row r="250" spans="1:10" ht="11.25" customHeight="1" x14ac:dyDescent="0.2">
      <c r="A250" s="49">
        <v>44621</v>
      </c>
      <c r="B250" s="39">
        <v>0</v>
      </c>
      <c r="C250" s="39">
        <v>0</v>
      </c>
      <c r="D250" s="39">
        <v>880.44</v>
      </c>
      <c r="E250" s="39">
        <v>1238.0056255818758</v>
      </c>
      <c r="F250" s="39">
        <v>468.41999999999996</v>
      </c>
      <c r="G250" s="39">
        <v>280.85777096057637</v>
      </c>
      <c r="H250" s="40">
        <v>0.40612151376797478</v>
      </c>
      <c r="I250" s="40">
        <v>-0.4004146471957295</v>
      </c>
      <c r="J250" s="40">
        <v>0.12603487133019886</v>
      </c>
    </row>
    <row r="251" spans="1:10" ht="11.25" customHeight="1" x14ac:dyDescent="0.2">
      <c r="A251" s="49">
        <v>44652</v>
      </c>
      <c r="B251" s="39">
        <v>0</v>
      </c>
      <c r="C251" s="39">
        <v>0</v>
      </c>
      <c r="D251" s="39">
        <v>1294.2468000000001</v>
      </c>
      <c r="E251" s="39">
        <v>1819.8682696053575</v>
      </c>
      <c r="F251" s="39">
        <v>688.57740000000001</v>
      </c>
      <c r="G251" s="39">
        <v>412.86092331204725</v>
      </c>
      <c r="H251" s="40">
        <v>0.40612151376797478</v>
      </c>
      <c r="I251" s="40">
        <v>-0.40041464719572961</v>
      </c>
      <c r="J251" s="40">
        <v>0.12603487133019908</v>
      </c>
    </row>
    <row r="252" spans="1:10" ht="11.25" customHeight="1" x14ac:dyDescent="0.2">
      <c r="A252" s="49">
        <v>44682</v>
      </c>
      <c r="B252" s="39">
        <v>0</v>
      </c>
      <c r="C252" s="39">
        <v>0</v>
      </c>
      <c r="D252" s="39">
        <v>1294.2468000000001</v>
      </c>
      <c r="E252" s="39">
        <v>1819.8682696053575</v>
      </c>
      <c r="F252" s="39">
        <v>688.57740000000001</v>
      </c>
      <c r="G252" s="39">
        <v>412.86092331204725</v>
      </c>
      <c r="H252" s="40">
        <v>0.40612151376797478</v>
      </c>
      <c r="I252" s="40">
        <v>-0.40041464719572961</v>
      </c>
      <c r="J252" s="40">
        <v>0.12603487133019908</v>
      </c>
    </row>
    <row r="253" spans="1:10" ht="11.25" customHeight="1" x14ac:dyDescent="0.2">
      <c r="A253" s="49">
        <v>44713</v>
      </c>
      <c r="B253" s="39">
        <v>0</v>
      </c>
      <c r="C253" s="39">
        <v>0</v>
      </c>
      <c r="D253" s="39">
        <v>1259.0292000000002</v>
      </c>
      <c r="E253" s="39">
        <v>1770.3480445820824</v>
      </c>
      <c r="F253" s="39">
        <v>669.84059999999999</v>
      </c>
      <c r="G253" s="39">
        <v>401.62661247362422</v>
      </c>
      <c r="H253" s="40">
        <v>0.40612151376797456</v>
      </c>
      <c r="I253" s="40">
        <v>-0.4004146471957295</v>
      </c>
      <c r="J253" s="40">
        <v>0.12603487133019886</v>
      </c>
    </row>
    <row r="254" spans="1:10" ht="11.25" customHeight="1" x14ac:dyDescent="0.2">
      <c r="A254" s="49">
        <v>44743</v>
      </c>
      <c r="B254" s="39">
        <v>0</v>
      </c>
      <c r="C254" s="39">
        <v>0</v>
      </c>
      <c r="D254" s="39">
        <v>1221.3170200000002</v>
      </c>
      <c r="E254" s="39">
        <v>1717.3201369529922</v>
      </c>
      <c r="F254" s="39">
        <v>649.77661000000001</v>
      </c>
      <c r="G254" s="39">
        <v>389.59653795081289</v>
      </c>
      <c r="H254" s="40">
        <v>0.40612151376797478</v>
      </c>
      <c r="I254" s="40">
        <v>-0.4004146471957295</v>
      </c>
      <c r="J254" s="40">
        <v>0.12603487133019886</v>
      </c>
    </row>
    <row r="255" spans="1:10" ht="11.25" customHeight="1" x14ac:dyDescent="0.2">
      <c r="A255" s="49">
        <v>44774</v>
      </c>
      <c r="B255" s="39">
        <v>0</v>
      </c>
      <c r="C255" s="39">
        <v>0</v>
      </c>
      <c r="D255" s="39">
        <v>1201.8006</v>
      </c>
      <c r="E255" s="39">
        <v>1689.8776789192605</v>
      </c>
      <c r="F255" s="39">
        <v>639.39329999999995</v>
      </c>
      <c r="G255" s="39">
        <v>383.37085736118672</v>
      </c>
      <c r="H255" s="40">
        <v>0.40612151376797478</v>
      </c>
      <c r="I255" s="40">
        <v>-0.4004146471957295</v>
      </c>
      <c r="J255" s="40">
        <v>0.12603487133019908</v>
      </c>
    </row>
    <row r="256" spans="1:10" ht="11.25" customHeight="1" x14ac:dyDescent="0.2">
      <c r="A256" s="45" t="s">
        <v>30</v>
      </c>
      <c r="B256" s="39">
        <v>0</v>
      </c>
      <c r="C256" s="39">
        <v>0</v>
      </c>
      <c r="D256" s="39">
        <v>44263.491360000007</v>
      </c>
      <c r="E256" s="39">
        <v>62238.433672824147</v>
      </c>
      <c r="F256" s="39">
        <v>23549.951040000004</v>
      </c>
      <c r="G256" s="39">
        <v>14119.602842039763</v>
      </c>
      <c r="H256" s="40">
        <v>0.40608957315707173</v>
      </c>
      <c r="I256" s="40">
        <v>-0.40044024643374543</v>
      </c>
      <c r="J256" s="40">
        <v>0.12600148012636336</v>
      </c>
    </row>
    <row r="257" spans="1:10" ht="11.25" customHeight="1" x14ac:dyDescent="0.2">
      <c r="A257" s="46" t="s">
        <v>25</v>
      </c>
      <c r="B257" s="39">
        <v>0</v>
      </c>
      <c r="C257" s="39">
        <v>0</v>
      </c>
      <c r="D257" s="39">
        <v>44263.491360000007</v>
      </c>
      <c r="E257" s="39">
        <v>62238.433672824147</v>
      </c>
      <c r="F257" s="39">
        <v>23549.951040000004</v>
      </c>
      <c r="G257" s="39">
        <v>14119.602842039763</v>
      </c>
      <c r="H257" s="40">
        <v>0.40608957315707173</v>
      </c>
      <c r="I257" s="40">
        <v>-0.40044024643374543</v>
      </c>
      <c r="J257" s="40">
        <v>0.12600148012636336</v>
      </c>
    </row>
    <row r="258" spans="1:10" ht="11.25" customHeight="1" x14ac:dyDescent="0.2">
      <c r="A258" s="47" t="s">
        <v>25</v>
      </c>
      <c r="B258" s="39">
        <v>0</v>
      </c>
      <c r="C258" s="39">
        <v>0</v>
      </c>
      <c r="D258" s="39">
        <v>44263.491360000007</v>
      </c>
      <c r="E258" s="39">
        <v>62238.433672824147</v>
      </c>
      <c r="F258" s="39">
        <v>23549.951040000004</v>
      </c>
      <c r="G258" s="39">
        <v>14119.602842039763</v>
      </c>
      <c r="H258" s="40">
        <v>0.40608957315707173</v>
      </c>
      <c r="I258" s="40">
        <v>-0.40044024643374543</v>
      </c>
      <c r="J258" s="40">
        <v>0.12600148012636336</v>
      </c>
    </row>
    <row r="259" spans="1:10" ht="11.25" customHeight="1" x14ac:dyDescent="0.2">
      <c r="A259" s="48" t="s">
        <v>25</v>
      </c>
      <c r="B259" s="39">
        <v>0</v>
      </c>
      <c r="C259" s="39">
        <v>0</v>
      </c>
      <c r="D259" s="39">
        <v>44263.491360000007</v>
      </c>
      <c r="E259" s="39">
        <v>62238.433672824147</v>
      </c>
      <c r="F259" s="39">
        <v>23549.951040000004</v>
      </c>
      <c r="G259" s="39">
        <v>14119.602842039763</v>
      </c>
      <c r="H259" s="40">
        <v>0.40608957315707173</v>
      </c>
      <c r="I259" s="40">
        <v>-0.40044024643374543</v>
      </c>
      <c r="J259" s="40">
        <v>0.12600148012636336</v>
      </c>
    </row>
    <row r="260" spans="1:10" ht="11.25" customHeight="1" x14ac:dyDescent="0.2">
      <c r="A260" s="49">
        <v>44440</v>
      </c>
      <c r="B260" s="39">
        <v>0</v>
      </c>
      <c r="C260" s="39">
        <v>0</v>
      </c>
      <c r="D260" s="39">
        <v>2995.5764799999997</v>
      </c>
      <c r="E260" s="39">
        <v>4212.048854122565</v>
      </c>
      <c r="F260" s="39">
        <v>1593.7667200000001</v>
      </c>
      <c r="G260" s="39">
        <v>955.55838188529822</v>
      </c>
      <c r="H260" s="40">
        <v>0.40608957315707239</v>
      </c>
      <c r="I260" s="40">
        <v>-0.40044024643374521</v>
      </c>
      <c r="J260" s="40">
        <v>0.12600148012636403</v>
      </c>
    </row>
    <row r="261" spans="1:10" ht="11.25" customHeight="1" x14ac:dyDescent="0.2">
      <c r="A261" s="49">
        <v>44470</v>
      </c>
      <c r="B261" s="39">
        <v>0</v>
      </c>
      <c r="C261" s="39">
        <v>0</v>
      </c>
      <c r="D261" s="39">
        <v>2972.4329600000001</v>
      </c>
      <c r="E261" s="39">
        <v>4179.5069919644129</v>
      </c>
      <c r="F261" s="39">
        <v>1581.4534400000002</v>
      </c>
      <c r="G261" s="39">
        <v>948.17583476290599</v>
      </c>
      <c r="H261" s="40">
        <v>0.40608957315707217</v>
      </c>
      <c r="I261" s="40">
        <v>-0.40044024643374521</v>
      </c>
      <c r="J261" s="40">
        <v>0.12600148012636381</v>
      </c>
    </row>
    <row r="262" spans="1:10" ht="11.25" customHeight="1" x14ac:dyDescent="0.2">
      <c r="A262" s="49">
        <v>44501</v>
      </c>
      <c r="B262" s="39">
        <v>0</v>
      </c>
      <c r="C262" s="39">
        <v>0</v>
      </c>
      <c r="D262" s="39">
        <v>3109.7847200000001</v>
      </c>
      <c r="E262" s="39">
        <v>4372.6358695551853</v>
      </c>
      <c r="F262" s="39">
        <v>1654.53008</v>
      </c>
      <c r="G262" s="39">
        <v>991.98964703275578</v>
      </c>
      <c r="H262" s="40">
        <v>0.40608957315707217</v>
      </c>
      <c r="I262" s="40">
        <v>-0.40044024643374521</v>
      </c>
      <c r="J262" s="40">
        <v>0.12600148012636381</v>
      </c>
    </row>
    <row r="263" spans="1:10" ht="11.25" customHeight="1" x14ac:dyDescent="0.2">
      <c r="A263" s="49">
        <v>44531</v>
      </c>
      <c r="B263" s="39">
        <v>0</v>
      </c>
      <c r="C263" s="39">
        <v>0</v>
      </c>
      <c r="D263" s="39">
        <v>3121.1049200000002</v>
      </c>
      <c r="E263" s="39">
        <v>4388.5530847412383</v>
      </c>
      <c r="F263" s="39">
        <v>1660.55288</v>
      </c>
      <c r="G263" s="39">
        <v>995.60067551653469</v>
      </c>
      <c r="H263" s="40">
        <v>0.40608957315707217</v>
      </c>
      <c r="I263" s="40">
        <v>-0.40044024643374521</v>
      </c>
      <c r="J263" s="40">
        <v>0.12600148012636381</v>
      </c>
    </row>
    <row r="264" spans="1:10" ht="11.25" customHeight="1" x14ac:dyDescent="0.2">
      <c r="A264" s="49">
        <v>44562</v>
      </c>
      <c r="B264" s="39">
        <v>0</v>
      </c>
      <c r="C264" s="39">
        <v>0</v>
      </c>
      <c r="D264" s="39">
        <v>3148.2734</v>
      </c>
      <c r="E264" s="39">
        <v>4426.7544011877653</v>
      </c>
      <c r="F264" s="39">
        <v>1675.0076000000001</v>
      </c>
      <c r="G264" s="39">
        <v>1004.267143877604</v>
      </c>
      <c r="H264" s="40">
        <v>0.40608957315707239</v>
      </c>
      <c r="I264" s="40">
        <v>-0.40044024643374521</v>
      </c>
      <c r="J264" s="40">
        <v>0.12600148012636403</v>
      </c>
    </row>
    <row r="265" spans="1:10" ht="11.25" customHeight="1" x14ac:dyDescent="0.2">
      <c r="A265" s="49">
        <v>44593</v>
      </c>
      <c r="B265" s="39">
        <v>0</v>
      </c>
      <c r="C265" s="39">
        <v>0</v>
      </c>
      <c r="D265" s="39">
        <v>3261.4753999999998</v>
      </c>
      <c r="E265" s="39">
        <v>4585.9265530482917</v>
      </c>
      <c r="F265" s="39">
        <v>1735.2356</v>
      </c>
      <c r="G265" s="39">
        <v>1040.3774287153922</v>
      </c>
      <c r="H265" s="40">
        <v>0.40608957315707239</v>
      </c>
      <c r="I265" s="40">
        <v>-0.40044024643374521</v>
      </c>
      <c r="J265" s="40">
        <v>0.12600148012636403</v>
      </c>
    </row>
    <row r="266" spans="1:10" ht="11.25" customHeight="1" x14ac:dyDescent="0.2">
      <c r="A266" s="49">
        <v>44621</v>
      </c>
      <c r="B266" s="39">
        <v>0</v>
      </c>
      <c r="C266" s="39">
        <v>0</v>
      </c>
      <c r="D266" s="39">
        <v>3351.2823199999998</v>
      </c>
      <c r="E266" s="39">
        <v>4712.2031268576429</v>
      </c>
      <c r="F266" s="39">
        <v>1783.01648</v>
      </c>
      <c r="G266" s="39">
        <v>1069.0249213533709</v>
      </c>
      <c r="H266" s="40">
        <v>0.40608957315707239</v>
      </c>
      <c r="I266" s="40">
        <v>-0.40044024643374532</v>
      </c>
      <c r="J266" s="40">
        <v>0.12600148012636381</v>
      </c>
    </row>
    <row r="267" spans="1:10" ht="11.25" customHeight="1" x14ac:dyDescent="0.2">
      <c r="A267" s="49">
        <v>44652</v>
      </c>
      <c r="B267" s="39">
        <v>0</v>
      </c>
      <c r="C267" s="39">
        <v>0</v>
      </c>
      <c r="D267" s="39">
        <v>4696.3736399999998</v>
      </c>
      <c r="E267" s="39">
        <v>6603.5220068537265</v>
      </c>
      <c r="F267" s="39">
        <v>2498.6589600000002</v>
      </c>
      <c r="G267" s="39">
        <v>1498.0953503037144</v>
      </c>
      <c r="H267" s="40">
        <v>0.40608957315707239</v>
      </c>
      <c r="I267" s="40">
        <v>-0.40044024643374532</v>
      </c>
      <c r="J267" s="40">
        <v>0.12600148012636381</v>
      </c>
    </row>
    <row r="268" spans="1:10" ht="11.25" customHeight="1" x14ac:dyDescent="0.2">
      <c r="A268" s="49">
        <v>44682</v>
      </c>
      <c r="B268" s="39">
        <v>0</v>
      </c>
      <c r="C268" s="39">
        <v>0</v>
      </c>
      <c r="D268" s="39">
        <v>4695.8705200000004</v>
      </c>
      <c r="E268" s="39">
        <v>6602.8145750676795</v>
      </c>
      <c r="F268" s="39">
        <v>2498.3912800000003</v>
      </c>
      <c r="G268" s="39">
        <v>1497.93486014888</v>
      </c>
      <c r="H268" s="40">
        <v>0.40608957315707217</v>
      </c>
      <c r="I268" s="40">
        <v>-0.40044024643374521</v>
      </c>
      <c r="J268" s="40">
        <v>0.12600148012636403</v>
      </c>
    </row>
    <row r="269" spans="1:10" ht="11.25" customHeight="1" x14ac:dyDescent="0.2">
      <c r="A269" s="49">
        <v>44713</v>
      </c>
      <c r="B269" s="39">
        <v>0</v>
      </c>
      <c r="C269" s="39">
        <v>0</v>
      </c>
      <c r="D269" s="39">
        <v>4391.2313599999998</v>
      </c>
      <c r="E269" s="39">
        <v>6174.4646286163497</v>
      </c>
      <c r="F269" s="39">
        <v>2336.31104</v>
      </c>
      <c r="G269" s="39">
        <v>1400.7580713965203</v>
      </c>
      <c r="H269" s="40">
        <v>0.40608957315707239</v>
      </c>
      <c r="I269" s="40">
        <v>-0.40044024643374532</v>
      </c>
      <c r="J269" s="40">
        <v>0.12600148012636381</v>
      </c>
    </row>
    <row r="270" spans="1:10" ht="11.25" customHeight="1" x14ac:dyDescent="0.2">
      <c r="A270" s="49">
        <v>44743</v>
      </c>
      <c r="B270" s="39">
        <v>0</v>
      </c>
      <c r="C270" s="39">
        <v>0</v>
      </c>
      <c r="D270" s="39">
        <v>4212.6237599999995</v>
      </c>
      <c r="E270" s="39">
        <v>5923.3263445697403</v>
      </c>
      <c r="F270" s="39">
        <v>2241.2846399999999</v>
      </c>
      <c r="G270" s="39">
        <v>1343.7840664302321</v>
      </c>
      <c r="H270" s="40">
        <v>0.40608957315707239</v>
      </c>
      <c r="I270" s="40">
        <v>-0.40044024643374521</v>
      </c>
      <c r="J270" s="40">
        <v>0.12600148012636381</v>
      </c>
    </row>
    <row r="271" spans="1:10" ht="11.25" customHeight="1" x14ac:dyDescent="0.2">
      <c r="A271" s="49">
        <v>44774</v>
      </c>
      <c r="B271" s="39">
        <v>0</v>
      </c>
      <c r="C271" s="39">
        <v>0</v>
      </c>
      <c r="D271" s="39">
        <v>4307.4618800000007</v>
      </c>
      <c r="E271" s="39">
        <v>6056.6772362395604</v>
      </c>
      <c r="F271" s="39">
        <v>2291.7423200000003</v>
      </c>
      <c r="G271" s="39">
        <v>1374.0364606165572</v>
      </c>
      <c r="H271" s="40">
        <v>0.40608957315707217</v>
      </c>
      <c r="I271" s="40">
        <v>-0.40044024643374521</v>
      </c>
      <c r="J271" s="40">
        <v>0.12600148012636381</v>
      </c>
    </row>
    <row r="272" spans="1:10" ht="11.25" customHeight="1" x14ac:dyDescent="0.2">
      <c r="A272" s="45" t="s">
        <v>31</v>
      </c>
      <c r="B272" s="39">
        <v>0</v>
      </c>
      <c r="C272" s="39">
        <v>0</v>
      </c>
      <c r="D272" s="39">
        <v>72840.581579999998</v>
      </c>
      <c r="E272" s="39">
        <v>102420.38226233513</v>
      </c>
      <c r="F272" s="39">
        <v>38754.108119999997</v>
      </c>
      <c r="G272" s="39">
        <v>23235.403514107191</v>
      </c>
      <c r="H272" s="40">
        <v>0.40608957315707261</v>
      </c>
      <c r="I272" s="40">
        <v>-0.40044024643374521</v>
      </c>
      <c r="J272" s="40">
        <v>0.12600148012636425</v>
      </c>
    </row>
    <row r="273" spans="1:10" ht="11.25" customHeight="1" x14ac:dyDescent="0.2">
      <c r="A273" s="46" t="s">
        <v>25</v>
      </c>
      <c r="B273" s="39">
        <v>0</v>
      </c>
      <c r="C273" s="39">
        <v>0</v>
      </c>
      <c r="D273" s="39">
        <v>72840.581579999998</v>
      </c>
      <c r="E273" s="39">
        <v>102420.38226233513</v>
      </c>
      <c r="F273" s="39">
        <v>38754.108119999997</v>
      </c>
      <c r="G273" s="39">
        <v>23235.403514107191</v>
      </c>
      <c r="H273" s="40">
        <v>0.40608957315707261</v>
      </c>
      <c r="I273" s="40">
        <v>-0.40044024643374521</v>
      </c>
      <c r="J273" s="40">
        <v>0.12600148012636425</v>
      </c>
    </row>
    <row r="274" spans="1:10" ht="11.25" customHeight="1" x14ac:dyDescent="0.2">
      <c r="A274" s="47" t="s">
        <v>25</v>
      </c>
      <c r="B274" s="39">
        <v>0</v>
      </c>
      <c r="C274" s="39">
        <v>0</v>
      </c>
      <c r="D274" s="39">
        <v>72840.581579999998</v>
      </c>
      <c r="E274" s="39">
        <v>102420.38226233513</v>
      </c>
      <c r="F274" s="39">
        <v>38754.108119999997</v>
      </c>
      <c r="G274" s="39">
        <v>23235.403514107191</v>
      </c>
      <c r="H274" s="40">
        <v>0.40608957315707261</v>
      </c>
      <c r="I274" s="40">
        <v>-0.40044024643374521</v>
      </c>
      <c r="J274" s="40">
        <v>0.12600148012636425</v>
      </c>
    </row>
    <row r="275" spans="1:10" ht="11.25" customHeight="1" x14ac:dyDescent="0.2">
      <c r="A275" s="48" t="s">
        <v>25</v>
      </c>
      <c r="B275" s="39">
        <v>0</v>
      </c>
      <c r="C275" s="39">
        <v>0</v>
      </c>
      <c r="D275" s="39">
        <v>72840.581579999998</v>
      </c>
      <c r="E275" s="39">
        <v>102420.38226233513</v>
      </c>
      <c r="F275" s="39">
        <v>38754.108119999997</v>
      </c>
      <c r="G275" s="39">
        <v>23235.403514107191</v>
      </c>
      <c r="H275" s="40">
        <v>0.40608957315707261</v>
      </c>
      <c r="I275" s="40">
        <v>-0.40044024643374521</v>
      </c>
      <c r="J275" s="40">
        <v>0.12600148012636425</v>
      </c>
    </row>
    <row r="276" spans="1:10" ht="11.25" customHeight="1" x14ac:dyDescent="0.2">
      <c r="A276" s="49">
        <v>44440</v>
      </c>
      <c r="B276" s="39">
        <v>0</v>
      </c>
      <c r="C276" s="39">
        <v>0</v>
      </c>
      <c r="D276" s="39">
        <v>4919.3815800000002</v>
      </c>
      <c r="E276" s="39">
        <v>6917.0911460189654</v>
      </c>
      <c r="F276" s="39">
        <v>2617.3081200000001</v>
      </c>
      <c r="G276" s="39">
        <v>1569.2326114341577</v>
      </c>
      <c r="H276" s="40">
        <v>0.40608957315707261</v>
      </c>
      <c r="I276" s="40">
        <v>-0.40044024643374521</v>
      </c>
      <c r="J276" s="40">
        <v>0.12600148012636403</v>
      </c>
    </row>
    <row r="277" spans="1:10" ht="11.25" customHeight="1" x14ac:dyDescent="0.2">
      <c r="A277" s="49">
        <v>44470</v>
      </c>
      <c r="B277" s="39">
        <v>0</v>
      </c>
      <c r="C277" s="39">
        <v>0</v>
      </c>
      <c r="D277" s="39">
        <v>4514.4957599999998</v>
      </c>
      <c r="E277" s="39">
        <v>6347.7854161978139</v>
      </c>
      <c r="F277" s="39">
        <v>2401.89264</v>
      </c>
      <c r="G277" s="39">
        <v>1440.0781593310012</v>
      </c>
      <c r="H277" s="40">
        <v>0.40608957315707261</v>
      </c>
      <c r="I277" s="40">
        <v>-0.40044024643374521</v>
      </c>
      <c r="J277" s="40">
        <v>0.12600148012636403</v>
      </c>
    </row>
    <row r="278" spans="1:10" ht="11.25" customHeight="1" x14ac:dyDescent="0.2">
      <c r="A278" s="49">
        <v>44501</v>
      </c>
      <c r="B278" s="39">
        <v>0</v>
      </c>
      <c r="C278" s="39">
        <v>0</v>
      </c>
      <c r="D278" s="39">
        <v>4840.5175199999994</v>
      </c>
      <c r="E278" s="39">
        <v>6806.2012135561308</v>
      </c>
      <c r="F278" s="39">
        <v>2575.3492799999999</v>
      </c>
      <c r="G278" s="39">
        <v>1544.0757796638316</v>
      </c>
      <c r="H278" s="40">
        <v>0.40608957315707261</v>
      </c>
      <c r="I278" s="40">
        <v>-0.40044024643374521</v>
      </c>
      <c r="J278" s="40">
        <v>0.12600148012636403</v>
      </c>
    </row>
    <row r="279" spans="1:10" ht="11.25" customHeight="1" x14ac:dyDescent="0.2">
      <c r="A279" s="49">
        <v>44531</v>
      </c>
      <c r="B279" s="39">
        <v>0</v>
      </c>
      <c r="C279" s="39">
        <v>0</v>
      </c>
      <c r="D279" s="39">
        <v>4386.2001600000003</v>
      </c>
      <c r="E279" s="39">
        <v>6167.3903107558835</v>
      </c>
      <c r="F279" s="39">
        <v>2333.6342399999999</v>
      </c>
      <c r="G279" s="39">
        <v>1399.1531698481742</v>
      </c>
      <c r="H279" s="40">
        <v>0.40608957315707239</v>
      </c>
      <c r="I279" s="40">
        <v>-0.40044024643374521</v>
      </c>
      <c r="J279" s="40">
        <v>0.12600148012636403</v>
      </c>
    </row>
    <row r="280" spans="1:10" ht="11.25" customHeight="1" x14ac:dyDescent="0.2">
      <c r="A280" s="49">
        <v>44562</v>
      </c>
      <c r="B280" s="39">
        <v>0</v>
      </c>
      <c r="C280" s="39">
        <v>0</v>
      </c>
      <c r="D280" s="39">
        <v>5204.6506199999994</v>
      </c>
      <c r="E280" s="39">
        <v>7318.2049687074923</v>
      </c>
      <c r="F280" s="39">
        <v>2769.0826799999995</v>
      </c>
      <c r="G280" s="39">
        <v>1660.2305292253841</v>
      </c>
      <c r="H280" s="40">
        <v>0.40608957315707261</v>
      </c>
      <c r="I280" s="40">
        <v>-0.40044024643374521</v>
      </c>
      <c r="J280" s="40">
        <v>0.12600148012636403</v>
      </c>
    </row>
    <row r="281" spans="1:10" ht="11.25" customHeight="1" x14ac:dyDescent="0.2">
      <c r="A281" s="49">
        <v>44593</v>
      </c>
      <c r="B281" s="39">
        <v>0</v>
      </c>
      <c r="C281" s="39">
        <v>0</v>
      </c>
      <c r="D281" s="39">
        <v>6065.3631599999999</v>
      </c>
      <c r="E281" s="39">
        <v>8528.443896687033</v>
      </c>
      <c r="F281" s="39">
        <v>3227.0162400000004</v>
      </c>
      <c r="G281" s="39">
        <v>1934.7890616087022</v>
      </c>
      <c r="H281" s="40">
        <v>0.40608957315707261</v>
      </c>
      <c r="I281" s="40">
        <v>-0.40044024643374521</v>
      </c>
      <c r="J281" s="40">
        <v>0.12600148012636425</v>
      </c>
    </row>
    <row r="282" spans="1:10" ht="11.25" customHeight="1" x14ac:dyDescent="0.2">
      <c r="A282" s="49">
        <v>44621</v>
      </c>
      <c r="B282" s="39">
        <v>0</v>
      </c>
      <c r="C282" s="39">
        <v>0</v>
      </c>
      <c r="D282" s="39">
        <v>6190.6400399999993</v>
      </c>
      <c r="E282" s="39">
        <v>8704.5944114126814</v>
      </c>
      <c r="F282" s="39">
        <v>3293.6685599999996</v>
      </c>
      <c r="G282" s="39">
        <v>1974.7511101625209</v>
      </c>
      <c r="H282" s="40">
        <v>0.40608957315707261</v>
      </c>
      <c r="I282" s="40">
        <v>-0.40044024643374521</v>
      </c>
      <c r="J282" s="40">
        <v>0.12600148012636403</v>
      </c>
    </row>
    <row r="283" spans="1:10" ht="11.25" customHeight="1" x14ac:dyDescent="0.2">
      <c r="A283" s="49">
        <v>44652</v>
      </c>
      <c r="B283" s="39">
        <v>0</v>
      </c>
      <c r="C283" s="39">
        <v>0</v>
      </c>
      <c r="D283" s="39">
        <v>7901.8769399999992</v>
      </c>
      <c r="E283" s="39">
        <v>11110.746773704313</v>
      </c>
      <c r="F283" s="39">
        <v>4204.1151599999994</v>
      </c>
      <c r="G283" s="39">
        <v>2520.6182492937555</v>
      </c>
      <c r="H283" s="40">
        <v>0.40608957315707261</v>
      </c>
      <c r="I283" s="40">
        <v>-0.40044024643374521</v>
      </c>
      <c r="J283" s="40">
        <v>0.12600148012636403</v>
      </c>
    </row>
    <row r="284" spans="1:10" ht="11.25" customHeight="1" x14ac:dyDescent="0.2">
      <c r="A284" s="49">
        <v>44682</v>
      </c>
      <c r="B284" s="39">
        <v>0</v>
      </c>
      <c r="C284" s="39">
        <v>0</v>
      </c>
      <c r="D284" s="39">
        <v>7818.1074600000002</v>
      </c>
      <c r="E284" s="39">
        <v>10992.959381327526</v>
      </c>
      <c r="F284" s="39">
        <v>4159.5464400000001</v>
      </c>
      <c r="G284" s="39">
        <v>2493.8966385137924</v>
      </c>
      <c r="H284" s="40">
        <v>0.40608957315707261</v>
      </c>
      <c r="I284" s="40">
        <v>-0.40044024643374521</v>
      </c>
      <c r="J284" s="40">
        <v>0.12600148012636403</v>
      </c>
    </row>
    <row r="285" spans="1:10" ht="11.25" customHeight="1" x14ac:dyDescent="0.2">
      <c r="A285" s="49">
        <v>44713</v>
      </c>
      <c r="B285" s="39">
        <v>0</v>
      </c>
      <c r="C285" s="39">
        <v>0</v>
      </c>
      <c r="D285" s="39">
        <v>7578.8738999999996</v>
      </c>
      <c r="E285" s="39">
        <v>10656.575567062278</v>
      </c>
      <c r="F285" s="39">
        <v>4032.2646</v>
      </c>
      <c r="G285" s="39">
        <v>2417.5835698899327</v>
      </c>
      <c r="H285" s="40">
        <v>0.40608957315707261</v>
      </c>
      <c r="I285" s="40">
        <v>-0.40044024643374521</v>
      </c>
      <c r="J285" s="40">
        <v>0.12600148012636403</v>
      </c>
    </row>
    <row r="286" spans="1:10" ht="11.25" customHeight="1" x14ac:dyDescent="0.2">
      <c r="A286" s="49">
        <v>44743</v>
      </c>
      <c r="B286" s="39">
        <v>0</v>
      </c>
      <c r="C286" s="39">
        <v>0</v>
      </c>
      <c r="D286" s="39">
        <v>6222.7139399999996</v>
      </c>
      <c r="E286" s="39">
        <v>8749.693187773164</v>
      </c>
      <c r="F286" s="39">
        <v>3310.7331599999998</v>
      </c>
      <c r="G286" s="39">
        <v>1984.9823575332277</v>
      </c>
      <c r="H286" s="40">
        <v>0.40608957315707239</v>
      </c>
      <c r="I286" s="40">
        <v>-0.40044024643374521</v>
      </c>
      <c r="J286" s="40">
        <v>0.12600148012636403</v>
      </c>
    </row>
    <row r="287" spans="1:10" ht="11.25" customHeight="1" x14ac:dyDescent="0.2">
      <c r="A287" s="49">
        <v>44774</v>
      </c>
      <c r="B287" s="39">
        <v>0</v>
      </c>
      <c r="C287" s="39">
        <v>0</v>
      </c>
      <c r="D287" s="39">
        <v>7197.7604999999994</v>
      </c>
      <c r="E287" s="39">
        <v>10120.695989131837</v>
      </c>
      <c r="F287" s="39">
        <v>3829.4969999999998</v>
      </c>
      <c r="G287" s="39">
        <v>2296.0122776027119</v>
      </c>
      <c r="H287" s="40">
        <v>0.40608957315707261</v>
      </c>
      <c r="I287" s="40">
        <v>-0.40044024643374521</v>
      </c>
      <c r="J287" s="40">
        <v>0.12600148012636403</v>
      </c>
    </row>
    <row r="288" spans="1:10" ht="11.25" customHeight="1" x14ac:dyDescent="0.2">
      <c r="A288" s="45" t="s">
        <v>32</v>
      </c>
      <c r="B288" s="39">
        <v>0</v>
      </c>
      <c r="C288" s="39">
        <v>0</v>
      </c>
      <c r="D288" s="39">
        <v>41331.217329999999</v>
      </c>
      <c r="E288" s="39">
        <v>58114.931697255117</v>
      </c>
      <c r="F288" s="39">
        <v>21990.017529999997</v>
      </c>
      <c r="G288" s="39">
        <v>13184.132477867932</v>
      </c>
      <c r="H288" s="40">
        <v>0.40607839428607306</v>
      </c>
      <c r="I288" s="40">
        <v>-0.40044920565063624</v>
      </c>
      <c r="J288" s="40">
        <v>0.12598979367287488</v>
      </c>
    </row>
    <row r="289" spans="1:10" ht="11.25" customHeight="1" x14ac:dyDescent="0.2">
      <c r="A289" s="46" t="s">
        <v>25</v>
      </c>
      <c r="B289" s="39">
        <v>0</v>
      </c>
      <c r="C289" s="39">
        <v>0</v>
      </c>
      <c r="D289" s="39">
        <v>41331.217329999999</v>
      </c>
      <c r="E289" s="39">
        <v>58114.931697255117</v>
      </c>
      <c r="F289" s="39">
        <v>21990.017529999997</v>
      </c>
      <c r="G289" s="39">
        <v>13184.132477867932</v>
      </c>
      <c r="H289" s="40">
        <v>0.40607839428607306</v>
      </c>
      <c r="I289" s="40">
        <v>-0.40044920565063624</v>
      </c>
      <c r="J289" s="40">
        <v>0.12598979367287488</v>
      </c>
    </row>
    <row r="290" spans="1:10" ht="11.25" customHeight="1" x14ac:dyDescent="0.2">
      <c r="A290" s="47" t="s">
        <v>25</v>
      </c>
      <c r="B290" s="39">
        <v>0</v>
      </c>
      <c r="C290" s="39">
        <v>0</v>
      </c>
      <c r="D290" s="39">
        <v>41331.217329999999</v>
      </c>
      <c r="E290" s="39">
        <v>58114.931697255117</v>
      </c>
      <c r="F290" s="39">
        <v>21990.017529999997</v>
      </c>
      <c r="G290" s="39">
        <v>13184.132477867932</v>
      </c>
      <c r="H290" s="40">
        <v>0.40607839428607306</v>
      </c>
      <c r="I290" s="40">
        <v>-0.40044920565063624</v>
      </c>
      <c r="J290" s="40">
        <v>0.12598979367287488</v>
      </c>
    </row>
    <row r="291" spans="1:10" ht="11.25" customHeight="1" x14ac:dyDescent="0.2">
      <c r="A291" s="48" t="s">
        <v>25</v>
      </c>
      <c r="B291" s="39">
        <v>0</v>
      </c>
      <c r="C291" s="39">
        <v>0</v>
      </c>
      <c r="D291" s="39">
        <v>41331.217329999999</v>
      </c>
      <c r="E291" s="39">
        <v>58114.931697255117</v>
      </c>
      <c r="F291" s="39">
        <v>21990.017529999997</v>
      </c>
      <c r="G291" s="39">
        <v>13184.132477867932</v>
      </c>
      <c r="H291" s="40">
        <v>0.40607839428607306</v>
      </c>
      <c r="I291" s="40">
        <v>-0.40044920565063624</v>
      </c>
      <c r="J291" s="40">
        <v>0.12598979367287488</v>
      </c>
    </row>
    <row r="292" spans="1:10" ht="11.25" customHeight="1" x14ac:dyDescent="0.2">
      <c r="A292" s="49">
        <v>44440</v>
      </c>
      <c r="B292" s="39">
        <v>0</v>
      </c>
      <c r="C292" s="39">
        <v>0</v>
      </c>
      <c r="D292" s="39">
        <v>2616.6640699999998</v>
      </c>
      <c r="E292" s="39">
        <v>3679.2348139316605</v>
      </c>
      <c r="F292" s="39">
        <v>1392.1798699999999</v>
      </c>
      <c r="G292" s="39">
        <v>834.68254693569384</v>
      </c>
      <c r="H292" s="40">
        <v>0.40607839428607306</v>
      </c>
      <c r="I292" s="40">
        <v>-0.40044920565063635</v>
      </c>
      <c r="J292" s="40">
        <v>0.12598979367287488</v>
      </c>
    </row>
    <row r="293" spans="1:10" ht="11.25" customHeight="1" x14ac:dyDescent="0.2">
      <c r="A293" s="49">
        <v>44470</v>
      </c>
      <c r="B293" s="39">
        <v>0</v>
      </c>
      <c r="C293" s="39">
        <v>0</v>
      </c>
      <c r="D293" s="39">
        <v>1988.1783399999999</v>
      </c>
      <c r="E293" s="39">
        <v>2795.5346078615503</v>
      </c>
      <c r="F293" s="39">
        <v>1057.7979399999999</v>
      </c>
      <c r="G293" s="39">
        <v>634.20359518812063</v>
      </c>
      <c r="H293" s="40">
        <v>0.40607839428607306</v>
      </c>
      <c r="I293" s="40">
        <v>-0.40044920565063624</v>
      </c>
      <c r="J293" s="40">
        <v>0.12598979367287488</v>
      </c>
    </row>
    <row r="294" spans="1:10" ht="11.25" customHeight="1" x14ac:dyDescent="0.2">
      <c r="A294" s="49">
        <v>44501</v>
      </c>
      <c r="B294" s="39">
        <v>0</v>
      </c>
      <c r="C294" s="39">
        <v>0</v>
      </c>
      <c r="D294" s="39">
        <v>2474.9508099999998</v>
      </c>
      <c r="E294" s="39">
        <v>3479.9748608618156</v>
      </c>
      <c r="F294" s="39">
        <v>1316.7822099999998</v>
      </c>
      <c r="G294" s="39">
        <v>789.47781999061067</v>
      </c>
      <c r="H294" s="40">
        <v>0.40607839428607306</v>
      </c>
      <c r="I294" s="40">
        <v>-0.40044920565063624</v>
      </c>
      <c r="J294" s="40">
        <v>0.12598979367287488</v>
      </c>
    </row>
    <row r="295" spans="1:10" ht="11.25" customHeight="1" x14ac:dyDescent="0.2">
      <c r="A295" s="49">
        <v>44531</v>
      </c>
      <c r="B295" s="39">
        <v>0</v>
      </c>
      <c r="C295" s="39">
        <v>0</v>
      </c>
      <c r="D295" s="39">
        <v>1625.9290599999999</v>
      </c>
      <c r="E295" s="39">
        <v>2286.1837219078643</v>
      </c>
      <c r="F295" s="39">
        <v>865.06546000000003</v>
      </c>
      <c r="G295" s="39">
        <v>518.65068370719769</v>
      </c>
      <c r="H295" s="40">
        <v>0.40607839428607329</v>
      </c>
      <c r="I295" s="40">
        <v>-0.40044920565063635</v>
      </c>
      <c r="J295" s="40">
        <v>0.12598979367287466</v>
      </c>
    </row>
    <row r="296" spans="1:10" ht="11.25" customHeight="1" x14ac:dyDescent="0.2">
      <c r="A296" s="49">
        <v>44562</v>
      </c>
      <c r="B296" s="39">
        <v>0</v>
      </c>
      <c r="C296" s="39">
        <v>0</v>
      </c>
      <c r="D296" s="39">
        <v>2955.01496</v>
      </c>
      <c r="E296" s="39">
        <v>4154.9826900481248</v>
      </c>
      <c r="F296" s="39">
        <v>1572.1973599999999</v>
      </c>
      <c r="G296" s="39">
        <v>942.6121760619726</v>
      </c>
      <c r="H296" s="40">
        <v>0.40607839428607329</v>
      </c>
      <c r="I296" s="40">
        <v>-0.40044920565063624</v>
      </c>
      <c r="J296" s="40">
        <v>0.12598979367287511</v>
      </c>
    </row>
    <row r="297" spans="1:10" ht="11.25" customHeight="1" x14ac:dyDescent="0.2">
      <c r="A297" s="49">
        <v>44593</v>
      </c>
      <c r="B297" s="39">
        <v>0</v>
      </c>
      <c r="C297" s="39">
        <v>0</v>
      </c>
      <c r="D297" s="39">
        <v>4365.0199699999994</v>
      </c>
      <c r="E297" s="39">
        <v>6137.5602704442426</v>
      </c>
      <c r="F297" s="39">
        <v>2322.38177</v>
      </c>
      <c r="G297" s="39">
        <v>1392.3858349859813</v>
      </c>
      <c r="H297" s="40">
        <v>0.40607839428607329</v>
      </c>
      <c r="I297" s="40">
        <v>-0.40044920565063624</v>
      </c>
      <c r="J297" s="40">
        <v>0.12598979367287488</v>
      </c>
    </row>
    <row r="298" spans="1:10" ht="11.25" customHeight="1" x14ac:dyDescent="0.2">
      <c r="A298" s="49">
        <v>44621</v>
      </c>
      <c r="B298" s="39">
        <v>0</v>
      </c>
      <c r="C298" s="39">
        <v>0</v>
      </c>
      <c r="D298" s="39">
        <v>4605.2616799999996</v>
      </c>
      <c r="E298" s="39">
        <v>6475.3589482815833</v>
      </c>
      <c r="F298" s="39">
        <v>2450.2008799999999</v>
      </c>
      <c r="G298" s="39">
        <v>1469.01988391951</v>
      </c>
      <c r="H298" s="40">
        <v>0.40607839428607329</v>
      </c>
      <c r="I298" s="40">
        <v>-0.40044920565063624</v>
      </c>
      <c r="J298" s="40">
        <v>0.12598979367287488</v>
      </c>
    </row>
    <row r="299" spans="1:10" ht="11.25" customHeight="1" x14ac:dyDescent="0.2">
      <c r="A299" s="49">
        <v>44652</v>
      </c>
      <c r="B299" s="39">
        <v>0</v>
      </c>
      <c r="C299" s="39">
        <v>0</v>
      </c>
      <c r="D299" s="39">
        <v>4700.8552399999999</v>
      </c>
      <c r="E299" s="39">
        <v>6609.7709876304725</v>
      </c>
      <c r="F299" s="39">
        <v>2501.0608399999996</v>
      </c>
      <c r="G299" s="39">
        <v>1499.5130133380869</v>
      </c>
      <c r="H299" s="40">
        <v>0.40607839428607306</v>
      </c>
      <c r="I299" s="40">
        <v>-0.40044920565063613</v>
      </c>
      <c r="J299" s="40">
        <v>0.12598979367287511</v>
      </c>
    </row>
    <row r="300" spans="1:10" ht="11.25" customHeight="1" x14ac:dyDescent="0.2">
      <c r="A300" s="49">
        <v>44682</v>
      </c>
      <c r="B300" s="39">
        <v>0</v>
      </c>
      <c r="C300" s="39">
        <v>0</v>
      </c>
      <c r="D300" s="39">
        <v>4484.0926499999996</v>
      </c>
      <c r="E300" s="39">
        <v>6304.9857931419829</v>
      </c>
      <c r="F300" s="39">
        <v>2385.7336500000001</v>
      </c>
      <c r="G300" s="39">
        <v>1430.3685049635069</v>
      </c>
      <c r="H300" s="40">
        <v>0.40607839428607329</v>
      </c>
      <c r="I300" s="40">
        <v>-0.40044920565063635</v>
      </c>
      <c r="J300" s="40">
        <v>0.12598979367287488</v>
      </c>
    </row>
    <row r="301" spans="1:10" ht="11.25" customHeight="1" x14ac:dyDescent="0.2">
      <c r="A301" s="49">
        <v>44713</v>
      </c>
      <c r="B301" s="39">
        <v>0</v>
      </c>
      <c r="C301" s="39">
        <v>0</v>
      </c>
      <c r="D301" s="39">
        <v>4415.7516399999995</v>
      </c>
      <c r="E301" s="39">
        <v>6208.8929755372938</v>
      </c>
      <c r="F301" s="39">
        <v>2349.3732399999999</v>
      </c>
      <c r="G301" s="39">
        <v>1408.5685922651382</v>
      </c>
      <c r="H301" s="40">
        <v>0.40607839428607329</v>
      </c>
      <c r="I301" s="40">
        <v>-0.40044920565063624</v>
      </c>
      <c r="J301" s="40">
        <v>0.12598979367287488</v>
      </c>
    </row>
    <row r="302" spans="1:10" ht="11.25" customHeight="1" x14ac:dyDescent="0.2">
      <c r="A302" s="49">
        <v>44743</v>
      </c>
      <c r="B302" s="39">
        <v>0</v>
      </c>
      <c r="C302" s="39">
        <v>0</v>
      </c>
      <c r="D302" s="39">
        <v>2568.8672899999997</v>
      </c>
      <c r="E302" s="39">
        <v>3612.0287942572158</v>
      </c>
      <c r="F302" s="39">
        <v>1366.7498899999998</v>
      </c>
      <c r="G302" s="39">
        <v>819.43598222640549</v>
      </c>
      <c r="H302" s="40">
        <v>0.40607839428607329</v>
      </c>
      <c r="I302" s="40">
        <v>-0.40044920565063624</v>
      </c>
      <c r="J302" s="40">
        <v>0.12598979367287488</v>
      </c>
    </row>
    <row r="303" spans="1:10" ht="11.25" customHeight="1" x14ac:dyDescent="0.2">
      <c r="A303" s="49">
        <v>44774</v>
      </c>
      <c r="B303" s="39">
        <v>0</v>
      </c>
      <c r="C303" s="39">
        <v>0</v>
      </c>
      <c r="D303" s="39">
        <v>4530.6316199999992</v>
      </c>
      <c r="E303" s="39">
        <v>6370.4232333513091</v>
      </c>
      <c r="F303" s="39">
        <v>2410.4944199999995</v>
      </c>
      <c r="G303" s="39">
        <v>1445.2138442857088</v>
      </c>
      <c r="H303" s="40">
        <v>0.40607839428607306</v>
      </c>
      <c r="I303" s="40">
        <v>-0.40044920565063613</v>
      </c>
      <c r="J303" s="40">
        <v>0.12598979367287488</v>
      </c>
    </row>
    <row r="304" spans="1:10" ht="11.25" customHeight="1" x14ac:dyDescent="0.2">
      <c r="A304" s="42" t="s">
        <v>42</v>
      </c>
      <c r="B304" s="39">
        <v>0</v>
      </c>
      <c r="C304" s="39">
        <v>0</v>
      </c>
      <c r="D304" s="39">
        <v>218131.98394000001</v>
      </c>
      <c r="E304" s="39">
        <v>330613.09698802372</v>
      </c>
      <c r="F304" s="39">
        <v>100815.36140000001</v>
      </c>
      <c r="G304" s="39">
        <v>63878.764873230248</v>
      </c>
      <c r="H304" s="40">
        <v>0.51565621426229291</v>
      </c>
      <c r="I304" s="40">
        <v>-0.3663786551358803</v>
      </c>
      <c r="J304" s="40">
        <v>0.23685576200900194</v>
      </c>
    </row>
    <row r="305" spans="1:10" ht="11.25" customHeight="1" x14ac:dyDescent="0.2">
      <c r="A305" s="43" t="s">
        <v>23</v>
      </c>
      <c r="B305" s="39">
        <v>0</v>
      </c>
      <c r="C305" s="39">
        <v>0</v>
      </c>
      <c r="D305" s="39">
        <v>218131.98394000001</v>
      </c>
      <c r="E305" s="39">
        <v>330613.09698802372</v>
      </c>
      <c r="F305" s="39">
        <v>100815.36140000001</v>
      </c>
      <c r="G305" s="39">
        <v>63878.764873230248</v>
      </c>
      <c r="H305" s="40">
        <v>0.51565621426229291</v>
      </c>
      <c r="I305" s="40">
        <v>-0.3663786551358803</v>
      </c>
      <c r="J305" s="40">
        <v>0.23685576200900194</v>
      </c>
    </row>
    <row r="306" spans="1:10" ht="11.25" customHeight="1" x14ac:dyDescent="0.2">
      <c r="A306" s="44" t="s">
        <v>43</v>
      </c>
      <c r="B306" s="39">
        <v>0</v>
      </c>
      <c r="C306" s="39">
        <v>0</v>
      </c>
      <c r="D306" s="39">
        <v>218131.98394000001</v>
      </c>
      <c r="E306" s="39">
        <v>330613.09698802372</v>
      </c>
      <c r="F306" s="39">
        <v>100815.36140000001</v>
      </c>
      <c r="G306" s="39">
        <v>63878.764873230248</v>
      </c>
      <c r="H306" s="40">
        <v>0.51565621426229291</v>
      </c>
      <c r="I306" s="40">
        <v>-0.3663786551358803</v>
      </c>
      <c r="J306" s="40">
        <v>0.23685576200900194</v>
      </c>
    </row>
    <row r="307" spans="1:10" ht="11.25" customHeight="1" x14ac:dyDescent="0.2">
      <c r="A307" s="45" t="s">
        <v>25</v>
      </c>
      <c r="B307" s="39">
        <v>0</v>
      </c>
      <c r="C307" s="39">
        <v>0</v>
      </c>
      <c r="D307" s="39">
        <v>218131.98394000001</v>
      </c>
      <c r="E307" s="39">
        <v>330613.09698802372</v>
      </c>
      <c r="F307" s="39">
        <v>100815.36140000001</v>
      </c>
      <c r="G307" s="39">
        <v>63878.764873230248</v>
      </c>
      <c r="H307" s="40">
        <v>0.51565621426229291</v>
      </c>
      <c r="I307" s="40">
        <v>-0.3663786551358803</v>
      </c>
      <c r="J307" s="40">
        <v>0.23685576200900194</v>
      </c>
    </row>
    <row r="308" spans="1:10" ht="11.25" customHeight="1" x14ac:dyDescent="0.2">
      <c r="A308" s="46" t="s">
        <v>25</v>
      </c>
      <c r="B308" s="39">
        <v>0</v>
      </c>
      <c r="C308" s="39">
        <v>0</v>
      </c>
      <c r="D308" s="39">
        <v>218131.98394000001</v>
      </c>
      <c r="E308" s="39">
        <v>330613.09698802372</v>
      </c>
      <c r="F308" s="39">
        <v>100815.36140000001</v>
      </c>
      <c r="G308" s="39">
        <v>63878.764873230248</v>
      </c>
      <c r="H308" s="40">
        <v>0.51565621426229291</v>
      </c>
      <c r="I308" s="40">
        <v>-0.3663786551358803</v>
      </c>
      <c r="J308" s="40">
        <v>0.23685576200900194</v>
      </c>
    </row>
    <row r="309" spans="1:10" ht="11.25" customHeight="1" x14ac:dyDescent="0.2">
      <c r="A309" s="47" t="s">
        <v>25</v>
      </c>
      <c r="B309" s="39">
        <v>0</v>
      </c>
      <c r="C309" s="39">
        <v>0</v>
      </c>
      <c r="D309" s="39">
        <v>218131.98394000001</v>
      </c>
      <c r="E309" s="39">
        <v>330613.09698802372</v>
      </c>
      <c r="F309" s="39">
        <v>100815.36140000001</v>
      </c>
      <c r="G309" s="39">
        <v>63878.764873230248</v>
      </c>
      <c r="H309" s="40">
        <v>0.51565621426229291</v>
      </c>
      <c r="I309" s="40">
        <v>-0.3663786551358803</v>
      </c>
      <c r="J309" s="40">
        <v>0.23685576200900194</v>
      </c>
    </row>
    <row r="310" spans="1:10" ht="11.25" customHeight="1" x14ac:dyDescent="0.2">
      <c r="A310" s="48" t="s">
        <v>25</v>
      </c>
      <c r="B310" s="39">
        <v>0</v>
      </c>
      <c r="C310" s="39">
        <v>0</v>
      </c>
      <c r="D310" s="39">
        <v>218131.98394000001</v>
      </c>
      <c r="E310" s="39">
        <v>330613.09698802372</v>
      </c>
      <c r="F310" s="39">
        <v>100815.36140000001</v>
      </c>
      <c r="G310" s="39">
        <v>63878.764873230248</v>
      </c>
      <c r="H310" s="40">
        <v>0.51565621426229291</v>
      </c>
      <c r="I310" s="40">
        <v>-0.3663786551358803</v>
      </c>
      <c r="J310" s="40">
        <v>0.23685576200900194</v>
      </c>
    </row>
    <row r="311" spans="1:10" ht="11.25" customHeight="1" x14ac:dyDescent="0.2">
      <c r="A311" s="49">
        <v>44440</v>
      </c>
      <c r="B311" s="39">
        <v>0</v>
      </c>
      <c r="C311" s="39">
        <v>0</v>
      </c>
      <c r="D311" s="39">
        <v>16928.888340000001</v>
      </c>
      <c r="E311" s="39">
        <v>25658.374813073482</v>
      </c>
      <c r="F311" s="39">
        <v>7824.1254000000008</v>
      </c>
      <c r="G311" s="39">
        <v>4957.5328583335177</v>
      </c>
      <c r="H311" s="40">
        <v>0.51565621426229336</v>
      </c>
      <c r="I311" s="40">
        <v>-0.36637865513588053</v>
      </c>
      <c r="J311" s="40">
        <v>0.23685576200900194</v>
      </c>
    </row>
    <row r="312" spans="1:10" ht="11.25" customHeight="1" x14ac:dyDescent="0.2">
      <c r="A312" s="49">
        <v>44470</v>
      </c>
      <c r="B312" s="39">
        <v>0</v>
      </c>
      <c r="C312" s="39">
        <v>0</v>
      </c>
      <c r="D312" s="39">
        <v>17114.495350000001</v>
      </c>
      <c r="E312" s="39">
        <v>25939.691231190624</v>
      </c>
      <c r="F312" s="39">
        <v>7909.9085000000005</v>
      </c>
      <c r="G312" s="39">
        <v>5011.8868615221309</v>
      </c>
      <c r="H312" s="40">
        <v>0.51565621426229336</v>
      </c>
      <c r="I312" s="40">
        <v>-0.36637865513588042</v>
      </c>
      <c r="J312" s="40">
        <v>0.23685576200900194</v>
      </c>
    </row>
    <row r="313" spans="1:10" ht="11.25" customHeight="1" x14ac:dyDescent="0.2">
      <c r="A313" s="49">
        <v>44501</v>
      </c>
      <c r="B313" s="39">
        <v>0</v>
      </c>
      <c r="C313" s="39">
        <v>0</v>
      </c>
      <c r="D313" s="39">
        <v>17557.064009999998</v>
      </c>
      <c r="E313" s="39">
        <v>26610.473170957357</v>
      </c>
      <c r="F313" s="39">
        <v>8114.4530999999997</v>
      </c>
      <c r="G313" s="39">
        <v>5141.4906860588244</v>
      </c>
      <c r="H313" s="40">
        <v>0.51565621426229336</v>
      </c>
      <c r="I313" s="40">
        <v>-0.36637865513588042</v>
      </c>
      <c r="J313" s="40">
        <v>0.23685576200900216</v>
      </c>
    </row>
    <row r="314" spans="1:10" ht="11.25" customHeight="1" x14ac:dyDescent="0.2">
      <c r="A314" s="49">
        <v>44531</v>
      </c>
      <c r="B314" s="39">
        <v>0</v>
      </c>
      <c r="C314" s="39">
        <v>0</v>
      </c>
      <c r="D314" s="39">
        <v>20031.116260000003</v>
      </c>
      <c r="E314" s="39">
        <v>30360.285838079468</v>
      </c>
      <c r="F314" s="39">
        <v>9257.9006000000008</v>
      </c>
      <c r="G314" s="39">
        <v>5866.00342879034</v>
      </c>
      <c r="H314" s="40">
        <v>0.51565621426229313</v>
      </c>
      <c r="I314" s="40">
        <v>-0.36637865513588042</v>
      </c>
      <c r="J314" s="40">
        <v>0.23685576200900171</v>
      </c>
    </row>
    <row r="315" spans="1:10" ht="11.25" customHeight="1" x14ac:dyDescent="0.2">
      <c r="A315" s="49">
        <v>44562</v>
      </c>
      <c r="B315" s="39">
        <v>0</v>
      </c>
      <c r="C315" s="39">
        <v>0</v>
      </c>
      <c r="D315" s="39">
        <v>21820.928480000002</v>
      </c>
      <c r="E315" s="39">
        <v>33073.025851685052</v>
      </c>
      <c r="F315" s="39">
        <v>10085.1088</v>
      </c>
      <c r="G315" s="39">
        <v>6390.1402009569674</v>
      </c>
      <c r="H315" s="40">
        <v>0.51565621426229291</v>
      </c>
      <c r="I315" s="40">
        <v>-0.36637865513588042</v>
      </c>
      <c r="J315" s="40">
        <v>0.23685576200900149</v>
      </c>
    </row>
    <row r="316" spans="1:10" ht="11.25" customHeight="1" x14ac:dyDescent="0.2">
      <c r="A316" s="49">
        <v>44593</v>
      </c>
      <c r="B316" s="39">
        <v>0</v>
      </c>
      <c r="C316" s="39">
        <v>0</v>
      </c>
      <c r="D316" s="39">
        <v>26250.862379999999</v>
      </c>
      <c r="E316" s="39">
        <v>39787.282695991256</v>
      </c>
      <c r="F316" s="39">
        <v>12132.5178</v>
      </c>
      <c r="G316" s="39">
        <v>7687.4222450238685</v>
      </c>
      <c r="H316" s="40">
        <v>0.51565621426229336</v>
      </c>
      <c r="I316" s="40">
        <v>-0.36637865513588053</v>
      </c>
      <c r="J316" s="40">
        <v>0.23685576200900194</v>
      </c>
    </row>
    <row r="317" spans="1:10" ht="11.25" customHeight="1" x14ac:dyDescent="0.2">
      <c r="A317" s="49">
        <v>44621</v>
      </c>
      <c r="B317" s="39">
        <v>0</v>
      </c>
      <c r="C317" s="39">
        <v>0</v>
      </c>
      <c r="D317" s="39">
        <v>20299.120889999998</v>
      </c>
      <c r="E317" s="39">
        <v>30766.488720990033</v>
      </c>
      <c r="F317" s="39">
        <v>9381.7659000000003</v>
      </c>
      <c r="G317" s="39">
        <v>5944.4871267583367</v>
      </c>
      <c r="H317" s="40">
        <v>0.51565621426229336</v>
      </c>
      <c r="I317" s="40">
        <v>-0.36637865513588053</v>
      </c>
      <c r="J317" s="40">
        <v>0.23685576200900216</v>
      </c>
    </row>
    <row r="318" spans="1:10" ht="11.25" customHeight="1" x14ac:dyDescent="0.2">
      <c r="A318" s="49">
        <v>44652</v>
      </c>
      <c r="B318" s="39">
        <v>0</v>
      </c>
      <c r="C318" s="39">
        <v>0</v>
      </c>
      <c r="D318" s="39">
        <v>17227.0488</v>
      </c>
      <c r="E318" s="39">
        <v>26110.283567119783</v>
      </c>
      <c r="F318" s="39">
        <v>7961.9279999999999</v>
      </c>
      <c r="G318" s="39">
        <v>5044.8475270712897</v>
      </c>
      <c r="H318" s="40">
        <v>0.51565621426229336</v>
      </c>
      <c r="I318" s="40">
        <v>-0.36637865513588042</v>
      </c>
      <c r="J318" s="40">
        <v>0.23685576200900194</v>
      </c>
    </row>
    <row r="319" spans="1:10" ht="11.25" customHeight="1" x14ac:dyDescent="0.2">
      <c r="A319" s="49">
        <v>44682</v>
      </c>
      <c r="B319" s="39">
        <v>0</v>
      </c>
      <c r="C319" s="39">
        <v>0</v>
      </c>
      <c r="D319" s="39">
        <v>15558.709360000001</v>
      </c>
      <c r="E319" s="39">
        <v>23581.654527384911</v>
      </c>
      <c r="F319" s="39">
        <v>7190.8616000000011</v>
      </c>
      <c r="G319" s="39">
        <v>4556.2833977237551</v>
      </c>
      <c r="H319" s="40">
        <v>0.51565621426229336</v>
      </c>
      <c r="I319" s="40">
        <v>-0.36637865513588042</v>
      </c>
      <c r="J319" s="40">
        <v>0.23685576200900194</v>
      </c>
    </row>
    <row r="320" spans="1:10" ht="11.25" customHeight="1" x14ac:dyDescent="0.2">
      <c r="A320" s="49">
        <v>44713</v>
      </c>
      <c r="B320" s="39">
        <v>0</v>
      </c>
      <c r="C320" s="39">
        <v>0</v>
      </c>
      <c r="D320" s="39">
        <v>16729.265240000001</v>
      </c>
      <c r="E320" s="39">
        <v>25355.814821048174</v>
      </c>
      <c r="F320" s="39">
        <v>7731.8643999999995</v>
      </c>
      <c r="G320" s="39">
        <v>4899.074319435008</v>
      </c>
      <c r="H320" s="40">
        <v>0.51565621426229313</v>
      </c>
      <c r="I320" s="40">
        <v>-0.36637865513588053</v>
      </c>
      <c r="J320" s="40">
        <v>0.23685576200900194</v>
      </c>
    </row>
    <row r="321" spans="1:10" ht="11.25" customHeight="1" x14ac:dyDescent="0.2">
      <c r="A321" s="49">
        <v>44743</v>
      </c>
      <c r="B321" s="39">
        <v>0</v>
      </c>
      <c r="C321" s="39">
        <v>0</v>
      </c>
      <c r="D321" s="39">
        <v>13472.435600000001</v>
      </c>
      <c r="E321" s="39">
        <v>20419.580738388548</v>
      </c>
      <c r="F321" s="39">
        <v>6226.6360000000004</v>
      </c>
      <c r="G321" s="39">
        <v>3945.3294762993419</v>
      </c>
      <c r="H321" s="40">
        <v>0.51565621426229313</v>
      </c>
      <c r="I321" s="40">
        <v>-0.36637865513588053</v>
      </c>
      <c r="J321" s="40">
        <v>0.23685576200900171</v>
      </c>
    </row>
    <row r="322" spans="1:10" ht="11.25" customHeight="1" x14ac:dyDescent="0.2">
      <c r="A322" s="49">
        <v>44774</v>
      </c>
      <c r="B322" s="39">
        <v>0</v>
      </c>
      <c r="C322" s="39">
        <v>0</v>
      </c>
      <c r="D322" s="39">
        <v>15142.049230000002</v>
      </c>
      <c r="E322" s="39">
        <v>22950.141012115077</v>
      </c>
      <c r="F322" s="39">
        <v>6998.2913000000017</v>
      </c>
      <c r="G322" s="39">
        <v>4434.2667452568685</v>
      </c>
      <c r="H322" s="40">
        <v>0.51565621426229336</v>
      </c>
      <c r="I322" s="40">
        <v>-0.36637865513588042</v>
      </c>
      <c r="J322" s="40">
        <v>0.23685576200900194</v>
      </c>
    </row>
    <row r="323" spans="1:10" ht="11.25" customHeight="1" x14ac:dyDescent="0.2">
      <c r="A323" s="42" t="s">
        <v>37</v>
      </c>
      <c r="B323" s="39">
        <v>0</v>
      </c>
      <c r="C323" s="39">
        <v>0</v>
      </c>
      <c r="D323" s="39">
        <v>6748743.9183439985</v>
      </c>
      <c r="E323" s="39">
        <v>9678130.5140581634</v>
      </c>
      <c r="F323" s="39">
        <v>3127438.8926931988</v>
      </c>
      <c r="G323" s="39">
        <v>1875058.4723933027</v>
      </c>
      <c r="H323" s="40">
        <v>0.43406397266781749</v>
      </c>
      <c r="I323" s="40">
        <v>-0.40044920565063591</v>
      </c>
      <c r="J323" s="40">
        <v>0.16980307143971873</v>
      </c>
    </row>
    <row r="324" spans="1:10" ht="11.25" customHeight="1" x14ac:dyDescent="0.2">
      <c r="A324" s="43" t="s">
        <v>33</v>
      </c>
      <c r="B324" s="39">
        <v>0</v>
      </c>
      <c r="C324" s="39">
        <v>0</v>
      </c>
      <c r="D324" s="39">
        <v>77921.582879999987</v>
      </c>
      <c r="E324" s="39">
        <v>111086.82454686357</v>
      </c>
      <c r="F324" s="39">
        <v>44334.493290000035</v>
      </c>
      <c r="G324" s="39">
        <v>26580.780669096046</v>
      </c>
      <c r="H324" s="40">
        <v>0.42562330539330073</v>
      </c>
      <c r="I324" s="40">
        <v>-0.40044920565063657</v>
      </c>
      <c r="J324" s="40">
        <v>0.12605941175904856</v>
      </c>
    </row>
    <row r="325" spans="1:10" ht="11.25" customHeight="1" x14ac:dyDescent="0.2">
      <c r="A325" s="44" t="s">
        <v>41</v>
      </c>
      <c r="B325" s="39">
        <v>0</v>
      </c>
      <c r="C325" s="39">
        <v>0</v>
      </c>
      <c r="D325" s="39">
        <v>21865.041039999989</v>
      </c>
      <c r="E325" s="39">
        <v>31239.242913118451</v>
      </c>
      <c r="F325" s="39">
        <v>11591.386409999999</v>
      </c>
      <c r="G325" s="39">
        <v>6949.6249297259201</v>
      </c>
      <c r="H325" s="40">
        <v>0.42873012934067978</v>
      </c>
      <c r="I325" s="40">
        <v>-0.40044920565063624</v>
      </c>
      <c r="J325" s="40">
        <v>0.14145085873011798</v>
      </c>
    </row>
    <row r="326" spans="1:10" ht="11.25" customHeight="1" x14ac:dyDescent="0.2">
      <c r="A326" s="45" t="s">
        <v>25</v>
      </c>
      <c r="B326" s="39">
        <v>0</v>
      </c>
      <c r="C326" s="39">
        <v>0</v>
      </c>
      <c r="D326" s="39">
        <v>21865.041039999989</v>
      </c>
      <c r="E326" s="39">
        <v>31239.242913118451</v>
      </c>
      <c r="F326" s="39">
        <v>11591.386409999999</v>
      </c>
      <c r="G326" s="39">
        <v>6949.6249297259201</v>
      </c>
      <c r="H326" s="40">
        <v>0.42873012934067978</v>
      </c>
      <c r="I326" s="40">
        <v>-0.40044920565063624</v>
      </c>
      <c r="J326" s="40">
        <v>0.14145085873011798</v>
      </c>
    </row>
    <row r="327" spans="1:10" ht="11.25" customHeight="1" x14ac:dyDescent="0.2">
      <c r="A327" s="46" t="s">
        <v>25</v>
      </c>
      <c r="B327" s="39">
        <v>0</v>
      </c>
      <c r="C327" s="39">
        <v>0</v>
      </c>
      <c r="D327" s="39">
        <v>21865.041039999989</v>
      </c>
      <c r="E327" s="39">
        <v>31239.242913118451</v>
      </c>
      <c r="F327" s="39">
        <v>11591.386409999999</v>
      </c>
      <c r="G327" s="39">
        <v>6949.6249297259201</v>
      </c>
      <c r="H327" s="40">
        <v>0.42873012934067978</v>
      </c>
      <c r="I327" s="40">
        <v>-0.40044920565063624</v>
      </c>
      <c r="J327" s="40">
        <v>0.14145085873011798</v>
      </c>
    </row>
    <row r="328" spans="1:10" ht="11.25" customHeight="1" x14ac:dyDescent="0.2">
      <c r="A328" s="47" t="s">
        <v>25</v>
      </c>
      <c r="B328" s="39">
        <v>0</v>
      </c>
      <c r="C328" s="39">
        <v>0</v>
      </c>
      <c r="D328" s="39">
        <v>21865.041039999989</v>
      </c>
      <c r="E328" s="39">
        <v>31239.242913118451</v>
      </c>
      <c r="F328" s="39">
        <v>11591.386409999999</v>
      </c>
      <c r="G328" s="39">
        <v>6949.6249297259201</v>
      </c>
      <c r="H328" s="40">
        <v>0.42873012934067978</v>
      </c>
      <c r="I328" s="40">
        <v>-0.40044920565063624</v>
      </c>
      <c r="J328" s="40">
        <v>0.14145085873011798</v>
      </c>
    </row>
    <row r="329" spans="1:10" ht="11.25" customHeight="1" x14ac:dyDescent="0.2">
      <c r="A329" s="48" t="s">
        <v>35</v>
      </c>
      <c r="B329" s="39">
        <v>0</v>
      </c>
      <c r="C329" s="39">
        <v>0</v>
      </c>
      <c r="D329" s="39">
        <v>17415.020260000001</v>
      </c>
      <c r="E329" s="39">
        <v>24760.312117330835</v>
      </c>
      <c r="F329" s="39">
        <v>10745.058829999998</v>
      </c>
      <c r="G329" s="39">
        <v>6442.2085568571447</v>
      </c>
      <c r="H329" s="40">
        <v>0.42177911639884802</v>
      </c>
      <c r="I329" s="40">
        <v>-0.40044920565063635</v>
      </c>
      <c r="J329" s="40">
        <v>0.10804094599536795</v>
      </c>
    </row>
    <row r="330" spans="1:10" ht="11.25" customHeight="1" x14ac:dyDescent="0.2">
      <c r="A330" s="49">
        <v>44440</v>
      </c>
      <c r="B330" s="39">
        <v>0</v>
      </c>
      <c r="C330" s="39">
        <v>0</v>
      </c>
      <c r="D330" s="39">
        <v>297.18588</v>
      </c>
      <c r="E330" s="39">
        <v>422.53267787261404</v>
      </c>
      <c r="F330" s="39">
        <v>183.36353999999997</v>
      </c>
      <c r="G330" s="39">
        <v>109.93575606171132</v>
      </c>
      <c r="H330" s="40">
        <v>0.42177911639884802</v>
      </c>
      <c r="I330" s="40">
        <v>-0.40044920565063624</v>
      </c>
      <c r="J330" s="40">
        <v>0.10804094599536818</v>
      </c>
    </row>
    <row r="331" spans="1:10" ht="11.25" customHeight="1" x14ac:dyDescent="0.2">
      <c r="A331" s="49">
        <v>44470</v>
      </c>
      <c r="B331" s="39">
        <v>0</v>
      </c>
      <c r="C331" s="39">
        <v>0</v>
      </c>
      <c r="D331" s="39">
        <v>322.49368000000004</v>
      </c>
      <c r="E331" s="39">
        <v>458.51477939461284</v>
      </c>
      <c r="F331" s="39">
        <v>198.97844000000001</v>
      </c>
      <c r="G331" s="39">
        <v>119.29768176039721</v>
      </c>
      <c r="H331" s="40">
        <v>0.4217791163988478</v>
      </c>
      <c r="I331" s="40">
        <v>-0.40044920565063624</v>
      </c>
      <c r="J331" s="40">
        <v>0.10804094599536795</v>
      </c>
    </row>
    <row r="332" spans="1:10" ht="11.25" customHeight="1" x14ac:dyDescent="0.2">
      <c r="A332" s="49">
        <v>44501</v>
      </c>
      <c r="B332" s="39">
        <v>0</v>
      </c>
      <c r="C332" s="39">
        <v>0</v>
      </c>
      <c r="D332" s="39">
        <v>446.14036000000004</v>
      </c>
      <c r="E332" s="39">
        <v>634.31304683066401</v>
      </c>
      <c r="F332" s="39">
        <v>275.26838000000004</v>
      </c>
      <c r="G332" s="39">
        <v>165.03737588826252</v>
      </c>
      <c r="H332" s="40">
        <v>0.42177911639884802</v>
      </c>
      <c r="I332" s="40">
        <v>-0.40044920565063635</v>
      </c>
      <c r="J332" s="40">
        <v>0.10804094599536795</v>
      </c>
    </row>
    <row r="333" spans="1:10" ht="11.25" customHeight="1" x14ac:dyDescent="0.2">
      <c r="A333" s="49">
        <v>44531</v>
      </c>
      <c r="B333" s="39">
        <v>0</v>
      </c>
      <c r="C333" s="39">
        <v>0</v>
      </c>
      <c r="D333" s="39">
        <v>1446.8830800000001</v>
      </c>
      <c r="E333" s="39">
        <v>2057.1481470148437</v>
      </c>
      <c r="F333" s="39">
        <v>892.72613999999987</v>
      </c>
      <c r="G333" s="39">
        <v>535.2346663734412</v>
      </c>
      <c r="H333" s="40">
        <v>0.42177911639884802</v>
      </c>
      <c r="I333" s="40">
        <v>-0.40044920565063624</v>
      </c>
      <c r="J333" s="40">
        <v>0.10804094599536795</v>
      </c>
    </row>
    <row r="334" spans="1:10" ht="11.25" customHeight="1" x14ac:dyDescent="0.2">
      <c r="A334" s="49">
        <v>44562</v>
      </c>
      <c r="B334" s="39">
        <v>0</v>
      </c>
      <c r="C334" s="39">
        <v>0</v>
      </c>
      <c r="D334" s="39">
        <v>1973.6468600000001</v>
      </c>
      <c r="E334" s="39">
        <v>2806.0898886941609</v>
      </c>
      <c r="F334" s="39">
        <v>1217.7391299999999</v>
      </c>
      <c r="G334" s="39">
        <v>730.09646270180315</v>
      </c>
      <c r="H334" s="40">
        <v>0.42177911639884802</v>
      </c>
      <c r="I334" s="40">
        <v>-0.40044920565063624</v>
      </c>
      <c r="J334" s="40">
        <v>0.10804094599536818</v>
      </c>
    </row>
    <row r="335" spans="1:10" ht="11.25" customHeight="1" x14ac:dyDescent="0.2">
      <c r="A335" s="49">
        <v>44593</v>
      </c>
      <c r="B335" s="39">
        <v>0</v>
      </c>
      <c r="C335" s="39">
        <v>0</v>
      </c>
      <c r="D335" s="39">
        <v>2317.4714000000004</v>
      </c>
      <c r="E335" s="39">
        <v>3294.932439371601</v>
      </c>
      <c r="F335" s="39">
        <v>1429.8787</v>
      </c>
      <c r="G335" s="39">
        <v>857.28491040823553</v>
      </c>
      <c r="H335" s="40">
        <v>0.4217791163988478</v>
      </c>
      <c r="I335" s="40">
        <v>-0.40044920565063624</v>
      </c>
      <c r="J335" s="40">
        <v>0.10804094599536773</v>
      </c>
    </row>
    <row r="336" spans="1:10" ht="11.25" customHeight="1" x14ac:dyDescent="0.2">
      <c r="A336" s="49">
        <v>44621</v>
      </c>
      <c r="B336" s="39">
        <v>0</v>
      </c>
      <c r="C336" s="39">
        <v>0</v>
      </c>
      <c r="D336" s="39">
        <v>2788.1964800000001</v>
      </c>
      <c r="E336" s="39">
        <v>3964.1995276807784</v>
      </c>
      <c r="F336" s="39">
        <v>1720.3158399999998</v>
      </c>
      <c r="G336" s="39">
        <v>1031.4167284037928</v>
      </c>
      <c r="H336" s="40">
        <v>0.42177911639884802</v>
      </c>
      <c r="I336" s="40">
        <v>-0.40044920565063624</v>
      </c>
      <c r="J336" s="40">
        <v>0.10804094599536818</v>
      </c>
    </row>
    <row r="337" spans="1:10" ht="11.25" customHeight="1" x14ac:dyDescent="0.2">
      <c r="A337" s="49">
        <v>44652</v>
      </c>
      <c r="B337" s="39">
        <v>0</v>
      </c>
      <c r="C337" s="39">
        <v>0</v>
      </c>
      <c r="D337" s="39">
        <v>2248.4172600000002</v>
      </c>
      <c r="E337" s="39">
        <v>3196.7527052187188</v>
      </c>
      <c r="F337" s="39">
        <v>1387.27233</v>
      </c>
      <c r="G337" s="39">
        <v>831.74022743039268</v>
      </c>
      <c r="H337" s="40">
        <v>0.4217791163988478</v>
      </c>
      <c r="I337" s="40">
        <v>-0.40044920565063624</v>
      </c>
      <c r="J337" s="40">
        <v>0.10804094599536795</v>
      </c>
    </row>
    <row r="338" spans="1:10" ht="11.25" customHeight="1" x14ac:dyDescent="0.2">
      <c r="A338" s="49">
        <v>44682</v>
      </c>
      <c r="B338" s="39">
        <v>0</v>
      </c>
      <c r="C338" s="39">
        <v>0</v>
      </c>
      <c r="D338" s="39">
        <v>2217.6863600000001</v>
      </c>
      <c r="E338" s="39">
        <v>3153.0601533705772</v>
      </c>
      <c r="F338" s="39">
        <v>1368.3113799999999</v>
      </c>
      <c r="G338" s="39">
        <v>820.37217479627395</v>
      </c>
      <c r="H338" s="40">
        <v>0.4217791163988478</v>
      </c>
      <c r="I338" s="40">
        <v>-0.40044920565063635</v>
      </c>
      <c r="J338" s="40">
        <v>0.10804094599536795</v>
      </c>
    </row>
    <row r="339" spans="1:10" ht="11.25" customHeight="1" x14ac:dyDescent="0.2">
      <c r="A339" s="49">
        <v>44713</v>
      </c>
      <c r="B339" s="39">
        <v>0</v>
      </c>
      <c r="C339" s="39">
        <v>0</v>
      </c>
      <c r="D339" s="39">
        <v>1846.3847800000003</v>
      </c>
      <c r="E339" s="39">
        <v>2625.1513210406815</v>
      </c>
      <c r="F339" s="39">
        <v>1139.2184900000002</v>
      </c>
      <c r="G339" s="39">
        <v>683.01935061698271</v>
      </c>
      <c r="H339" s="40">
        <v>0.4217791163988478</v>
      </c>
      <c r="I339" s="40">
        <v>-0.40044920565063635</v>
      </c>
      <c r="J339" s="40">
        <v>0.10804094599536773</v>
      </c>
    </row>
    <row r="340" spans="1:10" ht="11.25" customHeight="1" x14ac:dyDescent="0.2">
      <c r="A340" s="49">
        <v>44743</v>
      </c>
      <c r="B340" s="39">
        <v>0</v>
      </c>
      <c r="C340" s="39">
        <v>0</v>
      </c>
      <c r="D340" s="39">
        <v>179.32384000000002</v>
      </c>
      <c r="E340" s="39">
        <v>254.95889078444839</v>
      </c>
      <c r="F340" s="39">
        <v>110.64272</v>
      </c>
      <c r="G340" s="39">
        <v>66.335930664974228</v>
      </c>
      <c r="H340" s="40">
        <v>0.4217791163988478</v>
      </c>
      <c r="I340" s="40">
        <v>-0.40044920565063635</v>
      </c>
      <c r="J340" s="40">
        <v>0.10804094599536795</v>
      </c>
    </row>
    <row r="341" spans="1:10" ht="11.25" customHeight="1" x14ac:dyDescent="0.2">
      <c r="A341" s="49">
        <v>44774</v>
      </c>
      <c r="B341" s="39">
        <v>0</v>
      </c>
      <c r="C341" s="39">
        <v>0</v>
      </c>
      <c r="D341" s="39">
        <v>1331.19028</v>
      </c>
      <c r="E341" s="39">
        <v>1892.658540057135</v>
      </c>
      <c r="F341" s="39">
        <v>821.34373999999991</v>
      </c>
      <c r="G341" s="39">
        <v>492.43729175087725</v>
      </c>
      <c r="H341" s="40">
        <v>0.42177911639884802</v>
      </c>
      <c r="I341" s="40">
        <v>-0.40044920565063624</v>
      </c>
      <c r="J341" s="40">
        <v>0.10804094599536795</v>
      </c>
    </row>
    <row r="342" spans="1:10" ht="11.25" customHeight="1" x14ac:dyDescent="0.2">
      <c r="A342" s="48" t="s">
        <v>36</v>
      </c>
      <c r="B342" s="39">
        <v>0</v>
      </c>
      <c r="C342" s="39">
        <v>0</v>
      </c>
      <c r="D342" s="39">
        <v>1691.3831400000001</v>
      </c>
      <c r="E342" s="39">
        <v>2454.779127227921</v>
      </c>
      <c r="F342" s="39">
        <v>418.92545999999999</v>
      </c>
      <c r="G342" s="39">
        <v>251.16709231617261</v>
      </c>
      <c r="H342" s="40">
        <v>0.45134421005752756</v>
      </c>
      <c r="I342" s="40">
        <v>-0.40044920565063602</v>
      </c>
      <c r="J342" s="40">
        <v>0.28225142974069928</v>
      </c>
    </row>
    <row r="343" spans="1:10" ht="11.25" customHeight="1" x14ac:dyDescent="0.2">
      <c r="A343" s="49">
        <v>44440</v>
      </c>
      <c r="B343" s="39">
        <v>0</v>
      </c>
      <c r="C343" s="39">
        <v>0</v>
      </c>
      <c r="D343" s="39">
        <v>58.540950000000002</v>
      </c>
      <c r="E343" s="39">
        <v>84.963068833767224</v>
      </c>
      <c r="F343" s="39">
        <v>14.499549999999999</v>
      </c>
      <c r="G343" s="39">
        <v>8.6932167202083175</v>
      </c>
      <c r="H343" s="40">
        <v>0.45134421005752756</v>
      </c>
      <c r="I343" s="40">
        <v>-0.40044920565063624</v>
      </c>
      <c r="J343" s="40">
        <v>0.28225142974069906</v>
      </c>
    </row>
    <row r="344" spans="1:10" ht="11.25" customHeight="1" x14ac:dyDescent="0.2">
      <c r="A344" s="49">
        <v>44470</v>
      </c>
      <c r="B344" s="39">
        <v>0</v>
      </c>
      <c r="C344" s="39">
        <v>0</v>
      </c>
      <c r="D344" s="39">
        <v>58.540950000000002</v>
      </c>
      <c r="E344" s="39">
        <v>84.963068833767224</v>
      </c>
      <c r="F344" s="39">
        <v>14.499549999999999</v>
      </c>
      <c r="G344" s="39">
        <v>8.6932167202083175</v>
      </c>
      <c r="H344" s="40">
        <v>0.45134421005752756</v>
      </c>
      <c r="I344" s="40">
        <v>-0.40044920565063624</v>
      </c>
      <c r="J344" s="40">
        <v>0.28225142974069906</v>
      </c>
    </row>
    <row r="345" spans="1:10" ht="11.25" customHeight="1" x14ac:dyDescent="0.2">
      <c r="A345" s="49">
        <v>44501</v>
      </c>
      <c r="B345" s="39">
        <v>0</v>
      </c>
      <c r="C345" s="39">
        <v>0</v>
      </c>
      <c r="D345" s="39">
        <v>59.441579999999995</v>
      </c>
      <c r="E345" s="39">
        <v>86.270192969671342</v>
      </c>
      <c r="F345" s="39">
        <v>14.722619999999999</v>
      </c>
      <c r="G345" s="39">
        <v>8.8269585159038293</v>
      </c>
      <c r="H345" s="40">
        <v>0.45134421005752801</v>
      </c>
      <c r="I345" s="40">
        <v>-0.40044920565063624</v>
      </c>
      <c r="J345" s="40">
        <v>0.28225142974069928</v>
      </c>
    </row>
    <row r="346" spans="1:10" ht="11.25" customHeight="1" x14ac:dyDescent="0.2">
      <c r="A346" s="49">
        <v>44531</v>
      </c>
      <c r="B346" s="39">
        <v>0</v>
      </c>
      <c r="C346" s="39">
        <v>0</v>
      </c>
      <c r="D346" s="39">
        <v>139.59764999999999</v>
      </c>
      <c r="E346" s="39">
        <v>202.60424106513724</v>
      </c>
      <c r="F346" s="39">
        <v>34.575849999999996</v>
      </c>
      <c r="G346" s="39">
        <v>20.729978332804446</v>
      </c>
      <c r="H346" s="40">
        <v>0.45134421005752801</v>
      </c>
      <c r="I346" s="40">
        <v>-0.40044920565063624</v>
      </c>
      <c r="J346" s="40">
        <v>0.2822514297406995</v>
      </c>
    </row>
    <row r="347" spans="1:10" ht="11.25" customHeight="1" x14ac:dyDescent="0.2">
      <c r="A347" s="49">
        <v>44562</v>
      </c>
      <c r="B347" s="39">
        <v>0</v>
      </c>
      <c r="C347" s="39">
        <v>0</v>
      </c>
      <c r="D347" s="39">
        <v>175.62285</v>
      </c>
      <c r="E347" s="39">
        <v>254.88920650130169</v>
      </c>
      <c r="F347" s="39">
        <v>43.498649999999998</v>
      </c>
      <c r="G347" s="39">
        <v>26.079650160624951</v>
      </c>
      <c r="H347" s="40">
        <v>0.45134421005752778</v>
      </c>
      <c r="I347" s="40">
        <v>-0.40044920565063624</v>
      </c>
      <c r="J347" s="40">
        <v>0.28225142974069928</v>
      </c>
    </row>
    <row r="348" spans="1:10" ht="11.25" customHeight="1" x14ac:dyDescent="0.2">
      <c r="A348" s="49">
        <v>44593</v>
      </c>
      <c r="B348" s="39">
        <v>0</v>
      </c>
      <c r="C348" s="39">
        <v>0</v>
      </c>
      <c r="D348" s="39">
        <v>235.06443000000002</v>
      </c>
      <c r="E348" s="39">
        <v>341.15939947097303</v>
      </c>
      <c r="F348" s="39">
        <v>58.221269999999997</v>
      </c>
      <c r="G348" s="39">
        <v>34.906608676528784</v>
      </c>
      <c r="H348" s="40">
        <v>0.45134421005752756</v>
      </c>
      <c r="I348" s="40">
        <v>-0.40044920565063613</v>
      </c>
      <c r="J348" s="40">
        <v>0.28225142974069928</v>
      </c>
    </row>
    <row r="349" spans="1:10" ht="11.25" customHeight="1" x14ac:dyDescent="0.2">
      <c r="A349" s="49">
        <v>44621</v>
      </c>
      <c r="B349" s="39">
        <v>0</v>
      </c>
      <c r="C349" s="39">
        <v>0</v>
      </c>
      <c r="D349" s="39">
        <v>289.10222999999996</v>
      </c>
      <c r="E349" s="39">
        <v>419.58684762521972</v>
      </c>
      <c r="F349" s="39">
        <v>71.605469999999997</v>
      </c>
      <c r="G349" s="39">
        <v>42.931116418259535</v>
      </c>
      <c r="H349" s="40">
        <v>0.45134421005752801</v>
      </c>
      <c r="I349" s="40">
        <v>-0.40044920565063624</v>
      </c>
      <c r="J349" s="40">
        <v>0.2822514297406995</v>
      </c>
    </row>
    <row r="350" spans="1:10" ht="11.25" customHeight="1" x14ac:dyDescent="0.2">
      <c r="A350" s="49">
        <v>44652</v>
      </c>
      <c r="B350" s="39">
        <v>0</v>
      </c>
      <c r="C350" s="39">
        <v>0</v>
      </c>
      <c r="D350" s="39">
        <v>210.74741999999998</v>
      </c>
      <c r="E350" s="39">
        <v>305.86704780156202</v>
      </c>
      <c r="F350" s="39">
        <v>52.19838</v>
      </c>
      <c r="G350" s="39">
        <v>31.295580192749942</v>
      </c>
      <c r="H350" s="40">
        <v>0.45134421005752801</v>
      </c>
      <c r="I350" s="40">
        <v>-0.40044920565063624</v>
      </c>
      <c r="J350" s="40">
        <v>0.2822514297406995</v>
      </c>
    </row>
    <row r="351" spans="1:10" ht="11.25" customHeight="1" x14ac:dyDescent="0.2">
      <c r="A351" s="49">
        <v>44682</v>
      </c>
      <c r="B351" s="39">
        <v>0</v>
      </c>
      <c r="C351" s="39">
        <v>0</v>
      </c>
      <c r="D351" s="39">
        <v>167.51718</v>
      </c>
      <c r="E351" s="39">
        <v>243.12508927816469</v>
      </c>
      <c r="F351" s="39">
        <v>41.491019999999999</v>
      </c>
      <c r="G351" s="39">
        <v>24.875973999365335</v>
      </c>
      <c r="H351" s="40">
        <v>0.45134421005752778</v>
      </c>
      <c r="I351" s="40">
        <v>-0.40044920565063635</v>
      </c>
      <c r="J351" s="40">
        <v>0.28225142974069928</v>
      </c>
    </row>
    <row r="352" spans="1:10" ht="11.25" customHeight="1" x14ac:dyDescent="0.2">
      <c r="A352" s="49">
        <v>44713</v>
      </c>
      <c r="B352" s="39">
        <v>0</v>
      </c>
      <c r="C352" s="39">
        <v>0</v>
      </c>
      <c r="D352" s="39">
        <v>170.21906999999999</v>
      </c>
      <c r="E352" s="39">
        <v>247.04646168587701</v>
      </c>
      <c r="F352" s="39">
        <v>42.160229999999999</v>
      </c>
      <c r="G352" s="39">
        <v>25.277199386451876</v>
      </c>
      <c r="H352" s="40">
        <v>0.45134421005752778</v>
      </c>
      <c r="I352" s="40">
        <v>-0.40044920565063624</v>
      </c>
      <c r="J352" s="40">
        <v>0.28225142974069928</v>
      </c>
    </row>
    <row r="353" spans="1:10" ht="11.25" customHeight="1" x14ac:dyDescent="0.2">
      <c r="A353" s="49">
        <v>44743</v>
      </c>
      <c r="B353" s="39">
        <v>0</v>
      </c>
      <c r="C353" s="39">
        <v>0</v>
      </c>
      <c r="D353" s="39">
        <v>21.615120000000001</v>
      </c>
      <c r="E353" s="39">
        <v>31.370979261698668</v>
      </c>
      <c r="F353" s="39">
        <v>5.3536799999999998</v>
      </c>
      <c r="G353" s="39">
        <v>3.2098030966923017</v>
      </c>
      <c r="H353" s="40">
        <v>0.45134421005752756</v>
      </c>
      <c r="I353" s="40">
        <v>-0.40044920565063624</v>
      </c>
      <c r="J353" s="40">
        <v>0.28225142974069906</v>
      </c>
    </row>
    <row r="354" spans="1:10" ht="11.25" customHeight="1" x14ac:dyDescent="0.2">
      <c r="A354" s="49">
        <v>44774</v>
      </c>
      <c r="B354" s="39">
        <v>0</v>
      </c>
      <c r="C354" s="39">
        <v>0</v>
      </c>
      <c r="D354" s="39">
        <v>105.37371</v>
      </c>
      <c r="E354" s="39">
        <v>152.93352390078101</v>
      </c>
      <c r="F354" s="39">
        <v>26.09919</v>
      </c>
      <c r="G354" s="39">
        <v>15.647790096374971</v>
      </c>
      <c r="H354" s="40">
        <v>0.45134421005752778</v>
      </c>
      <c r="I354" s="40">
        <v>-0.40044920565063624</v>
      </c>
      <c r="J354" s="40">
        <v>0.28225142974069906</v>
      </c>
    </row>
    <row r="355" spans="1:10" ht="11.25" customHeight="1" x14ac:dyDescent="0.2">
      <c r="A355" s="48" t="s">
        <v>34</v>
      </c>
      <c r="B355" s="39">
        <v>0</v>
      </c>
      <c r="C355" s="39">
        <v>0</v>
      </c>
      <c r="D355" s="39">
        <v>2758.6376399999999</v>
      </c>
      <c r="E355" s="39">
        <v>4024.1516685596944</v>
      </c>
      <c r="F355" s="39">
        <v>427.40211999999997</v>
      </c>
      <c r="G355" s="39">
        <v>256.24928055260204</v>
      </c>
      <c r="H355" s="40">
        <v>0.45874601658798975</v>
      </c>
      <c r="I355" s="40">
        <v>-0.40044920565063635</v>
      </c>
      <c r="J355" s="40">
        <v>0.34348635658969151</v>
      </c>
    </row>
    <row r="356" spans="1:10" ht="11.25" customHeight="1" x14ac:dyDescent="0.2">
      <c r="A356" s="49">
        <v>44440</v>
      </c>
      <c r="B356" s="39">
        <v>0</v>
      </c>
      <c r="C356" s="39">
        <v>0</v>
      </c>
      <c r="D356" s="39">
        <v>129.58109999999999</v>
      </c>
      <c r="E356" s="39">
        <v>189.02591345009003</v>
      </c>
      <c r="F356" s="39">
        <v>20.0763</v>
      </c>
      <c r="G356" s="39">
        <v>12.036761612596131</v>
      </c>
      <c r="H356" s="40">
        <v>0.45874601658799041</v>
      </c>
      <c r="I356" s="40">
        <v>-0.40044920565063624</v>
      </c>
      <c r="J356" s="40">
        <v>0.34348635658969195</v>
      </c>
    </row>
    <row r="357" spans="1:10" ht="11.25" customHeight="1" x14ac:dyDescent="0.2">
      <c r="A357" s="49">
        <v>44470</v>
      </c>
      <c r="B357" s="39">
        <v>0</v>
      </c>
      <c r="C357" s="39">
        <v>0</v>
      </c>
      <c r="D357" s="39">
        <v>113.74341</v>
      </c>
      <c r="E357" s="39">
        <v>165.92274625063459</v>
      </c>
      <c r="F357" s="39">
        <v>17.622530000000001</v>
      </c>
      <c r="G357" s="39">
        <v>10.565601859945494</v>
      </c>
      <c r="H357" s="40">
        <v>0.45874601658799041</v>
      </c>
      <c r="I357" s="40">
        <v>-0.40044920565063624</v>
      </c>
      <c r="J357" s="40">
        <v>0.34348635658969218</v>
      </c>
    </row>
    <row r="358" spans="1:10" ht="11.25" customHeight="1" x14ac:dyDescent="0.2">
      <c r="A358" s="49">
        <v>44501</v>
      </c>
      <c r="B358" s="39">
        <v>0</v>
      </c>
      <c r="C358" s="39">
        <v>0</v>
      </c>
      <c r="D358" s="39">
        <v>132.46068</v>
      </c>
      <c r="E358" s="39">
        <v>193.22648930453647</v>
      </c>
      <c r="F358" s="39">
        <v>20.522439999999996</v>
      </c>
      <c r="G358" s="39">
        <v>12.304245203987156</v>
      </c>
      <c r="H358" s="40">
        <v>0.45874601658799041</v>
      </c>
      <c r="I358" s="40">
        <v>-0.40044920565063613</v>
      </c>
      <c r="J358" s="40">
        <v>0.34348635658969218</v>
      </c>
    </row>
    <row r="359" spans="1:10" ht="11.25" customHeight="1" x14ac:dyDescent="0.2">
      <c r="A359" s="49">
        <v>44531</v>
      </c>
      <c r="B359" s="39">
        <v>0</v>
      </c>
      <c r="C359" s="39">
        <v>0</v>
      </c>
      <c r="D359" s="39">
        <v>223.16745</v>
      </c>
      <c r="E359" s="39">
        <v>325.54462871959947</v>
      </c>
      <c r="F359" s="39">
        <v>34.575849999999996</v>
      </c>
      <c r="G359" s="39">
        <v>20.729978332804446</v>
      </c>
      <c r="H359" s="40">
        <v>0.45874601658799019</v>
      </c>
      <c r="I359" s="40">
        <v>-0.40044920565063624</v>
      </c>
      <c r="J359" s="40">
        <v>0.34348635658969195</v>
      </c>
    </row>
    <row r="360" spans="1:10" ht="11.25" customHeight="1" x14ac:dyDescent="0.2">
      <c r="A360" s="49">
        <v>44562</v>
      </c>
      <c r="B360" s="39">
        <v>0</v>
      </c>
      <c r="C360" s="39">
        <v>0</v>
      </c>
      <c r="D360" s="39">
        <v>305.23548</v>
      </c>
      <c r="E360" s="39">
        <v>445.26104057132318</v>
      </c>
      <c r="F360" s="39">
        <v>47.290839999999996</v>
      </c>
      <c r="G360" s="39">
        <v>28.353260687448664</v>
      </c>
      <c r="H360" s="40">
        <v>0.45874601658799041</v>
      </c>
      <c r="I360" s="40">
        <v>-0.40044920565063624</v>
      </c>
      <c r="J360" s="40">
        <v>0.34348635658969195</v>
      </c>
    </row>
    <row r="361" spans="1:10" ht="11.25" customHeight="1" x14ac:dyDescent="0.2">
      <c r="A361" s="49">
        <v>44593</v>
      </c>
      <c r="B361" s="39">
        <v>0</v>
      </c>
      <c r="C361" s="39">
        <v>0</v>
      </c>
      <c r="D361" s="39">
        <v>352.74854999999997</v>
      </c>
      <c r="E361" s="39">
        <v>514.57054216968947</v>
      </c>
      <c r="F361" s="39">
        <v>54.652149999999999</v>
      </c>
      <c r="G361" s="39">
        <v>32.76673994540058</v>
      </c>
      <c r="H361" s="40">
        <v>0.45874601658799019</v>
      </c>
      <c r="I361" s="40">
        <v>-0.40044920565063624</v>
      </c>
      <c r="J361" s="40">
        <v>0.34348635658969195</v>
      </c>
    </row>
    <row r="362" spans="1:10" ht="11.25" customHeight="1" x14ac:dyDescent="0.2">
      <c r="A362" s="49">
        <v>44621</v>
      </c>
      <c r="B362" s="39">
        <v>0</v>
      </c>
      <c r="C362" s="39">
        <v>0</v>
      </c>
      <c r="D362" s="39">
        <v>384.42392999999998</v>
      </c>
      <c r="E362" s="39">
        <v>560.77687656860041</v>
      </c>
      <c r="F362" s="39">
        <v>59.559689999999996</v>
      </c>
      <c r="G362" s="39">
        <v>35.709059450701858</v>
      </c>
      <c r="H362" s="40">
        <v>0.45874601658799041</v>
      </c>
      <c r="I362" s="40">
        <v>-0.40044920565063624</v>
      </c>
      <c r="J362" s="40">
        <v>0.34348635658969195</v>
      </c>
    </row>
    <row r="363" spans="1:10" ht="11.25" customHeight="1" x14ac:dyDescent="0.2">
      <c r="A363" s="49">
        <v>44652</v>
      </c>
      <c r="B363" s="39">
        <v>0</v>
      </c>
      <c r="C363" s="39">
        <v>0</v>
      </c>
      <c r="D363" s="39">
        <v>332.59149000000002</v>
      </c>
      <c r="E363" s="39">
        <v>485.16651118856441</v>
      </c>
      <c r="F363" s="39">
        <v>51.529169999999993</v>
      </c>
      <c r="G363" s="39">
        <v>30.894354805663404</v>
      </c>
      <c r="H363" s="40">
        <v>0.45874601658799019</v>
      </c>
      <c r="I363" s="40">
        <v>-0.40044920565063613</v>
      </c>
      <c r="J363" s="40">
        <v>0.34348635658969173</v>
      </c>
    </row>
    <row r="364" spans="1:10" ht="11.25" customHeight="1" x14ac:dyDescent="0.2">
      <c r="A364" s="49">
        <v>44682</v>
      </c>
      <c r="B364" s="39">
        <v>0</v>
      </c>
      <c r="C364" s="39">
        <v>0</v>
      </c>
      <c r="D364" s="39">
        <v>309.55484999999999</v>
      </c>
      <c r="E364" s="39">
        <v>451.56190435299283</v>
      </c>
      <c r="F364" s="39">
        <v>47.960049999999995</v>
      </c>
      <c r="G364" s="39">
        <v>28.754486074535201</v>
      </c>
      <c r="H364" s="40">
        <v>0.45874601658799019</v>
      </c>
      <c r="I364" s="40">
        <v>-0.40044920565063624</v>
      </c>
      <c r="J364" s="40">
        <v>0.34348635658969173</v>
      </c>
    </row>
    <row r="365" spans="1:10" ht="11.25" customHeight="1" x14ac:dyDescent="0.2">
      <c r="A365" s="49">
        <v>44713</v>
      </c>
      <c r="B365" s="39">
        <v>0</v>
      </c>
      <c r="C365" s="39">
        <v>0</v>
      </c>
      <c r="D365" s="39">
        <v>262.04178000000002</v>
      </c>
      <c r="E365" s="39">
        <v>382.25240275462653</v>
      </c>
      <c r="F365" s="39">
        <v>40.598739999999999</v>
      </c>
      <c r="G365" s="39">
        <v>24.341006816583288</v>
      </c>
      <c r="H365" s="40">
        <v>0.45874601658799041</v>
      </c>
      <c r="I365" s="40">
        <v>-0.40044920565063624</v>
      </c>
      <c r="J365" s="40">
        <v>0.34348635658969173</v>
      </c>
    </row>
    <row r="366" spans="1:10" ht="11.25" customHeight="1" x14ac:dyDescent="0.2">
      <c r="A366" s="49">
        <v>44743</v>
      </c>
      <c r="B366" s="39">
        <v>0</v>
      </c>
      <c r="C366" s="39">
        <v>0</v>
      </c>
      <c r="D366" s="39">
        <v>82.068029999999993</v>
      </c>
      <c r="E366" s="39">
        <v>119.71641185172368</v>
      </c>
      <c r="F366" s="39">
        <v>12.71499</v>
      </c>
      <c r="G366" s="39">
        <v>7.6232823546442159</v>
      </c>
      <c r="H366" s="40">
        <v>0.45874601658799041</v>
      </c>
      <c r="I366" s="40">
        <v>-0.40044920565063635</v>
      </c>
      <c r="J366" s="40">
        <v>0.34348635658969195</v>
      </c>
    </row>
    <row r="367" spans="1:10" ht="11.25" customHeight="1" x14ac:dyDescent="0.2">
      <c r="A367" s="49">
        <v>44774</v>
      </c>
      <c r="B367" s="39">
        <v>0</v>
      </c>
      <c r="C367" s="39">
        <v>0</v>
      </c>
      <c r="D367" s="39">
        <v>131.02089000000001</v>
      </c>
      <c r="E367" s="39">
        <v>191.12620137731324</v>
      </c>
      <c r="F367" s="39">
        <v>20.299369999999996</v>
      </c>
      <c r="G367" s="39">
        <v>12.170503408291644</v>
      </c>
      <c r="H367" s="40">
        <v>0.45874601658799019</v>
      </c>
      <c r="I367" s="40">
        <v>-0.40044920565063613</v>
      </c>
      <c r="J367" s="40">
        <v>0.34348635658969151</v>
      </c>
    </row>
    <row r="368" spans="1:10" ht="11.25" customHeight="1" x14ac:dyDescent="0.2">
      <c r="A368" s="44" t="s">
        <v>38</v>
      </c>
      <c r="B368" s="39">
        <v>0</v>
      </c>
      <c r="C368" s="39">
        <v>0</v>
      </c>
      <c r="D368" s="39">
        <v>56056.541840000027</v>
      </c>
      <c r="E368" s="39">
        <v>79847.58163374514</v>
      </c>
      <c r="F368" s="39">
        <v>32743.106880000003</v>
      </c>
      <c r="G368" s="39">
        <v>19631.155739370126</v>
      </c>
      <c r="H368" s="40">
        <v>0.42441147835431803</v>
      </c>
      <c r="I368" s="40">
        <v>-0.40044920565063635</v>
      </c>
      <c r="J368" s="40">
        <v>0.12026048308803716</v>
      </c>
    </row>
    <row r="369" spans="1:10" ht="11.25" customHeight="1" x14ac:dyDescent="0.2">
      <c r="A369" s="45" t="s">
        <v>25</v>
      </c>
      <c r="B369" s="39">
        <v>0</v>
      </c>
      <c r="C369" s="39">
        <v>0</v>
      </c>
      <c r="D369" s="39">
        <v>56056.541840000027</v>
      </c>
      <c r="E369" s="39">
        <v>79847.58163374514</v>
      </c>
      <c r="F369" s="39">
        <v>32743.106880000003</v>
      </c>
      <c r="G369" s="39">
        <v>19631.155739370126</v>
      </c>
      <c r="H369" s="40">
        <v>0.42441147835431803</v>
      </c>
      <c r="I369" s="40">
        <v>-0.40044920565063635</v>
      </c>
      <c r="J369" s="40">
        <v>0.12026048308803716</v>
      </c>
    </row>
    <row r="370" spans="1:10" ht="11.25" customHeight="1" x14ac:dyDescent="0.2">
      <c r="A370" s="46" t="s">
        <v>25</v>
      </c>
      <c r="B370" s="39">
        <v>0</v>
      </c>
      <c r="C370" s="39">
        <v>0</v>
      </c>
      <c r="D370" s="39">
        <v>56056.541840000027</v>
      </c>
      <c r="E370" s="39">
        <v>79847.58163374514</v>
      </c>
      <c r="F370" s="39">
        <v>32743.106880000003</v>
      </c>
      <c r="G370" s="39">
        <v>19631.155739370126</v>
      </c>
      <c r="H370" s="40">
        <v>0.42441147835431803</v>
      </c>
      <c r="I370" s="40">
        <v>-0.40044920565063635</v>
      </c>
      <c r="J370" s="40">
        <v>0.12026048308803716</v>
      </c>
    </row>
    <row r="371" spans="1:10" ht="11.25" customHeight="1" x14ac:dyDescent="0.2">
      <c r="A371" s="47" t="s">
        <v>25</v>
      </c>
      <c r="B371" s="39">
        <v>0</v>
      </c>
      <c r="C371" s="39">
        <v>0</v>
      </c>
      <c r="D371" s="39">
        <v>56056.541840000027</v>
      </c>
      <c r="E371" s="39">
        <v>79847.58163374514</v>
      </c>
      <c r="F371" s="39">
        <v>32743.106880000003</v>
      </c>
      <c r="G371" s="39">
        <v>19631.155739370126</v>
      </c>
      <c r="H371" s="40">
        <v>0.42441147835431803</v>
      </c>
      <c r="I371" s="40">
        <v>-0.40044920565063635</v>
      </c>
      <c r="J371" s="40">
        <v>0.12026048308803716</v>
      </c>
    </row>
    <row r="372" spans="1:10" ht="11.25" customHeight="1" x14ac:dyDescent="0.2">
      <c r="A372" s="48" t="s">
        <v>35</v>
      </c>
      <c r="B372" s="39">
        <v>0</v>
      </c>
      <c r="C372" s="39">
        <v>0</v>
      </c>
      <c r="D372" s="39">
        <v>51470.280560000007</v>
      </c>
      <c r="E372" s="39">
        <v>73179.37001539761</v>
      </c>
      <c r="F372" s="39">
        <v>31757.137479999998</v>
      </c>
      <c r="G372" s="39">
        <v>19040.017002395954</v>
      </c>
      <c r="H372" s="40">
        <v>0.42177911639884735</v>
      </c>
      <c r="I372" s="40">
        <v>-0.40044920565063635</v>
      </c>
      <c r="J372" s="40">
        <v>0.10804094599536773</v>
      </c>
    </row>
    <row r="373" spans="1:10" ht="11.25" customHeight="1" x14ac:dyDescent="0.2">
      <c r="A373" s="49">
        <v>44440</v>
      </c>
      <c r="B373" s="39">
        <v>0</v>
      </c>
      <c r="C373" s="39">
        <v>0</v>
      </c>
      <c r="D373" s="39">
        <v>5509.1465200000002</v>
      </c>
      <c r="E373" s="39">
        <v>7832.7894713173882</v>
      </c>
      <c r="F373" s="39">
        <v>3399.1406599999996</v>
      </c>
      <c r="G373" s="39">
        <v>2037.9574828082204</v>
      </c>
      <c r="H373" s="40">
        <v>0.42177911639884802</v>
      </c>
      <c r="I373" s="40">
        <v>-0.40044920565063624</v>
      </c>
      <c r="J373" s="40">
        <v>0.10804094599536795</v>
      </c>
    </row>
    <row r="374" spans="1:10" ht="11.25" customHeight="1" x14ac:dyDescent="0.2">
      <c r="A374" s="49">
        <v>44470</v>
      </c>
      <c r="B374" s="39">
        <v>0</v>
      </c>
      <c r="C374" s="39">
        <v>0</v>
      </c>
      <c r="D374" s="39">
        <v>4190.6101399999998</v>
      </c>
      <c r="E374" s="39">
        <v>5958.1219820212518</v>
      </c>
      <c r="F374" s="39">
        <v>2585.6043699999996</v>
      </c>
      <c r="G374" s="39">
        <v>1550.2011539066859</v>
      </c>
      <c r="H374" s="40">
        <v>0.4217791163988478</v>
      </c>
      <c r="I374" s="40">
        <v>-0.40044920565063624</v>
      </c>
      <c r="J374" s="40">
        <v>0.10804094599536795</v>
      </c>
    </row>
    <row r="375" spans="1:10" ht="11.25" customHeight="1" x14ac:dyDescent="0.2">
      <c r="A375" s="49">
        <v>44501</v>
      </c>
      <c r="B375" s="39">
        <v>0</v>
      </c>
      <c r="C375" s="39">
        <v>0</v>
      </c>
      <c r="D375" s="39">
        <v>4490.3268000000007</v>
      </c>
      <c r="E375" s="39">
        <v>6384.2528700460671</v>
      </c>
      <c r="F375" s="39">
        <v>2770.5293999999999</v>
      </c>
      <c r="G375" s="39">
        <v>1661.0731025382663</v>
      </c>
      <c r="H375" s="40">
        <v>0.4217791163988478</v>
      </c>
      <c r="I375" s="40">
        <v>-0.40044920565063613</v>
      </c>
      <c r="J375" s="40">
        <v>0.10804094599536818</v>
      </c>
    </row>
    <row r="376" spans="1:10" ht="11.25" customHeight="1" x14ac:dyDescent="0.2">
      <c r="A376" s="49">
        <v>44531</v>
      </c>
      <c r="B376" s="39">
        <v>0</v>
      </c>
      <c r="C376" s="39">
        <v>0</v>
      </c>
      <c r="D376" s="39">
        <v>3762.5467800000001</v>
      </c>
      <c r="E376" s="39">
        <v>5349.5104362777311</v>
      </c>
      <c r="F376" s="39">
        <v>2321.4894899999999</v>
      </c>
      <c r="G376" s="39">
        <v>1391.8508678031992</v>
      </c>
      <c r="H376" s="40">
        <v>0.42177911639884802</v>
      </c>
      <c r="I376" s="40">
        <v>-0.40044920565063624</v>
      </c>
      <c r="J376" s="40">
        <v>0.10804094599536795</v>
      </c>
    </row>
    <row r="377" spans="1:10" ht="11.25" customHeight="1" x14ac:dyDescent="0.2">
      <c r="A377" s="49">
        <v>44562</v>
      </c>
      <c r="B377" s="39">
        <v>0</v>
      </c>
      <c r="C377" s="39">
        <v>0</v>
      </c>
      <c r="D377" s="39">
        <v>3767.6083400000002</v>
      </c>
      <c r="E377" s="39">
        <v>5356.706856582131</v>
      </c>
      <c r="F377" s="39">
        <v>2324.61247</v>
      </c>
      <c r="G377" s="39">
        <v>1393.7232529429366</v>
      </c>
      <c r="H377" s="40">
        <v>0.42177911639884802</v>
      </c>
      <c r="I377" s="40">
        <v>-0.40044920565063624</v>
      </c>
      <c r="J377" s="40">
        <v>0.10804094599536795</v>
      </c>
    </row>
    <row r="378" spans="1:10" ht="11.25" customHeight="1" x14ac:dyDescent="0.2">
      <c r="A378" s="49">
        <v>44593</v>
      </c>
      <c r="B378" s="39">
        <v>0</v>
      </c>
      <c r="C378" s="39">
        <v>0</v>
      </c>
      <c r="D378" s="39">
        <v>4542.3885600000003</v>
      </c>
      <c r="E378" s="39">
        <v>6458.2731931770359</v>
      </c>
      <c r="F378" s="39">
        <v>2802.65148</v>
      </c>
      <c r="G378" s="39">
        <v>1680.3319211184198</v>
      </c>
      <c r="H378" s="40">
        <v>0.42177911639884802</v>
      </c>
      <c r="I378" s="40">
        <v>-0.40044920565063624</v>
      </c>
      <c r="J378" s="40">
        <v>0.10804094599536795</v>
      </c>
    </row>
    <row r="379" spans="1:10" ht="11.25" customHeight="1" x14ac:dyDescent="0.2">
      <c r="A379" s="49">
        <v>44621</v>
      </c>
      <c r="B379" s="39">
        <v>0</v>
      </c>
      <c r="C379" s="39">
        <v>0</v>
      </c>
      <c r="D379" s="39">
        <v>4551.42706</v>
      </c>
      <c r="E379" s="39">
        <v>6471.1239437206059</v>
      </c>
      <c r="F379" s="39">
        <v>2808.2282299999997</v>
      </c>
      <c r="G379" s="39">
        <v>1683.6754660108077</v>
      </c>
      <c r="H379" s="40">
        <v>0.4217791163988478</v>
      </c>
      <c r="I379" s="40">
        <v>-0.40044920565063624</v>
      </c>
      <c r="J379" s="40">
        <v>0.10804094599536795</v>
      </c>
    </row>
    <row r="380" spans="1:10" ht="11.25" customHeight="1" x14ac:dyDescent="0.2">
      <c r="A380" s="49">
        <v>44652</v>
      </c>
      <c r="B380" s="39">
        <v>0</v>
      </c>
      <c r="C380" s="39">
        <v>0</v>
      </c>
      <c r="D380" s="39">
        <v>4235.4411000000009</v>
      </c>
      <c r="E380" s="39">
        <v>6021.8617047173648</v>
      </c>
      <c r="F380" s="39">
        <v>2613.26505</v>
      </c>
      <c r="G380" s="39">
        <v>1566.7851365729298</v>
      </c>
      <c r="H380" s="40">
        <v>0.42177911639884758</v>
      </c>
      <c r="I380" s="40">
        <v>-0.40044920565063624</v>
      </c>
      <c r="J380" s="40">
        <v>0.10804094599536773</v>
      </c>
    </row>
    <row r="381" spans="1:10" ht="11.25" customHeight="1" x14ac:dyDescent="0.2">
      <c r="A381" s="49">
        <v>44682</v>
      </c>
      <c r="B381" s="39">
        <v>0</v>
      </c>
      <c r="C381" s="39">
        <v>0</v>
      </c>
      <c r="D381" s="39">
        <v>4878.9823000000006</v>
      </c>
      <c r="E381" s="39">
        <v>6936.8351434196193</v>
      </c>
      <c r="F381" s="39">
        <v>3010.3296499999997</v>
      </c>
      <c r="G381" s="39">
        <v>1804.8455329109422</v>
      </c>
      <c r="H381" s="40">
        <v>0.4217791163988478</v>
      </c>
      <c r="I381" s="40">
        <v>-0.40044920565063613</v>
      </c>
      <c r="J381" s="40">
        <v>0.10804094599536795</v>
      </c>
    </row>
    <row r="382" spans="1:10" ht="11.25" customHeight="1" x14ac:dyDescent="0.2">
      <c r="A382" s="49">
        <v>44713</v>
      </c>
      <c r="B382" s="39">
        <v>0</v>
      </c>
      <c r="C382" s="39">
        <v>0</v>
      </c>
      <c r="D382" s="39">
        <v>3523.9303800000002</v>
      </c>
      <c r="E382" s="39">
        <v>5010.2506219274574</v>
      </c>
      <c r="F382" s="39">
        <v>2174.2632899999999</v>
      </c>
      <c r="G382" s="39">
        <v>1303.5812826441611</v>
      </c>
      <c r="H382" s="40">
        <v>0.42177911639884802</v>
      </c>
      <c r="I382" s="40">
        <v>-0.40044920565063624</v>
      </c>
      <c r="J382" s="40">
        <v>0.10804094599536795</v>
      </c>
    </row>
    <row r="383" spans="1:10" ht="11.25" customHeight="1" x14ac:dyDescent="0.2">
      <c r="A383" s="49">
        <v>44743</v>
      </c>
      <c r="B383" s="39">
        <v>0</v>
      </c>
      <c r="C383" s="39">
        <v>0</v>
      </c>
      <c r="D383" s="39">
        <v>3507.29954</v>
      </c>
      <c r="E383" s="39">
        <v>4986.6052409272861</v>
      </c>
      <c r="F383" s="39">
        <v>2164.0020699999995</v>
      </c>
      <c r="G383" s="39">
        <v>1297.4291600421675</v>
      </c>
      <c r="H383" s="40">
        <v>0.42177911639884802</v>
      </c>
      <c r="I383" s="40">
        <v>-0.40044920565063613</v>
      </c>
      <c r="J383" s="40">
        <v>0.10804094599536818</v>
      </c>
    </row>
    <row r="384" spans="1:10" ht="11.25" customHeight="1" x14ac:dyDescent="0.2">
      <c r="A384" s="49">
        <v>44774</v>
      </c>
      <c r="B384" s="39">
        <v>0</v>
      </c>
      <c r="C384" s="39">
        <v>0</v>
      </c>
      <c r="D384" s="39">
        <v>4510.5730400000002</v>
      </c>
      <c r="E384" s="39">
        <v>6413.0385512636658</v>
      </c>
      <c r="F384" s="39">
        <v>2783.0213200000003</v>
      </c>
      <c r="G384" s="39">
        <v>1668.562643097215</v>
      </c>
      <c r="H384" s="40">
        <v>0.42177911639884802</v>
      </c>
      <c r="I384" s="40">
        <v>-0.40044920565063624</v>
      </c>
      <c r="J384" s="40">
        <v>0.10804094599536795</v>
      </c>
    </row>
    <row r="385" spans="1:10" ht="11.25" customHeight="1" x14ac:dyDescent="0.2">
      <c r="A385" s="48" t="s">
        <v>36</v>
      </c>
      <c r="B385" s="39">
        <v>0</v>
      </c>
      <c r="C385" s="39">
        <v>0</v>
      </c>
      <c r="D385" s="39">
        <v>2969.3771099999999</v>
      </c>
      <c r="E385" s="39">
        <v>4309.5882760758541</v>
      </c>
      <c r="F385" s="39">
        <v>735.46179000000006</v>
      </c>
      <c r="G385" s="39">
        <v>440.94670040810496</v>
      </c>
      <c r="H385" s="40">
        <v>0.45134421005752756</v>
      </c>
      <c r="I385" s="40">
        <v>-0.40044920565063624</v>
      </c>
      <c r="J385" s="40">
        <v>0.28225142974069928</v>
      </c>
    </row>
    <row r="386" spans="1:10" ht="11.25" customHeight="1" x14ac:dyDescent="0.2">
      <c r="A386" s="49">
        <v>44440</v>
      </c>
      <c r="B386" s="39">
        <v>0</v>
      </c>
      <c r="C386" s="39">
        <v>0</v>
      </c>
      <c r="D386" s="39">
        <v>414.28980000000001</v>
      </c>
      <c r="E386" s="39">
        <v>601.27710251589122</v>
      </c>
      <c r="F386" s="39">
        <v>102.6122</v>
      </c>
      <c r="G386" s="39">
        <v>61.521226019935781</v>
      </c>
      <c r="H386" s="40">
        <v>0.45134421005752778</v>
      </c>
      <c r="I386" s="40">
        <v>-0.40044920565063624</v>
      </c>
      <c r="J386" s="40">
        <v>0.28225142974069928</v>
      </c>
    </row>
    <row r="387" spans="1:10" ht="11.25" customHeight="1" x14ac:dyDescent="0.2">
      <c r="A387" s="49">
        <v>44470</v>
      </c>
      <c r="B387" s="39">
        <v>0</v>
      </c>
      <c r="C387" s="39">
        <v>0</v>
      </c>
      <c r="D387" s="39">
        <v>430.50113999999996</v>
      </c>
      <c r="E387" s="39">
        <v>624.80533696216514</v>
      </c>
      <c r="F387" s="39">
        <v>106.62746</v>
      </c>
      <c r="G387" s="39">
        <v>63.928578342455005</v>
      </c>
      <c r="H387" s="40">
        <v>0.45134421005752778</v>
      </c>
      <c r="I387" s="40">
        <v>-0.40044920565063624</v>
      </c>
      <c r="J387" s="40">
        <v>0.28225142974069928</v>
      </c>
    </row>
    <row r="388" spans="1:10" ht="11.25" customHeight="1" x14ac:dyDescent="0.2">
      <c r="A388" s="49">
        <v>44501</v>
      </c>
      <c r="B388" s="39">
        <v>0</v>
      </c>
      <c r="C388" s="39">
        <v>0</v>
      </c>
      <c r="D388" s="39">
        <v>295.40664000000004</v>
      </c>
      <c r="E388" s="39">
        <v>428.73671657654847</v>
      </c>
      <c r="F388" s="39">
        <v>73.166960000000003</v>
      </c>
      <c r="G388" s="39">
        <v>43.867308988128123</v>
      </c>
      <c r="H388" s="40">
        <v>0.45134421005752756</v>
      </c>
      <c r="I388" s="40">
        <v>-0.40044920565063624</v>
      </c>
      <c r="J388" s="40">
        <v>0.28225142974069906</v>
      </c>
    </row>
    <row r="389" spans="1:10" ht="11.25" customHeight="1" x14ac:dyDescent="0.2">
      <c r="A389" s="49">
        <v>44531</v>
      </c>
      <c r="B389" s="39">
        <v>0</v>
      </c>
      <c r="C389" s="39">
        <v>0</v>
      </c>
      <c r="D389" s="39">
        <v>269.28836999999999</v>
      </c>
      <c r="E389" s="39">
        <v>390.8301166353292</v>
      </c>
      <c r="F389" s="39">
        <v>66.697929999999999</v>
      </c>
      <c r="G389" s="39">
        <v>39.988796912958257</v>
      </c>
      <c r="H389" s="40">
        <v>0.45134421005752756</v>
      </c>
      <c r="I389" s="40">
        <v>-0.40044920565063624</v>
      </c>
      <c r="J389" s="40">
        <v>0.28225142974069928</v>
      </c>
    </row>
    <row r="390" spans="1:10" ht="11.25" customHeight="1" x14ac:dyDescent="0.2">
      <c r="A390" s="49">
        <v>44562</v>
      </c>
      <c r="B390" s="39">
        <v>0</v>
      </c>
      <c r="C390" s="39">
        <v>0</v>
      </c>
      <c r="D390" s="39">
        <v>258.48080999999996</v>
      </c>
      <c r="E390" s="39">
        <v>375.1446270044799</v>
      </c>
      <c r="F390" s="39">
        <v>64.021089999999987</v>
      </c>
      <c r="G390" s="39">
        <v>38.383895364612101</v>
      </c>
      <c r="H390" s="40">
        <v>0.45134421005752778</v>
      </c>
      <c r="I390" s="40">
        <v>-0.40044920565063624</v>
      </c>
      <c r="J390" s="40">
        <v>0.28225142974069928</v>
      </c>
    </row>
    <row r="391" spans="1:10" ht="11.25" customHeight="1" x14ac:dyDescent="0.2">
      <c r="A391" s="49">
        <v>44593</v>
      </c>
      <c r="B391" s="39">
        <v>0</v>
      </c>
      <c r="C391" s="39">
        <v>0</v>
      </c>
      <c r="D391" s="39">
        <v>320.62428</v>
      </c>
      <c r="E391" s="39">
        <v>465.33619238186355</v>
      </c>
      <c r="F391" s="39">
        <v>79.41292</v>
      </c>
      <c r="G391" s="39">
        <v>47.612079267602468</v>
      </c>
      <c r="H391" s="40">
        <v>0.45134421005752756</v>
      </c>
      <c r="I391" s="40">
        <v>-0.40044920565063635</v>
      </c>
      <c r="J391" s="40">
        <v>0.28225142974069928</v>
      </c>
    </row>
    <row r="392" spans="1:10" ht="11.25" customHeight="1" x14ac:dyDescent="0.2">
      <c r="A392" s="49">
        <v>44621</v>
      </c>
      <c r="B392" s="39">
        <v>0</v>
      </c>
      <c r="C392" s="39">
        <v>0</v>
      </c>
      <c r="D392" s="39">
        <v>310.71734999999995</v>
      </c>
      <c r="E392" s="39">
        <v>450.95782688691833</v>
      </c>
      <c r="F392" s="39">
        <v>76.959149999999994</v>
      </c>
      <c r="G392" s="39">
        <v>46.140919514951833</v>
      </c>
      <c r="H392" s="40">
        <v>0.45134421005752778</v>
      </c>
      <c r="I392" s="40">
        <v>-0.40044920565063624</v>
      </c>
      <c r="J392" s="40">
        <v>0.28225142974069928</v>
      </c>
    </row>
    <row r="393" spans="1:10" ht="11.25" customHeight="1" x14ac:dyDescent="0.2">
      <c r="A393" s="49">
        <v>44652</v>
      </c>
      <c r="B393" s="39">
        <v>0</v>
      </c>
      <c r="C393" s="39">
        <v>0</v>
      </c>
      <c r="D393" s="39">
        <v>146.80269000000001</v>
      </c>
      <c r="E393" s="39">
        <v>213.06123415237013</v>
      </c>
      <c r="F393" s="39">
        <v>36.360410000000002</v>
      </c>
      <c r="G393" s="39">
        <v>21.799912698368548</v>
      </c>
      <c r="H393" s="40">
        <v>0.45134421005752756</v>
      </c>
      <c r="I393" s="40">
        <v>-0.40044920565063635</v>
      </c>
      <c r="J393" s="40">
        <v>0.28225142974069928</v>
      </c>
    </row>
    <row r="394" spans="1:10" ht="11.25" customHeight="1" x14ac:dyDescent="0.2">
      <c r="A394" s="49">
        <v>44682</v>
      </c>
      <c r="B394" s="39">
        <v>0</v>
      </c>
      <c r="C394" s="39">
        <v>0</v>
      </c>
      <c r="D394" s="39">
        <v>176.52348000000001</v>
      </c>
      <c r="E394" s="39">
        <v>256.19633063720579</v>
      </c>
      <c r="F394" s="39">
        <v>43.721719999999998</v>
      </c>
      <c r="G394" s="39">
        <v>26.213391956320464</v>
      </c>
      <c r="H394" s="40">
        <v>0.45134421005752756</v>
      </c>
      <c r="I394" s="40">
        <v>-0.40044920565063624</v>
      </c>
      <c r="J394" s="40">
        <v>0.28225142974069906</v>
      </c>
    </row>
    <row r="395" spans="1:10" ht="11.25" customHeight="1" x14ac:dyDescent="0.2">
      <c r="A395" s="49">
        <v>44713</v>
      </c>
      <c r="B395" s="39">
        <v>0</v>
      </c>
      <c r="C395" s="39">
        <v>0</v>
      </c>
      <c r="D395" s="39">
        <v>124.28694000000002</v>
      </c>
      <c r="E395" s="39">
        <v>180.38313075476736</v>
      </c>
      <c r="F395" s="39">
        <v>30.783660000000001</v>
      </c>
      <c r="G395" s="39">
        <v>18.456367805980737</v>
      </c>
      <c r="H395" s="40">
        <v>0.45134421005752778</v>
      </c>
      <c r="I395" s="40">
        <v>-0.40044920565063624</v>
      </c>
      <c r="J395" s="40">
        <v>0.28225142974069928</v>
      </c>
    </row>
    <row r="396" spans="1:10" ht="11.25" customHeight="1" x14ac:dyDescent="0.2">
      <c r="A396" s="49">
        <v>44743</v>
      </c>
      <c r="B396" s="39">
        <v>0</v>
      </c>
      <c r="C396" s="39">
        <v>0</v>
      </c>
      <c r="D396" s="39">
        <v>99.069299999999998</v>
      </c>
      <c r="E396" s="39">
        <v>143.78365494945223</v>
      </c>
      <c r="F396" s="39">
        <v>24.537700000000001</v>
      </c>
      <c r="G396" s="39">
        <v>14.711597526506383</v>
      </c>
      <c r="H396" s="40">
        <v>0.45134421005752778</v>
      </c>
      <c r="I396" s="40">
        <v>-0.40044920565063624</v>
      </c>
      <c r="J396" s="40">
        <v>0.28225142974069928</v>
      </c>
    </row>
    <row r="397" spans="1:10" ht="11.25" customHeight="1" x14ac:dyDescent="0.2">
      <c r="A397" s="49">
        <v>44774</v>
      </c>
      <c r="B397" s="39">
        <v>0</v>
      </c>
      <c r="C397" s="39">
        <v>0</v>
      </c>
      <c r="D397" s="39">
        <v>123.38631000000001</v>
      </c>
      <c r="E397" s="39">
        <v>179.07600661886326</v>
      </c>
      <c r="F397" s="39">
        <v>30.560590000000001</v>
      </c>
      <c r="G397" s="39">
        <v>18.322626010285223</v>
      </c>
      <c r="H397" s="40">
        <v>0.45134421005752778</v>
      </c>
      <c r="I397" s="40">
        <v>-0.40044920565063624</v>
      </c>
      <c r="J397" s="40">
        <v>0.2822514297406995</v>
      </c>
    </row>
    <row r="398" spans="1:10" ht="11.25" customHeight="1" x14ac:dyDescent="0.2">
      <c r="A398" s="48" t="s">
        <v>34</v>
      </c>
      <c r="B398" s="39">
        <v>0</v>
      </c>
      <c r="C398" s="39">
        <v>0</v>
      </c>
      <c r="D398" s="39">
        <v>1616.8841699999996</v>
      </c>
      <c r="E398" s="39">
        <v>2358.6233422716791</v>
      </c>
      <c r="F398" s="39">
        <v>250.50761</v>
      </c>
      <c r="G398" s="39">
        <v>150.19203656606061</v>
      </c>
      <c r="H398" s="40">
        <v>0.45874601658799086</v>
      </c>
      <c r="I398" s="40">
        <v>-0.40044920565063624</v>
      </c>
      <c r="J398" s="40">
        <v>0.3434863565896924</v>
      </c>
    </row>
    <row r="399" spans="1:10" ht="11.25" customHeight="1" x14ac:dyDescent="0.2">
      <c r="A399" s="49">
        <v>44440</v>
      </c>
      <c r="B399" s="39">
        <v>0</v>
      </c>
      <c r="C399" s="39">
        <v>0</v>
      </c>
      <c r="D399" s="39">
        <v>129.58109999999999</v>
      </c>
      <c r="E399" s="39">
        <v>189.02591345009003</v>
      </c>
      <c r="F399" s="39">
        <v>20.0763</v>
      </c>
      <c r="G399" s="39">
        <v>12.036761612596131</v>
      </c>
      <c r="H399" s="40">
        <v>0.45874601658799041</v>
      </c>
      <c r="I399" s="40">
        <v>-0.40044920565063624</v>
      </c>
      <c r="J399" s="40">
        <v>0.34348635658969195</v>
      </c>
    </row>
    <row r="400" spans="1:10" ht="11.25" customHeight="1" x14ac:dyDescent="0.2">
      <c r="A400" s="49">
        <v>44470</v>
      </c>
      <c r="B400" s="39">
        <v>0</v>
      </c>
      <c r="C400" s="39">
        <v>0</v>
      </c>
      <c r="D400" s="39">
        <v>210.20933999999997</v>
      </c>
      <c r="E400" s="39">
        <v>306.64203737459047</v>
      </c>
      <c r="F400" s="39">
        <v>32.568219999999997</v>
      </c>
      <c r="G400" s="39">
        <v>19.526302171544835</v>
      </c>
      <c r="H400" s="40">
        <v>0.45874601658799041</v>
      </c>
      <c r="I400" s="40">
        <v>-0.40044920565063624</v>
      </c>
      <c r="J400" s="40">
        <v>0.34348635658969195</v>
      </c>
    </row>
    <row r="401" spans="1:10" ht="11.25" customHeight="1" x14ac:dyDescent="0.2">
      <c r="A401" s="49">
        <v>44501</v>
      </c>
      <c r="B401" s="39">
        <v>0</v>
      </c>
      <c r="C401" s="39">
        <v>0</v>
      </c>
      <c r="D401" s="39">
        <v>156.93710999999999</v>
      </c>
      <c r="E401" s="39">
        <v>228.93138406733127</v>
      </c>
      <c r="F401" s="39">
        <v>24.314629999999998</v>
      </c>
      <c r="G401" s="39">
        <v>14.577855730810869</v>
      </c>
      <c r="H401" s="40">
        <v>0.45874601658799041</v>
      </c>
      <c r="I401" s="40">
        <v>-0.40044920565063624</v>
      </c>
      <c r="J401" s="40">
        <v>0.34348635658969218</v>
      </c>
    </row>
    <row r="402" spans="1:10" ht="11.25" customHeight="1" x14ac:dyDescent="0.2">
      <c r="A402" s="49">
        <v>44531</v>
      </c>
      <c r="B402" s="39">
        <v>0</v>
      </c>
      <c r="C402" s="39">
        <v>0</v>
      </c>
      <c r="D402" s="39">
        <v>259.16219999999998</v>
      </c>
      <c r="E402" s="39">
        <v>378.05182690018006</v>
      </c>
      <c r="F402" s="39">
        <v>40.1526</v>
      </c>
      <c r="G402" s="39">
        <v>24.073523225192261</v>
      </c>
      <c r="H402" s="40">
        <v>0.45874601658799041</v>
      </c>
      <c r="I402" s="40">
        <v>-0.40044920565063624</v>
      </c>
      <c r="J402" s="40">
        <v>0.34348635658969195</v>
      </c>
    </row>
    <row r="403" spans="1:10" ht="11.25" customHeight="1" x14ac:dyDescent="0.2">
      <c r="A403" s="49">
        <v>44562</v>
      </c>
      <c r="B403" s="39">
        <v>0</v>
      </c>
      <c r="C403" s="39">
        <v>0</v>
      </c>
      <c r="D403" s="39">
        <v>162.69627</v>
      </c>
      <c r="E403" s="39">
        <v>237.33253577622415</v>
      </c>
      <c r="F403" s="39">
        <v>25.206910000000001</v>
      </c>
      <c r="G403" s="39">
        <v>15.11282291359292</v>
      </c>
      <c r="H403" s="40">
        <v>0.45874601658799041</v>
      </c>
      <c r="I403" s="40">
        <v>-0.40044920565063624</v>
      </c>
      <c r="J403" s="40">
        <v>0.34348635658969195</v>
      </c>
    </row>
    <row r="404" spans="1:10" ht="11.25" customHeight="1" x14ac:dyDescent="0.2">
      <c r="A404" s="49">
        <v>44593</v>
      </c>
      <c r="B404" s="39">
        <v>0</v>
      </c>
      <c r="C404" s="39">
        <v>0</v>
      </c>
      <c r="D404" s="39">
        <v>122.38215000000001</v>
      </c>
      <c r="E404" s="39">
        <v>178.52447381397394</v>
      </c>
      <c r="F404" s="39">
        <v>18.96095</v>
      </c>
      <c r="G404" s="39">
        <v>11.368052634118568</v>
      </c>
      <c r="H404" s="40">
        <v>0.45874601658799041</v>
      </c>
      <c r="I404" s="40">
        <v>-0.40044920565063635</v>
      </c>
      <c r="J404" s="40">
        <v>0.34348635658969173</v>
      </c>
    </row>
    <row r="405" spans="1:10" ht="11.25" customHeight="1" x14ac:dyDescent="0.2">
      <c r="A405" s="49">
        <v>44621</v>
      </c>
      <c r="B405" s="39">
        <v>0</v>
      </c>
      <c r="C405" s="39">
        <v>0</v>
      </c>
      <c r="D405" s="39">
        <v>139.65962999999999</v>
      </c>
      <c r="E405" s="39">
        <v>203.72792894065259</v>
      </c>
      <c r="F405" s="39">
        <v>21.637789999999999</v>
      </c>
      <c r="G405" s="39">
        <v>12.972954182464719</v>
      </c>
      <c r="H405" s="40">
        <v>0.45874601658799041</v>
      </c>
      <c r="I405" s="40">
        <v>-0.40044920565063624</v>
      </c>
      <c r="J405" s="40">
        <v>0.34348635658969195</v>
      </c>
    </row>
    <row r="406" spans="1:10" ht="11.25" customHeight="1" x14ac:dyDescent="0.2">
      <c r="A406" s="49">
        <v>44652</v>
      </c>
      <c r="B406" s="39">
        <v>0</v>
      </c>
      <c r="C406" s="39">
        <v>0</v>
      </c>
      <c r="D406" s="39">
        <v>107.98424999999999</v>
      </c>
      <c r="E406" s="39">
        <v>157.52159454174168</v>
      </c>
      <c r="F406" s="39">
        <v>16.730249999999998</v>
      </c>
      <c r="G406" s="39">
        <v>10.030634677163443</v>
      </c>
      <c r="H406" s="40">
        <v>0.45874601658799041</v>
      </c>
      <c r="I406" s="40">
        <v>-0.40044920565063624</v>
      </c>
      <c r="J406" s="40">
        <v>0.34348635658969195</v>
      </c>
    </row>
    <row r="407" spans="1:10" ht="11.25" customHeight="1" x14ac:dyDescent="0.2">
      <c r="A407" s="49">
        <v>44682</v>
      </c>
      <c r="B407" s="39">
        <v>0</v>
      </c>
      <c r="C407" s="39">
        <v>0</v>
      </c>
      <c r="D407" s="39">
        <v>92.146559999999994</v>
      </c>
      <c r="E407" s="39">
        <v>134.41842734228624</v>
      </c>
      <c r="F407" s="39">
        <v>14.276479999999999</v>
      </c>
      <c r="G407" s="39">
        <v>8.5594749245128039</v>
      </c>
      <c r="H407" s="40">
        <v>0.45874601658799041</v>
      </c>
      <c r="I407" s="40">
        <v>-0.40044920565063624</v>
      </c>
      <c r="J407" s="40">
        <v>0.34348635658969218</v>
      </c>
    </row>
    <row r="408" spans="1:10" ht="11.25" customHeight="1" x14ac:dyDescent="0.2">
      <c r="A408" s="49">
        <v>44713</v>
      </c>
      <c r="B408" s="39">
        <v>0</v>
      </c>
      <c r="C408" s="39">
        <v>0</v>
      </c>
      <c r="D408" s="39">
        <v>69.109920000000002</v>
      </c>
      <c r="E408" s="39">
        <v>100.81382050671469</v>
      </c>
      <c r="F408" s="39">
        <v>10.70736</v>
      </c>
      <c r="G408" s="39">
        <v>6.4196061933846034</v>
      </c>
      <c r="H408" s="40">
        <v>0.45874601658799041</v>
      </c>
      <c r="I408" s="40">
        <v>-0.40044920565063624</v>
      </c>
      <c r="J408" s="40">
        <v>0.34348635658969218</v>
      </c>
    </row>
    <row r="409" spans="1:10" ht="11.25" customHeight="1" x14ac:dyDescent="0.2">
      <c r="A409" s="49">
        <v>44743</v>
      </c>
      <c r="B409" s="39">
        <v>0</v>
      </c>
      <c r="C409" s="39">
        <v>0</v>
      </c>
      <c r="D409" s="39">
        <v>71.989500000000007</v>
      </c>
      <c r="E409" s="39">
        <v>105.01439636116113</v>
      </c>
      <c r="F409" s="39">
        <v>11.153500000000001</v>
      </c>
      <c r="G409" s="39">
        <v>6.6870897847756288</v>
      </c>
      <c r="H409" s="40">
        <v>0.45874601658799019</v>
      </c>
      <c r="I409" s="40">
        <v>-0.40044920565063624</v>
      </c>
      <c r="J409" s="40">
        <v>0.34348635658969195</v>
      </c>
    </row>
    <row r="410" spans="1:10" ht="11.25" customHeight="1" x14ac:dyDescent="0.2">
      <c r="A410" s="49">
        <v>44774</v>
      </c>
      <c r="B410" s="39">
        <v>0</v>
      </c>
      <c r="C410" s="39">
        <v>0</v>
      </c>
      <c r="D410" s="39">
        <v>95.026139999999998</v>
      </c>
      <c r="E410" s="39">
        <v>138.61900319673271</v>
      </c>
      <c r="F410" s="39">
        <v>14.722620000000001</v>
      </c>
      <c r="G410" s="39">
        <v>8.8269585159038293</v>
      </c>
      <c r="H410" s="40">
        <v>0.45874601658799041</v>
      </c>
      <c r="I410" s="40">
        <v>-0.40044920565063635</v>
      </c>
      <c r="J410" s="40">
        <v>0.34348635658969218</v>
      </c>
    </row>
    <row r="411" spans="1:10" ht="11.25" customHeight="1" x14ac:dyDescent="0.2">
      <c r="A411" s="43" t="s">
        <v>23</v>
      </c>
      <c r="B411" s="39">
        <v>0</v>
      </c>
      <c r="C411" s="39">
        <v>0</v>
      </c>
      <c r="D411" s="39">
        <v>6670822.3354639988</v>
      </c>
      <c r="E411" s="39">
        <v>9567043.6895112991</v>
      </c>
      <c r="F411" s="39">
        <v>3083104.3994031991</v>
      </c>
      <c r="G411" s="39">
        <v>1848477.6917242068</v>
      </c>
      <c r="H411" s="40">
        <v>0.43416256773174244</v>
      </c>
      <c r="I411" s="40">
        <v>-0.4004492056506358</v>
      </c>
      <c r="J411" s="40">
        <v>0.17035135607781871</v>
      </c>
    </row>
    <row r="412" spans="1:10" ht="11.25" customHeight="1" x14ac:dyDescent="0.2">
      <c r="A412" s="44" t="s">
        <v>41</v>
      </c>
      <c r="B412" s="39">
        <v>0</v>
      </c>
      <c r="C412" s="39">
        <v>0</v>
      </c>
      <c r="D412" s="39">
        <v>5954361.8291499997</v>
      </c>
      <c r="E412" s="39">
        <v>8539522.8500976283</v>
      </c>
      <c r="F412" s="39">
        <v>2751972.4297700003</v>
      </c>
      <c r="G412" s="39">
        <v>1649947.2562961522</v>
      </c>
      <c r="H412" s="40">
        <v>0.43416256773174133</v>
      </c>
      <c r="I412" s="40">
        <v>-0.40044920565063635</v>
      </c>
      <c r="J412" s="40">
        <v>0.1703513560778176</v>
      </c>
    </row>
    <row r="413" spans="1:10" ht="11.25" customHeight="1" x14ac:dyDescent="0.2">
      <c r="A413" s="45" t="s">
        <v>25</v>
      </c>
      <c r="B413" s="39">
        <v>0</v>
      </c>
      <c r="C413" s="39">
        <v>0</v>
      </c>
      <c r="D413" s="39">
        <v>5954361.8291499997</v>
      </c>
      <c r="E413" s="39">
        <v>8539522.8500976283</v>
      </c>
      <c r="F413" s="39">
        <v>2751972.4297700003</v>
      </c>
      <c r="G413" s="39">
        <v>1649947.2562961522</v>
      </c>
      <c r="H413" s="40">
        <v>0.43416256773174133</v>
      </c>
      <c r="I413" s="40">
        <v>-0.40044920565063635</v>
      </c>
      <c r="J413" s="40">
        <v>0.1703513560778176</v>
      </c>
    </row>
    <row r="414" spans="1:10" ht="11.25" customHeight="1" x14ac:dyDescent="0.2">
      <c r="A414" s="46" t="s">
        <v>25</v>
      </c>
      <c r="B414" s="39">
        <v>0</v>
      </c>
      <c r="C414" s="39">
        <v>0</v>
      </c>
      <c r="D414" s="39">
        <v>5954361.8291499997</v>
      </c>
      <c r="E414" s="39">
        <v>8539522.8500976283</v>
      </c>
      <c r="F414" s="39">
        <v>2751972.4297700003</v>
      </c>
      <c r="G414" s="39">
        <v>1649947.2562961522</v>
      </c>
      <c r="H414" s="40">
        <v>0.43416256773174133</v>
      </c>
      <c r="I414" s="40">
        <v>-0.40044920565063635</v>
      </c>
      <c r="J414" s="40">
        <v>0.1703513560778176</v>
      </c>
    </row>
    <row r="415" spans="1:10" ht="11.25" customHeight="1" x14ac:dyDescent="0.2">
      <c r="A415" s="47" t="s">
        <v>25</v>
      </c>
      <c r="B415" s="39">
        <v>0</v>
      </c>
      <c r="C415" s="39">
        <v>0</v>
      </c>
      <c r="D415" s="39">
        <v>5954361.8291499997</v>
      </c>
      <c r="E415" s="39">
        <v>8539522.8500976283</v>
      </c>
      <c r="F415" s="39">
        <v>2751972.4297700003</v>
      </c>
      <c r="G415" s="39">
        <v>1649947.2562961522</v>
      </c>
      <c r="H415" s="40">
        <v>0.43416256773174133</v>
      </c>
      <c r="I415" s="40">
        <v>-0.40044920565063635</v>
      </c>
      <c r="J415" s="40">
        <v>0.1703513560778176</v>
      </c>
    </row>
    <row r="416" spans="1:10" ht="11.25" customHeight="1" x14ac:dyDescent="0.2">
      <c r="A416" s="48" t="s">
        <v>25</v>
      </c>
      <c r="B416" s="39">
        <v>0</v>
      </c>
      <c r="C416" s="39">
        <v>0</v>
      </c>
      <c r="D416" s="39">
        <v>5954361.8291499997</v>
      </c>
      <c r="E416" s="39">
        <v>8539522.8500976283</v>
      </c>
      <c r="F416" s="39">
        <v>2751972.4297700003</v>
      </c>
      <c r="G416" s="39">
        <v>1649947.2562961522</v>
      </c>
      <c r="H416" s="40">
        <v>0.43416256773174133</v>
      </c>
      <c r="I416" s="40">
        <v>-0.40044920565063635</v>
      </c>
      <c r="J416" s="40">
        <v>0.1703513560778176</v>
      </c>
    </row>
    <row r="417" spans="1:10" ht="11.25" customHeight="1" x14ac:dyDescent="0.2">
      <c r="A417" s="49">
        <v>44440</v>
      </c>
      <c r="B417" s="39">
        <v>0</v>
      </c>
      <c r="C417" s="39">
        <v>0</v>
      </c>
      <c r="D417" s="39">
        <v>435206.95295000001</v>
      </c>
      <c r="E417" s="39">
        <v>624157.52113747876</v>
      </c>
      <c r="F417" s="39">
        <v>201142.88821</v>
      </c>
      <c r="G417" s="39">
        <v>120595.37840403077</v>
      </c>
      <c r="H417" s="40">
        <v>0.43416256773174045</v>
      </c>
      <c r="I417" s="40">
        <v>-0.40044920565063635</v>
      </c>
      <c r="J417" s="40">
        <v>0.17035135607781715</v>
      </c>
    </row>
    <row r="418" spans="1:10" ht="11.25" customHeight="1" x14ac:dyDescent="0.2">
      <c r="A418" s="49">
        <v>44470</v>
      </c>
      <c r="B418" s="39">
        <v>0</v>
      </c>
      <c r="C418" s="39">
        <v>0</v>
      </c>
      <c r="D418" s="39">
        <v>422876.21075000003</v>
      </c>
      <c r="E418" s="39">
        <v>606473.23224188876</v>
      </c>
      <c r="F418" s="39">
        <v>195443.89585</v>
      </c>
      <c r="G418" s="39">
        <v>117178.54300760182</v>
      </c>
      <c r="H418" s="40">
        <v>0.43416256773174067</v>
      </c>
      <c r="I418" s="40">
        <v>-0.40044920565063624</v>
      </c>
      <c r="J418" s="40">
        <v>0.17035135607781737</v>
      </c>
    </row>
    <row r="419" spans="1:10" ht="11.25" customHeight="1" x14ac:dyDescent="0.2">
      <c r="A419" s="49">
        <v>44501</v>
      </c>
      <c r="B419" s="39">
        <v>0</v>
      </c>
      <c r="C419" s="39">
        <v>0</v>
      </c>
      <c r="D419" s="39">
        <v>449379.48754999996</v>
      </c>
      <c r="E419" s="39">
        <v>644483.23975068179</v>
      </c>
      <c r="F419" s="39">
        <v>207693.11569000001</v>
      </c>
      <c r="G419" s="39">
        <v>124522.5724928338</v>
      </c>
      <c r="H419" s="40">
        <v>0.43416256773174089</v>
      </c>
      <c r="I419" s="40">
        <v>-0.40044920565063624</v>
      </c>
      <c r="J419" s="40">
        <v>0.17035135607781737</v>
      </c>
    </row>
    <row r="420" spans="1:10" ht="11.25" customHeight="1" x14ac:dyDescent="0.2">
      <c r="A420" s="49">
        <v>44531</v>
      </c>
      <c r="B420" s="39">
        <v>0</v>
      </c>
      <c r="C420" s="39">
        <v>0</v>
      </c>
      <c r="D420" s="39">
        <v>437935.85605</v>
      </c>
      <c r="E420" s="39">
        <v>628071.21181446605</v>
      </c>
      <c r="F420" s="39">
        <v>202404.12599</v>
      </c>
      <c r="G420" s="39">
        <v>121351.5545168932</v>
      </c>
      <c r="H420" s="40">
        <v>0.43416256773174089</v>
      </c>
      <c r="I420" s="40">
        <v>-0.40044920565063624</v>
      </c>
      <c r="J420" s="40">
        <v>0.17035135607781737</v>
      </c>
    </row>
    <row r="421" spans="1:10" ht="11.25" customHeight="1" x14ac:dyDescent="0.2">
      <c r="A421" s="49">
        <v>44562</v>
      </c>
      <c r="B421" s="39">
        <v>0</v>
      </c>
      <c r="C421" s="39">
        <v>0</v>
      </c>
      <c r="D421" s="39">
        <v>653741.21994999994</v>
      </c>
      <c r="E421" s="39">
        <v>937571.18663557246</v>
      </c>
      <c r="F421" s="39">
        <v>302144.52280999994</v>
      </c>
      <c r="G421" s="39">
        <v>181150.98865904496</v>
      </c>
      <c r="H421" s="40">
        <v>0.43416256773174045</v>
      </c>
      <c r="I421" s="40">
        <v>-0.40044920565063613</v>
      </c>
      <c r="J421" s="40">
        <v>0.17035135607781737</v>
      </c>
    </row>
    <row r="422" spans="1:10" ht="11.25" customHeight="1" x14ac:dyDescent="0.2">
      <c r="A422" s="49">
        <v>44593</v>
      </c>
      <c r="B422" s="39">
        <v>0</v>
      </c>
      <c r="C422" s="39">
        <v>0</v>
      </c>
      <c r="D422" s="39">
        <v>648234.18345000001</v>
      </c>
      <c r="E422" s="39">
        <v>929673.20102814038</v>
      </c>
      <c r="F422" s="39">
        <v>299599.29411000002</v>
      </c>
      <c r="G422" s="39">
        <v>179624.99477015916</v>
      </c>
      <c r="H422" s="40">
        <v>0.43416256773174089</v>
      </c>
      <c r="I422" s="40">
        <v>-0.40044920565063624</v>
      </c>
      <c r="J422" s="40">
        <v>0.17035135607781737</v>
      </c>
    </row>
    <row r="423" spans="1:10" ht="11.25" customHeight="1" x14ac:dyDescent="0.2">
      <c r="A423" s="49">
        <v>44621</v>
      </c>
      <c r="B423" s="39">
        <v>0</v>
      </c>
      <c r="C423" s="39">
        <v>0</v>
      </c>
      <c r="D423" s="39">
        <v>693824.81979999994</v>
      </c>
      <c r="E423" s="39">
        <v>995057.58512038039</v>
      </c>
      <c r="F423" s="39">
        <v>320670.26324</v>
      </c>
      <c r="G423" s="39">
        <v>192258.11104976159</v>
      </c>
      <c r="H423" s="40">
        <v>0.43416256773174089</v>
      </c>
      <c r="I423" s="40">
        <v>-0.40044920565063624</v>
      </c>
      <c r="J423" s="40">
        <v>0.17035135607781737</v>
      </c>
    </row>
    <row r="424" spans="1:10" ht="11.25" customHeight="1" x14ac:dyDescent="0.2">
      <c r="A424" s="49">
        <v>44652</v>
      </c>
      <c r="B424" s="39">
        <v>0</v>
      </c>
      <c r="C424" s="39">
        <v>0</v>
      </c>
      <c r="D424" s="39">
        <v>523139.99114999996</v>
      </c>
      <c r="E424" s="39">
        <v>750267.792990844</v>
      </c>
      <c r="F424" s="39">
        <v>241783.56536999997</v>
      </c>
      <c r="G424" s="39">
        <v>144961.52867820481</v>
      </c>
      <c r="H424" s="40">
        <v>0.43416256773174067</v>
      </c>
      <c r="I424" s="40">
        <v>-0.40044920565063624</v>
      </c>
      <c r="J424" s="40">
        <v>0.17035135607781737</v>
      </c>
    </row>
    <row r="425" spans="1:10" ht="11.25" customHeight="1" x14ac:dyDescent="0.2">
      <c r="A425" s="49">
        <v>44682</v>
      </c>
      <c r="B425" s="39">
        <v>0</v>
      </c>
      <c r="C425" s="39">
        <v>0</v>
      </c>
      <c r="D425" s="39">
        <v>440510.79379999998</v>
      </c>
      <c r="E425" s="39">
        <v>631764.0911497554</v>
      </c>
      <c r="F425" s="39">
        <v>203594.20444</v>
      </c>
      <c r="G425" s="39">
        <v>122065.06699692876</v>
      </c>
      <c r="H425" s="40">
        <v>0.43416256773174089</v>
      </c>
      <c r="I425" s="40">
        <v>-0.40044920565063624</v>
      </c>
      <c r="J425" s="40">
        <v>0.17035135607781737</v>
      </c>
    </row>
    <row r="426" spans="1:10" ht="11.25" customHeight="1" x14ac:dyDescent="0.2">
      <c r="A426" s="49">
        <v>44713</v>
      </c>
      <c r="B426" s="39">
        <v>0</v>
      </c>
      <c r="C426" s="39">
        <v>0</v>
      </c>
      <c r="D426" s="39">
        <v>429705.70825000003</v>
      </c>
      <c r="E426" s="39">
        <v>616267.84191280627</v>
      </c>
      <c r="F426" s="39">
        <v>198600.33635</v>
      </c>
      <c r="G426" s="39">
        <v>119070.98941669332</v>
      </c>
      <c r="H426" s="40">
        <v>0.43416256773174067</v>
      </c>
      <c r="I426" s="40">
        <v>-0.40044920565063624</v>
      </c>
      <c r="J426" s="40">
        <v>0.17035135607781737</v>
      </c>
    </row>
    <row r="427" spans="1:10" ht="11.25" customHeight="1" x14ac:dyDescent="0.2">
      <c r="A427" s="49">
        <v>44743</v>
      </c>
      <c r="B427" s="39">
        <v>0</v>
      </c>
      <c r="C427" s="39">
        <v>0</v>
      </c>
      <c r="D427" s="39">
        <v>388732.58444999997</v>
      </c>
      <c r="E427" s="39">
        <v>557505.72147580772</v>
      </c>
      <c r="F427" s="39">
        <v>179663.47790999999</v>
      </c>
      <c r="G427" s="39">
        <v>107717.38089650986</v>
      </c>
      <c r="H427" s="40">
        <v>0.43416256773174067</v>
      </c>
      <c r="I427" s="40">
        <v>-0.40044920565063624</v>
      </c>
      <c r="J427" s="40">
        <v>0.17035135607781737</v>
      </c>
    </row>
    <row r="428" spans="1:10" ht="11.25" customHeight="1" x14ac:dyDescent="0.2">
      <c r="A428" s="49">
        <v>44774</v>
      </c>
      <c r="B428" s="39">
        <v>0</v>
      </c>
      <c r="C428" s="39">
        <v>0</v>
      </c>
      <c r="D428" s="39">
        <v>431074.02100000001</v>
      </c>
      <c r="E428" s="39">
        <v>618230.22483980632</v>
      </c>
      <c r="F428" s="39">
        <v>199232.73979999998</v>
      </c>
      <c r="G428" s="39">
        <v>119450.14740749009</v>
      </c>
      <c r="H428" s="40">
        <v>0.43416256773174067</v>
      </c>
      <c r="I428" s="40">
        <v>-0.40044920565063624</v>
      </c>
      <c r="J428" s="40">
        <v>0.17035135607781715</v>
      </c>
    </row>
    <row r="429" spans="1:10" ht="11.25" customHeight="1" x14ac:dyDescent="0.2">
      <c r="A429" s="44" t="s">
        <v>50</v>
      </c>
      <c r="B429" s="39">
        <v>0</v>
      </c>
      <c r="C429" s="39">
        <v>0</v>
      </c>
      <c r="D429" s="39">
        <v>30093.710149999992</v>
      </c>
      <c r="E429" s="39">
        <v>43159.27262129874</v>
      </c>
      <c r="F429" s="39">
        <v>13908.637569999999</v>
      </c>
      <c r="G429" s="39">
        <v>8338.9347034109051</v>
      </c>
      <c r="H429" s="40">
        <v>0.43416256773174089</v>
      </c>
      <c r="I429" s="40">
        <v>-0.40044920565063613</v>
      </c>
      <c r="J429" s="40">
        <v>0.17035135607781737</v>
      </c>
    </row>
    <row r="430" spans="1:10" ht="11.25" customHeight="1" x14ac:dyDescent="0.2">
      <c r="A430" s="45" t="s">
        <v>25</v>
      </c>
      <c r="B430" s="39">
        <v>0</v>
      </c>
      <c r="C430" s="39">
        <v>0</v>
      </c>
      <c r="D430" s="39">
        <v>30093.710149999992</v>
      </c>
      <c r="E430" s="39">
        <v>43159.27262129874</v>
      </c>
      <c r="F430" s="39">
        <v>13908.637569999999</v>
      </c>
      <c r="G430" s="39">
        <v>8338.9347034109051</v>
      </c>
      <c r="H430" s="40">
        <v>0.43416256773174089</v>
      </c>
      <c r="I430" s="40">
        <v>-0.40044920565063613</v>
      </c>
      <c r="J430" s="40">
        <v>0.17035135607781737</v>
      </c>
    </row>
    <row r="431" spans="1:10" ht="11.25" customHeight="1" x14ac:dyDescent="0.2">
      <c r="A431" s="46" t="s">
        <v>25</v>
      </c>
      <c r="B431" s="39">
        <v>0</v>
      </c>
      <c r="C431" s="39">
        <v>0</v>
      </c>
      <c r="D431" s="39">
        <v>30093.710149999992</v>
      </c>
      <c r="E431" s="39">
        <v>43159.27262129874</v>
      </c>
      <c r="F431" s="39">
        <v>13908.637569999999</v>
      </c>
      <c r="G431" s="39">
        <v>8338.9347034109051</v>
      </c>
      <c r="H431" s="40">
        <v>0.43416256773174089</v>
      </c>
      <c r="I431" s="40">
        <v>-0.40044920565063613</v>
      </c>
      <c r="J431" s="40">
        <v>0.17035135607781737</v>
      </c>
    </row>
    <row r="432" spans="1:10" ht="11.25" customHeight="1" x14ac:dyDescent="0.2">
      <c r="A432" s="47" t="s">
        <v>25</v>
      </c>
      <c r="B432" s="39">
        <v>0</v>
      </c>
      <c r="C432" s="39">
        <v>0</v>
      </c>
      <c r="D432" s="39">
        <v>30093.710149999992</v>
      </c>
      <c r="E432" s="39">
        <v>43159.27262129874</v>
      </c>
      <c r="F432" s="39">
        <v>13908.637569999999</v>
      </c>
      <c r="G432" s="39">
        <v>8338.9347034109051</v>
      </c>
      <c r="H432" s="40">
        <v>0.43416256773174089</v>
      </c>
      <c r="I432" s="40">
        <v>-0.40044920565063613</v>
      </c>
      <c r="J432" s="40">
        <v>0.17035135607781737</v>
      </c>
    </row>
    <row r="433" spans="1:10" ht="11.25" customHeight="1" x14ac:dyDescent="0.2">
      <c r="A433" s="48" t="s">
        <v>25</v>
      </c>
      <c r="B433" s="39">
        <v>0</v>
      </c>
      <c r="C433" s="39">
        <v>0</v>
      </c>
      <c r="D433" s="39">
        <v>30093.710149999992</v>
      </c>
      <c r="E433" s="39">
        <v>43159.27262129874</v>
      </c>
      <c r="F433" s="39">
        <v>13908.637569999999</v>
      </c>
      <c r="G433" s="39">
        <v>8338.9347034109051</v>
      </c>
      <c r="H433" s="40">
        <v>0.43416256773174089</v>
      </c>
      <c r="I433" s="40">
        <v>-0.40044920565063613</v>
      </c>
      <c r="J433" s="40">
        <v>0.17035135607781737</v>
      </c>
    </row>
    <row r="434" spans="1:10" ht="11.25" customHeight="1" x14ac:dyDescent="0.2">
      <c r="A434" s="49">
        <v>44440</v>
      </c>
      <c r="B434" s="39">
        <v>0</v>
      </c>
      <c r="C434" s="39">
        <v>0</v>
      </c>
      <c r="D434" s="39">
        <v>1884.2655999999999</v>
      </c>
      <c r="E434" s="39">
        <v>2702.3431911845892</v>
      </c>
      <c r="F434" s="39">
        <v>870.86527999999998</v>
      </c>
      <c r="G434" s="39">
        <v>522.12797039528107</v>
      </c>
      <c r="H434" s="40">
        <v>0.43416256773174089</v>
      </c>
      <c r="I434" s="40">
        <v>-0.40044920565063624</v>
      </c>
      <c r="J434" s="40">
        <v>0.17035135607781737</v>
      </c>
    </row>
    <row r="435" spans="1:10" ht="11.25" customHeight="1" x14ac:dyDescent="0.2">
      <c r="A435" s="49">
        <v>44470</v>
      </c>
      <c r="B435" s="39">
        <v>0</v>
      </c>
      <c r="C435" s="39">
        <v>0</v>
      </c>
      <c r="D435" s="39">
        <v>2035.8176999999998</v>
      </c>
      <c r="E435" s="39">
        <v>2919.6935400657267</v>
      </c>
      <c r="F435" s="39">
        <v>940.90926000000002</v>
      </c>
      <c r="G435" s="39">
        <v>564.12289424367202</v>
      </c>
      <c r="H435" s="40">
        <v>0.43416256773174089</v>
      </c>
      <c r="I435" s="40">
        <v>-0.40044920565063624</v>
      </c>
      <c r="J435" s="40">
        <v>0.17035135607781737</v>
      </c>
    </row>
    <row r="436" spans="1:10" ht="11.25" customHeight="1" x14ac:dyDescent="0.2">
      <c r="A436" s="49">
        <v>44501</v>
      </c>
      <c r="B436" s="39">
        <v>0</v>
      </c>
      <c r="C436" s="39">
        <v>0</v>
      </c>
      <c r="D436" s="39">
        <v>1999.6189499999998</v>
      </c>
      <c r="E436" s="39">
        <v>2867.7786478170469</v>
      </c>
      <c r="F436" s="39">
        <v>924.17900999999995</v>
      </c>
      <c r="G436" s="39">
        <v>554.09225956650857</v>
      </c>
      <c r="H436" s="40">
        <v>0.43416256773174067</v>
      </c>
      <c r="I436" s="40">
        <v>-0.40044920565063624</v>
      </c>
      <c r="J436" s="40">
        <v>0.17035135607781715</v>
      </c>
    </row>
    <row r="437" spans="1:10" ht="11.25" customHeight="1" x14ac:dyDescent="0.2">
      <c r="A437" s="49">
        <v>44531</v>
      </c>
      <c r="B437" s="39">
        <v>0</v>
      </c>
      <c r="C437" s="39">
        <v>0</v>
      </c>
      <c r="D437" s="39">
        <v>2630.4425000000001</v>
      </c>
      <c r="E437" s="39">
        <v>3772.4821700706993</v>
      </c>
      <c r="F437" s="39">
        <v>1215.7315000000001</v>
      </c>
      <c r="G437" s="39">
        <v>728.89278654054351</v>
      </c>
      <c r="H437" s="40">
        <v>0.43416256773174067</v>
      </c>
      <c r="I437" s="40">
        <v>-0.40044920565063635</v>
      </c>
      <c r="J437" s="40">
        <v>0.17035135607781737</v>
      </c>
    </row>
    <row r="438" spans="1:10" ht="11.25" customHeight="1" x14ac:dyDescent="0.2">
      <c r="A438" s="49">
        <v>44562</v>
      </c>
      <c r="B438" s="39">
        <v>0</v>
      </c>
      <c r="C438" s="39">
        <v>0</v>
      </c>
      <c r="D438" s="39">
        <v>2852.9441499999998</v>
      </c>
      <c r="E438" s="39">
        <v>4091.5857077592482</v>
      </c>
      <c r="F438" s="39">
        <v>1318.5667699999999</v>
      </c>
      <c r="G438" s="39">
        <v>790.54775435617466</v>
      </c>
      <c r="H438" s="40">
        <v>0.43416256773174067</v>
      </c>
      <c r="I438" s="40">
        <v>-0.40044920565063635</v>
      </c>
      <c r="J438" s="40">
        <v>0.17035135607781737</v>
      </c>
    </row>
    <row r="439" spans="1:10" ht="11.25" customHeight="1" x14ac:dyDescent="0.2">
      <c r="A439" s="49">
        <v>44593</v>
      </c>
      <c r="B439" s="39">
        <v>0</v>
      </c>
      <c r="C439" s="39">
        <v>0</v>
      </c>
      <c r="D439" s="39">
        <v>4267.1086499999992</v>
      </c>
      <c r="E439" s="39">
        <v>6119.7274982743211</v>
      </c>
      <c r="F439" s="39">
        <v>1972.1618699999997</v>
      </c>
      <c r="G439" s="39">
        <v>1182.4112157440265</v>
      </c>
      <c r="H439" s="40">
        <v>0.43416256773174089</v>
      </c>
      <c r="I439" s="40">
        <v>-0.40044920565063624</v>
      </c>
      <c r="J439" s="40">
        <v>0.17035135607781737</v>
      </c>
    </row>
    <row r="440" spans="1:10" ht="11.25" customHeight="1" x14ac:dyDescent="0.2">
      <c r="A440" s="49">
        <v>44621</v>
      </c>
      <c r="B440" s="39">
        <v>0</v>
      </c>
      <c r="C440" s="39">
        <v>0</v>
      </c>
      <c r="D440" s="39">
        <v>3474.1147000000001</v>
      </c>
      <c r="E440" s="39">
        <v>4982.4452587465867</v>
      </c>
      <c r="F440" s="39">
        <v>1605.65786</v>
      </c>
      <c r="G440" s="39">
        <v>962.6734454162995</v>
      </c>
      <c r="H440" s="40">
        <v>0.43416256773174089</v>
      </c>
      <c r="I440" s="40">
        <v>-0.40044920565063624</v>
      </c>
      <c r="J440" s="40">
        <v>0.17035135607781737</v>
      </c>
    </row>
    <row r="441" spans="1:10" ht="11.25" customHeight="1" x14ac:dyDescent="0.2">
      <c r="A441" s="49">
        <v>44652</v>
      </c>
      <c r="B441" s="39">
        <v>0</v>
      </c>
      <c r="C441" s="39">
        <v>0</v>
      </c>
      <c r="D441" s="39">
        <v>3030.55935</v>
      </c>
      <c r="E441" s="39">
        <v>4346.3147790594348</v>
      </c>
      <c r="F441" s="39">
        <v>1400.65653</v>
      </c>
      <c r="G441" s="39">
        <v>839.76473517212344</v>
      </c>
      <c r="H441" s="40">
        <v>0.43416256773174067</v>
      </c>
      <c r="I441" s="40">
        <v>-0.40044920565063624</v>
      </c>
      <c r="J441" s="40">
        <v>0.17035135607781737</v>
      </c>
    </row>
    <row r="442" spans="1:10" ht="11.25" customHeight="1" x14ac:dyDescent="0.2">
      <c r="A442" s="49">
        <v>44682</v>
      </c>
      <c r="B442" s="39">
        <v>0</v>
      </c>
      <c r="C442" s="39">
        <v>0</v>
      </c>
      <c r="D442" s="39">
        <v>2176.7514999999999</v>
      </c>
      <c r="E442" s="39">
        <v>3121.8155205539178</v>
      </c>
      <c r="F442" s="39">
        <v>1006.0456999999999</v>
      </c>
      <c r="G442" s="39">
        <v>603.17549858676159</v>
      </c>
      <c r="H442" s="40">
        <v>0.43416256773174067</v>
      </c>
      <c r="I442" s="40">
        <v>-0.40044920565063624</v>
      </c>
      <c r="J442" s="40">
        <v>0.17035135607781715</v>
      </c>
    </row>
    <row r="443" spans="1:10" ht="11.25" customHeight="1" x14ac:dyDescent="0.2">
      <c r="A443" s="49">
        <v>44713</v>
      </c>
      <c r="B443" s="39">
        <v>0</v>
      </c>
      <c r="C443" s="39">
        <v>0</v>
      </c>
      <c r="D443" s="39">
        <v>2001.54955</v>
      </c>
      <c r="E443" s="39">
        <v>2870.5474420703104</v>
      </c>
      <c r="F443" s="39">
        <v>925.07128999999998</v>
      </c>
      <c r="G443" s="39">
        <v>554.62722674929068</v>
      </c>
      <c r="H443" s="40">
        <v>0.43416256773174089</v>
      </c>
      <c r="I443" s="40">
        <v>-0.40044920565063613</v>
      </c>
      <c r="J443" s="40">
        <v>0.17035135607781737</v>
      </c>
    </row>
    <row r="444" spans="1:10" ht="11.25" customHeight="1" x14ac:dyDescent="0.2">
      <c r="A444" s="49">
        <v>44743</v>
      </c>
      <c r="B444" s="39">
        <v>0</v>
      </c>
      <c r="C444" s="39">
        <v>0</v>
      </c>
      <c r="D444" s="39">
        <v>1730.7828999999999</v>
      </c>
      <c r="E444" s="39">
        <v>2482.2240480501887</v>
      </c>
      <c r="F444" s="39">
        <v>799.92901999999992</v>
      </c>
      <c r="G444" s="39">
        <v>479.59807936410806</v>
      </c>
      <c r="H444" s="40">
        <v>0.43416256773174089</v>
      </c>
      <c r="I444" s="40">
        <v>-0.40044920565063624</v>
      </c>
      <c r="J444" s="40">
        <v>0.17035135607781737</v>
      </c>
    </row>
    <row r="445" spans="1:10" ht="11.25" customHeight="1" x14ac:dyDescent="0.2">
      <c r="A445" s="49">
        <v>44774</v>
      </c>
      <c r="B445" s="39">
        <v>0</v>
      </c>
      <c r="C445" s="39">
        <v>0</v>
      </c>
      <c r="D445" s="39">
        <v>2009.7545999999998</v>
      </c>
      <c r="E445" s="39">
        <v>2882.3148176466771</v>
      </c>
      <c r="F445" s="39">
        <v>928.86347999999987</v>
      </c>
      <c r="G445" s="39">
        <v>556.90083727611432</v>
      </c>
      <c r="H445" s="40">
        <v>0.43416256773174067</v>
      </c>
      <c r="I445" s="40">
        <v>-0.40044920565063624</v>
      </c>
      <c r="J445" s="40">
        <v>0.17035135607781715</v>
      </c>
    </row>
    <row r="446" spans="1:10" ht="11.25" customHeight="1" x14ac:dyDescent="0.2">
      <c r="A446" s="44" t="s">
        <v>38</v>
      </c>
      <c r="B446" s="39">
        <v>0</v>
      </c>
      <c r="C446" s="39">
        <v>0</v>
      </c>
      <c r="D446" s="39">
        <v>344716.83504999999</v>
      </c>
      <c r="E446" s="39">
        <v>494379.98129566695</v>
      </c>
      <c r="F446" s="39">
        <v>159320.38618999999</v>
      </c>
      <c r="G446" s="39">
        <v>95520.664096261884</v>
      </c>
      <c r="H446" s="40">
        <v>0.43416256773174089</v>
      </c>
      <c r="I446" s="40">
        <v>-0.40044920565063624</v>
      </c>
      <c r="J446" s="40">
        <v>0.1703513560778176</v>
      </c>
    </row>
    <row r="447" spans="1:10" ht="11.25" customHeight="1" x14ac:dyDescent="0.2">
      <c r="A447" s="45" t="s">
        <v>25</v>
      </c>
      <c r="B447" s="39">
        <v>0</v>
      </c>
      <c r="C447" s="39">
        <v>0</v>
      </c>
      <c r="D447" s="39">
        <v>344716.83504999999</v>
      </c>
      <c r="E447" s="39">
        <v>494379.98129566695</v>
      </c>
      <c r="F447" s="39">
        <v>159320.38618999999</v>
      </c>
      <c r="G447" s="39">
        <v>95520.664096261884</v>
      </c>
      <c r="H447" s="40">
        <v>0.43416256773174089</v>
      </c>
      <c r="I447" s="40">
        <v>-0.40044920565063624</v>
      </c>
      <c r="J447" s="40">
        <v>0.1703513560778176</v>
      </c>
    </row>
    <row r="448" spans="1:10" ht="11.25" customHeight="1" x14ac:dyDescent="0.2">
      <c r="A448" s="46" t="s">
        <v>25</v>
      </c>
      <c r="B448" s="39">
        <v>0</v>
      </c>
      <c r="C448" s="39">
        <v>0</v>
      </c>
      <c r="D448" s="39">
        <v>344716.83504999999</v>
      </c>
      <c r="E448" s="39">
        <v>494379.98129566695</v>
      </c>
      <c r="F448" s="39">
        <v>159320.38618999999</v>
      </c>
      <c r="G448" s="39">
        <v>95520.664096261884</v>
      </c>
      <c r="H448" s="40">
        <v>0.43416256773174089</v>
      </c>
      <c r="I448" s="40">
        <v>-0.40044920565063624</v>
      </c>
      <c r="J448" s="40">
        <v>0.1703513560778176</v>
      </c>
    </row>
    <row r="449" spans="1:10" ht="11.25" customHeight="1" x14ac:dyDescent="0.2">
      <c r="A449" s="47" t="s">
        <v>25</v>
      </c>
      <c r="B449" s="39">
        <v>0</v>
      </c>
      <c r="C449" s="39">
        <v>0</v>
      </c>
      <c r="D449" s="39">
        <v>344716.83504999999</v>
      </c>
      <c r="E449" s="39">
        <v>494379.98129566695</v>
      </c>
      <c r="F449" s="39">
        <v>159320.38618999999</v>
      </c>
      <c r="G449" s="39">
        <v>95520.664096261884</v>
      </c>
      <c r="H449" s="40">
        <v>0.43416256773174089</v>
      </c>
      <c r="I449" s="40">
        <v>-0.40044920565063624</v>
      </c>
      <c r="J449" s="40">
        <v>0.1703513560778176</v>
      </c>
    </row>
    <row r="450" spans="1:10" ht="11.25" customHeight="1" x14ac:dyDescent="0.2">
      <c r="A450" s="48" t="s">
        <v>25</v>
      </c>
      <c r="B450" s="39">
        <v>0</v>
      </c>
      <c r="C450" s="39">
        <v>0</v>
      </c>
      <c r="D450" s="39">
        <v>344716.83504999999</v>
      </c>
      <c r="E450" s="39">
        <v>494379.98129566695</v>
      </c>
      <c r="F450" s="39">
        <v>159320.38618999999</v>
      </c>
      <c r="G450" s="39">
        <v>95520.664096261884</v>
      </c>
      <c r="H450" s="40">
        <v>0.43416256773174089</v>
      </c>
      <c r="I450" s="40">
        <v>-0.40044920565063624</v>
      </c>
      <c r="J450" s="40">
        <v>0.1703513560778176</v>
      </c>
    </row>
    <row r="451" spans="1:10" ht="11.25" customHeight="1" x14ac:dyDescent="0.2">
      <c r="A451" s="49">
        <v>44440</v>
      </c>
      <c r="B451" s="39">
        <v>0</v>
      </c>
      <c r="C451" s="39">
        <v>0</v>
      </c>
      <c r="D451" s="39">
        <v>30405.502049999999</v>
      </c>
      <c r="E451" s="39">
        <v>43606.432893200705</v>
      </c>
      <c r="F451" s="39">
        <v>14052.74079</v>
      </c>
      <c r="G451" s="39">
        <v>8425.3319034302058</v>
      </c>
      <c r="H451" s="40">
        <v>0.43416256773174067</v>
      </c>
      <c r="I451" s="40">
        <v>-0.40044920565063624</v>
      </c>
      <c r="J451" s="40">
        <v>0.17035135607781737</v>
      </c>
    </row>
    <row r="452" spans="1:10" ht="11.25" customHeight="1" x14ac:dyDescent="0.2">
      <c r="A452" s="49">
        <v>44470</v>
      </c>
      <c r="B452" s="39">
        <v>0</v>
      </c>
      <c r="C452" s="39">
        <v>0</v>
      </c>
      <c r="D452" s="39">
        <v>32203.373299999999</v>
      </c>
      <c r="E452" s="39">
        <v>46184.872541551777</v>
      </c>
      <c r="F452" s="39">
        <v>14883.67654</v>
      </c>
      <c r="G452" s="39">
        <v>8923.5200923959892</v>
      </c>
      <c r="H452" s="40">
        <v>0.43416256773174067</v>
      </c>
      <c r="I452" s="40">
        <v>-0.40044920565063635</v>
      </c>
      <c r="J452" s="40">
        <v>0.17035135607781715</v>
      </c>
    </row>
    <row r="453" spans="1:10" ht="11.25" customHeight="1" x14ac:dyDescent="0.2">
      <c r="A453" s="49">
        <v>44501</v>
      </c>
      <c r="B453" s="39">
        <v>0</v>
      </c>
      <c r="C453" s="39">
        <v>0</v>
      </c>
      <c r="D453" s="39">
        <v>30804.17095</v>
      </c>
      <c r="E453" s="39">
        <v>44178.188906499498</v>
      </c>
      <c r="F453" s="39">
        <v>14236.99661</v>
      </c>
      <c r="G453" s="39">
        <v>8535.8026266746983</v>
      </c>
      <c r="H453" s="40">
        <v>0.43416256773174089</v>
      </c>
      <c r="I453" s="40">
        <v>-0.40044920565063624</v>
      </c>
      <c r="J453" s="40">
        <v>0.17035135607781737</v>
      </c>
    </row>
    <row r="454" spans="1:10" ht="11.25" customHeight="1" x14ac:dyDescent="0.2">
      <c r="A454" s="49">
        <v>44531</v>
      </c>
      <c r="B454" s="39">
        <v>0</v>
      </c>
      <c r="C454" s="39">
        <v>0</v>
      </c>
      <c r="D454" s="39">
        <v>30698.470599999997</v>
      </c>
      <c r="E454" s="39">
        <v>44026.597421133345</v>
      </c>
      <c r="F454" s="39">
        <v>14188.144279999999</v>
      </c>
      <c r="G454" s="39">
        <v>8506.513173417381</v>
      </c>
      <c r="H454" s="40">
        <v>0.43416256773174067</v>
      </c>
      <c r="I454" s="40">
        <v>-0.40044920565063624</v>
      </c>
      <c r="J454" s="40">
        <v>0.17035135607781737</v>
      </c>
    </row>
    <row r="455" spans="1:10" ht="11.25" customHeight="1" x14ac:dyDescent="0.2">
      <c r="A455" s="49">
        <v>44562</v>
      </c>
      <c r="B455" s="39">
        <v>0</v>
      </c>
      <c r="C455" s="39">
        <v>0</v>
      </c>
      <c r="D455" s="39">
        <v>30387.644</v>
      </c>
      <c r="E455" s="39">
        <v>43580.821546358027</v>
      </c>
      <c r="F455" s="39">
        <v>14044.4872</v>
      </c>
      <c r="G455" s="39">
        <v>8420.3834569894716</v>
      </c>
      <c r="H455" s="40">
        <v>0.43416256773174089</v>
      </c>
      <c r="I455" s="40">
        <v>-0.40044920565063624</v>
      </c>
      <c r="J455" s="40">
        <v>0.17035135607781715</v>
      </c>
    </row>
    <row r="456" spans="1:10" ht="11.25" customHeight="1" x14ac:dyDescent="0.2">
      <c r="A456" s="49">
        <v>44593</v>
      </c>
      <c r="B456" s="39">
        <v>0</v>
      </c>
      <c r="C456" s="39">
        <v>0</v>
      </c>
      <c r="D456" s="39">
        <v>28870.1924</v>
      </c>
      <c r="E456" s="39">
        <v>41404.549263293389</v>
      </c>
      <c r="F456" s="39">
        <v>13343.155119999999</v>
      </c>
      <c r="G456" s="39">
        <v>7999.8992513227795</v>
      </c>
      <c r="H456" s="40">
        <v>0.43416256773174089</v>
      </c>
      <c r="I456" s="40">
        <v>-0.40044920565063624</v>
      </c>
      <c r="J456" s="40">
        <v>0.17035135607781737</v>
      </c>
    </row>
    <row r="457" spans="1:10" ht="11.25" customHeight="1" x14ac:dyDescent="0.2">
      <c r="A457" s="49">
        <v>44621</v>
      </c>
      <c r="B457" s="39">
        <v>0</v>
      </c>
      <c r="C457" s="39">
        <v>0</v>
      </c>
      <c r="D457" s="39">
        <v>35988.314600000005</v>
      </c>
      <c r="E457" s="39">
        <v>51613.093675073702</v>
      </c>
      <c r="F457" s="39">
        <v>16632.991480000001</v>
      </c>
      <c r="G457" s="39">
        <v>9972.3232542402002</v>
      </c>
      <c r="H457" s="40">
        <v>0.43416256773174067</v>
      </c>
      <c r="I457" s="40">
        <v>-0.40044920565063624</v>
      </c>
      <c r="J457" s="40">
        <v>0.17035135607781715</v>
      </c>
    </row>
    <row r="458" spans="1:10" ht="11.25" customHeight="1" x14ac:dyDescent="0.2">
      <c r="A458" s="49">
        <v>44652</v>
      </c>
      <c r="B458" s="39">
        <v>0</v>
      </c>
      <c r="C458" s="39">
        <v>0</v>
      </c>
      <c r="D458" s="39">
        <v>28298.734799999998</v>
      </c>
      <c r="E458" s="39">
        <v>40584.986164327565</v>
      </c>
      <c r="F458" s="39">
        <v>13079.04024</v>
      </c>
      <c r="G458" s="39">
        <v>7841.5489652192928</v>
      </c>
      <c r="H458" s="40">
        <v>0.43416256773174067</v>
      </c>
      <c r="I458" s="40">
        <v>-0.40044920565063624</v>
      </c>
      <c r="J458" s="40">
        <v>0.17035135607781715</v>
      </c>
    </row>
    <row r="459" spans="1:10" ht="11.25" customHeight="1" x14ac:dyDescent="0.2">
      <c r="A459" s="49">
        <v>44682</v>
      </c>
      <c r="B459" s="39">
        <v>0</v>
      </c>
      <c r="C459" s="39">
        <v>0</v>
      </c>
      <c r="D459" s="39">
        <v>25565.487849999998</v>
      </c>
      <c r="E459" s="39">
        <v>36665.065700270614</v>
      </c>
      <c r="F459" s="39">
        <v>11815.794829999999</v>
      </c>
      <c r="G459" s="39">
        <v>7084.1691761956045</v>
      </c>
      <c r="H459" s="40">
        <v>0.43416256773174067</v>
      </c>
      <c r="I459" s="40">
        <v>-0.40044920565063624</v>
      </c>
      <c r="J459" s="40">
        <v>0.17035135607781715</v>
      </c>
    </row>
    <row r="460" spans="1:10" ht="11.25" customHeight="1" x14ac:dyDescent="0.2">
      <c r="A460" s="49">
        <v>44713</v>
      </c>
      <c r="B460" s="39">
        <v>0</v>
      </c>
      <c r="C460" s="39">
        <v>0</v>
      </c>
      <c r="D460" s="39">
        <v>26363.308299999997</v>
      </c>
      <c r="E460" s="39">
        <v>37809.269925431508</v>
      </c>
      <c r="F460" s="39">
        <v>12184.52954</v>
      </c>
      <c r="G460" s="39">
        <v>7305.244364480287</v>
      </c>
      <c r="H460" s="40">
        <v>0.43416256773174067</v>
      </c>
      <c r="I460" s="40">
        <v>-0.40044920565063624</v>
      </c>
      <c r="J460" s="40">
        <v>0.17035135607781737</v>
      </c>
    </row>
    <row r="461" spans="1:10" ht="11.25" customHeight="1" x14ac:dyDescent="0.2">
      <c r="A461" s="49">
        <v>44743</v>
      </c>
      <c r="B461" s="39">
        <v>0</v>
      </c>
      <c r="C461" s="39">
        <v>0</v>
      </c>
      <c r="D461" s="39">
        <v>22500.660349999998</v>
      </c>
      <c r="E461" s="39">
        <v>32269.60482321577</v>
      </c>
      <c r="F461" s="39">
        <v>10399.30033</v>
      </c>
      <c r="G461" s="39">
        <v>6234.9087735291005</v>
      </c>
      <c r="H461" s="40">
        <v>0.43416256773174089</v>
      </c>
      <c r="I461" s="40">
        <v>-0.40044920565063624</v>
      </c>
      <c r="J461" s="40">
        <v>0.1703513560778176</v>
      </c>
    </row>
    <row r="462" spans="1:10" ht="11.25" customHeight="1" x14ac:dyDescent="0.2">
      <c r="A462" s="49">
        <v>44774</v>
      </c>
      <c r="B462" s="39">
        <v>0</v>
      </c>
      <c r="C462" s="39">
        <v>0</v>
      </c>
      <c r="D462" s="39">
        <v>22630.975849999999</v>
      </c>
      <c r="E462" s="39">
        <v>32456.498435311016</v>
      </c>
      <c r="F462" s="39">
        <v>10459.52923</v>
      </c>
      <c r="G462" s="39">
        <v>6271.0190583668891</v>
      </c>
      <c r="H462" s="40">
        <v>0.43416256773174089</v>
      </c>
      <c r="I462" s="40">
        <v>-0.40044920565063624</v>
      </c>
      <c r="J462" s="40">
        <v>0.17035135607781737</v>
      </c>
    </row>
    <row r="463" spans="1:10" ht="11.25" customHeight="1" x14ac:dyDescent="0.2">
      <c r="A463" s="44" t="s">
        <v>44</v>
      </c>
      <c r="B463" s="39">
        <v>0</v>
      </c>
      <c r="C463" s="39">
        <v>0</v>
      </c>
      <c r="D463" s="39">
        <v>207106.08029999997</v>
      </c>
      <c r="E463" s="39">
        <v>297023.78791590407</v>
      </c>
      <c r="F463" s="39">
        <v>95719.783139999985</v>
      </c>
      <c r="G463" s="39">
        <v>57388.872016535839</v>
      </c>
      <c r="H463" s="40">
        <v>0.43416256773174089</v>
      </c>
      <c r="I463" s="40">
        <v>-0.40044920565063613</v>
      </c>
      <c r="J463" s="40">
        <v>0.17035135607781737</v>
      </c>
    </row>
    <row r="464" spans="1:10" ht="11.25" customHeight="1" x14ac:dyDescent="0.2">
      <c r="A464" s="45" t="s">
        <v>25</v>
      </c>
      <c r="B464" s="39">
        <v>0</v>
      </c>
      <c r="C464" s="39">
        <v>0</v>
      </c>
      <c r="D464" s="39">
        <v>207106.08029999997</v>
      </c>
      <c r="E464" s="39">
        <v>297023.78791590407</v>
      </c>
      <c r="F464" s="39">
        <v>95719.783139999985</v>
      </c>
      <c r="G464" s="39">
        <v>57388.872016535839</v>
      </c>
      <c r="H464" s="40">
        <v>0.43416256773174089</v>
      </c>
      <c r="I464" s="40">
        <v>-0.40044920565063613</v>
      </c>
      <c r="J464" s="40">
        <v>0.17035135607781737</v>
      </c>
    </row>
    <row r="465" spans="1:10" ht="11.25" customHeight="1" x14ac:dyDescent="0.2">
      <c r="A465" s="46" t="s">
        <v>25</v>
      </c>
      <c r="B465" s="39">
        <v>0</v>
      </c>
      <c r="C465" s="39">
        <v>0</v>
      </c>
      <c r="D465" s="39">
        <v>207106.08029999997</v>
      </c>
      <c r="E465" s="39">
        <v>297023.78791590407</v>
      </c>
      <c r="F465" s="39">
        <v>95719.783139999985</v>
      </c>
      <c r="G465" s="39">
        <v>57388.872016535839</v>
      </c>
      <c r="H465" s="40">
        <v>0.43416256773174089</v>
      </c>
      <c r="I465" s="40">
        <v>-0.40044920565063613</v>
      </c>
      <c r="J465" s="40">
        <v>0.17035135607781737</v>
      </c>
    </row>
    <row r="466" spans="1:10" ht="11.25" customHeight="1" x14ac:dyDescent="0.2">
      <c r="A466" s="47" t="s">
        <v>25</v>
      </c>
      <c r="B466" s="39">
        <v>0</v>
      </c>
      <c r="C466" s="39">
        <v>0</v>
      </c>
      <c r="D466" s="39">
        <v>207106.08029999997</v>
      </c>
      <c r="E466" s="39">
        <v>297023.78791590407</v>
      </c>
      <c r="F466" s="39">
        <v>95719.783139999985</v>
      </c>
      <c r="G466" s="39">
        <v>57388.872016535839</v>
      </c>
      <c r="H466" s="40">
        <v>0.43416256773174089</v>
      </c>
      <c r="I466" s="40">
        <v>-0.40044920565063613</v>
      </c>
      <c r="J466" s="40">
        <v>0.17035135607781737</v>
      </c>
    </row>
    <row r="467" spans="1:10" ht="11.25" customHeight="1" x14ac:dyDescent="0.2">
      <c r="A467" s="48" t="s">
        <v>25</v>
      </c>
      <c r="B467" s="39">
        <v>0</v>
      </c>
      <c r="C467" s="39">
        <v>0</v>
      </c>
      <c r="D467" s="39">
        <v>207106.08029999997</v>
      </c>
      <c r="E467" s="39">
        <v>297023.78791590407</v>
      </c>
      <c r="F467" s="39">
        <v>95719.783139999985</v>
      </c>
      <c r="G467" s="39">
        <v>57388.872016535839</v>
      </c>
      <c r="H467" s="40">
        <v>0.43416256773174089</v>
      </c>
      <c r="I467" s="40">
        <v>-0.40044920565063613</v>
      </c>
      <c r="J467" s="40">
        <v>0.17035135607781737</v>
      </c>
    </row>
    <row r="468" spans="1:10" ht="11.25" customHeight="1" x14ac:dyDescent="0.2">
      <c r="A468" s="49">
        <v>44440</v>
      </c>
      <c r="B468" s="39">
        <v>0</v>
      </c>
      <c r="C468" s="39">
        <v>0</v>
      </c>
      <c r="D468" s="39">
        <v>14613.19405</v>
      </c>
      <c r="E468" s="39">
        <v>20957.695901510197</v>
      </c>
      <c r="F468" s="39">
        <v>6753.8903899999996</v>
      </c>
      <c r="G468" s="39">
        <v>4049.3003482730342</v>
      </c>
      <c r="H468" s="40">
        <v>0.43416256773174089</v>
      </c>
      <c r="I468" s="40">
        <v>-0.40044920565063624</v>
      </c>
      <c r="J468" s="40">
        <v>0.17035135607781737</v>
      </c>
    </row>
    <row r="469" spans="1:10" ht="11.25" customHeight="1" x14ac:dyDescent="0.2">
      <c r="A469" s="49">
        <v>44470</v>
      </c>
      <c r="B469" s="39">
        <v>0</v>
      </c>
      <c r="C469" s="39">
        <v>0</v>
      </c>
      <c r="D469" s="39">
        <v>14089.5188</v>
      </c>
      <c r="E469" s="39">
        <v>20206.660460312632</v>
      </c>
      <c r="F469" s="39">
        <v>6511.8594400000002</v>
      </c>
      <c r="G469" s="39">
        <v>3904.1904999434028</v>
      </c>
      <c r="H469" s="40">
        <v>0.43416256773174067</v>
      </c>
      <c r="I469" s="40">
        <v>-0.40044920565063635</v>
      </c>
      <c r="J469" s="40">
        <v>0.17035135607781737</v>
      </c>
    </row>
    <row r="470" spans="1:10" ht="11.25" customHeight="1" x14ac:dyDescent="0.2">
      <c r="A470" s="49">
        <v>44501</v>
      </c>
      <c r="B470" s="39">
        <v>0</v>
      </c>
      <c r="C470" s="39">
        <v>0</v>
      </c>
      <c r="D470" s="39">
        <v>15063.989149999999</v>
      </c>
      <c r="E470" s="39">
        <v>21604.20935964708</v>
      </c>
      <c r="F470" s="39">
        <v>6962.2377699999997</v>
      </c>
      <c r="G470" s="39">
        <v>4174.2151854526428</v>
      </c>
      <c r="H470" s="40">
        <v>0.43416256773174067</v>
      </c>
      <c r="I470" s="40">
        <v>-0.40044920565063624</v>
      </c>
      <c r="J470" s="40">
        <v>0.17035135607781715</v>
      </c>
    </row>
    <row r="471" spans="1:10" ht="11.25" customHeight="1" x14ac:dyDescent="0.2">
      <c r="A471" s="49">
        <v>44531</v>
      </c>
      <c r="B471" s="39">
        <v>0</v>
      </c>
      <c r="C471" s="39">
        <v>0</v>
      </c>
      <c r="D471" s="39">
        <v>17449.7281</v>
      </c>
      <c r="E471" s="39">
        <v>25025.746858116712</v>
      </c>
      <c r="F471" s="39">
        <v>8064.8727800000006</v>
      </c>
      <c r="G471" s="39">
        <v>4835.300881575562</v>
      </c>
      <c r="H471" s="40">
        <v>0.43416256773174089</v>
      </c>
      <c r="I471" s="40">
        <v>-0.40044920565063624</v>
      </c>
      <c r="J471" s="40">
        <v>0.17035135607781737</v>
      </c>
    </row>
    <row r="472" spans="1:10" ht="11.25" customHeight="1" x14ac:dyDescent="0.2">
      <c r="A472" s="49">
        <v>44562</v>
      </c>
      <c r="B472" s="39">
        <v>0</v>
      </c>
      <c r="C472" s="39">
        <v>0</v>
      </c>
      <c r="D472" s="39">
        <v>15202.027049999999</v>
      </c>
      <c r="E472" s="39">
        <v>21802.178148755378</v>
      </c>
      <c r="F472" s="39">
        <v>7026.0357899999999</v>
      </c>
      <c r="G472" s="39">
        <v>4212.465339021559</v>
      </c>
      <c r="H472" s="40">
        <v>0.43416256773174067</v>
      </c>
      <c r="I472" s="40">
        <v>-0.40044920565063635</v>
      </c>
      <c r="J472" s="40">
        <v>0.17035135607781715</v>
      </c>
    </row>
    <row r="473" spans="1:10" ht="11.25" customHeight="1" x14ac:dyDescent="0.2">
      <c r="A473" s="49">
        <v>44593</v>
      </c>
      <c r="B473" s="39">
        <v>0</v>
      </c>
      <c r="C473" s="39">
        <v>0</v>
      </c>
      <c r="D473" s="39">
        <v>22042.142849999997</v>
      </c>
      <c r="E473" s="39">
        <v>31612.016188065827</v>
      </c>
      <c r="F473" s="39">
        <v>10187.383829999999</v>
      </c>
      <c r="G473" s="39">
        <v>6107.8540676183629</v>
      </c>
      <c r="H473" s="40">
        <v>0.43416256773174089</v>
      </c>
      <c r="I473" s="40">
        <v>-0.40044920565063624</v>
      </c>
      <c r="J473" s="40">
        <v>0.17035135607781737</v>
      </c>
    </row>
    <row r="474" spans="1:10" ht="11.25" customHeight="1" x14ac:dyDescent="0.2">
      <c r="A474" s="49">
        <v>44621</v>
      </c>
      <c r="B474" s="39">
        <v>0</v>
      </c>
      <c r="C474" s="39">
        <v>0</v>
      </c>
      <c r="D474" s="39">
        <v>26538.510249999999</v>
      </c>
      <c r="E474" s="39">
        <v>38060.53800391512</v>
      </c>
      <c r="F474" s="39">
        <v>12265.50395</v>
      </c>
      <c r="G474" s="39">
        <v>7353.7926363177585</v>
      </c>
      <c r="H474" s="40">
        <v>0.43416256773174067</v>
      </c>
      <c r="I474" s="40">
        <v>-0.40044920565063624</v>
      </c>
      <c r="J474" s="40">
        <v>0.17035135607781737</v>
      </c>
    </row>
    <row r="475" spans="1:10" ht="11.25" customHeight="1" x14ac:dyDescent="0.2">
      <c r="A475" s="49">
        <v>44652</v>
      </c>
      <c r="B475" s="39">
        <v>0</v>
      </c>
      <c r="C475" s="39">
        <v>0</v>
      </c>
      <c r="D475" s="39">
        <v>17964.233</v>
      </c>
      <c r="E475" s="39">
        <v>25763.630526611269</v>
      </c>
      <c r="F475" s="39">
        <v>8302.6653999999999</v>
      </c>
      <c r="G475" s="39">
        <v>4977.8696357869776</v>
      </c>
      <c r="H475" s="40">
        <v>0.43416256773174045</v>
      </c>
      <c r="I475" s="40">
        <v>-0.40044920565063624</v>
      </c>
      <c r="J475" s="40">
        <v>0.17035135607781715</v>
      </c>
    </row>
    <row r="476" spans="1:10" ht="11.25" customHeight="1" x14ac:dyDescent="0.2">
      <c r="A476" s="49">
        <v>44682</v>
      </c>
      <c r="B476" s="39">
        <v>0</v>
      </c>
      <c r="C476" s="39">
        <v>0</v>
      </c>
      <c r="D476" s="39">
        <v>16835.797299999998</v>
      </c>
      <c r="E476" s="39">
        <v>24145.270285579107</v>
      </c>
      <c r="F476" s="39">
        <v>7781.127739999999</v>
      </c>
      <c r="G476" s="39">
        <v>4665.1813174508688</v>
      </c>
      <c r="H476" s="40">
        <v>0.43416256773174089</v>
      </c>
      <c r="I476" s="40">
        <v>-0.40044920565063624</v>
      </c>
      <c r="J476" s="40">
        <v>0.17035135607781737</v>
      </c>
    </row>
    <row r="477" spans="1:10" ht="11.25" customHeight="1" x14ac:dyDescent="0.2">
      <c r="A477" s="49">
        <v>44713</v>
      </c>
      <c r="B477" s="39">
        <v>0</v>
      </c>
      <c r="C477" s="39">
        <v>0</v>
      </c>
      <c r="D477" s="39">
        <v>15179.825149999999</v>
      </c>
      <c r="E477" s="39">
        <v>21770.337014842855</v>
      </c>
      <c r="F477" s="39">
        <v>7015.7745699999996</v>
      </c>
      <c r="G477" s="39">
        <v>4206.3132164195658</v>
      </c>
      <c r="H477" s="40">
        <v>0.43416256773174067</v>
      </c>
      <c r="I477" s="40">
        <v>-0.40044920565063624</v>
      </c>
      <c r="J477" s="40">
        <v>0.17035135607781737</v>
      </c>
    </row>
    <row r="478" spans="1:10" ht="11.25" customHeight="1" x14ac:dyDescent="0.2">
      <c r="A478" s="49">
        <v>44743</v>
      </c>
      <c r="B478" s="39">
        <v>0</v>
      </c>
      <c r="C478" s="39">
        <v>0</v>
      </c>
      <c r="D478" s="39">
        <v>14236.72705</v>
      </c>
      <c r="E478" s="39">
        <v>20417.781022123931</v>
      </c>
      <c r="F478" s="39">
        <v>6579.8957899999996</v>
      </c>
      <c r="G478" s="39">
        <v>3944.9817476305343</v>
      </c>
      <c r="H478" s="40">
        <v>0.43416256773174089</v>
      </c>
      <c r="I478" s="40">
        <v>-0.40044920565063624</v>
      </c>
      <c r="J478" s="40">
        <v>0.17035135607781737</v>
      </c>
    </row>
    <row r="479" spans="1:10" ht="11.25" customHeight="1" x14ac:dyDescent="0.2">
      <c r="A479" s="49">
        <v>44774</v>
      </c>
      <c r="B479" s="39">
        <v>0</v>
      </c>
      <c r="C479" s="39">
        <v>0</v>
      </c>
      <c r="D479" s="39">
        <v>17890.387549999999</v>
      </c>
      <c r="E479" s="39">
        <v>25657.724146423967</v>
      </c>
      <c r="F479" s="39">
        <v>8268.5356900000006</v>
      </c>
      <c r="G479" s="39">
        <v>4957.4071410455645</v>
      </c>
      <c r="H479" s="40">
        <v>0.43416256773174089</v>
      </c>
      <c r="I479" s="40">
        <v>-0.40044920565063635</v>
      </c>
      <c r="J479" s="40">
        <v>0.17035135607781737</v>
      </c>
    </row>
    <row r="480" spans="1:10" ht="11.25" customHeight="1" x14ac:dyDescent="0.2">
      <c r="A480" s="44" t="s">
        <v>48</v>
      </c>
      <c r="B480" s="39">
        <v>0</v>
      </c>
      <c r="C480" s="39">
        <v>0</v>
      </c>
      <c r="D480" s="39">
        <v>134543.88081399997</v>
      </c>
      <c r="E480" s="39">
        <v>192957.7975807995</v>
      </c>
      <c r="F480" s="39">
        <v>62183.162733199999</v>
      </c>
      <c r="G480" s="39">
        <v>37281.964611845804</v>
      </c>
      <c r="H480" s="40">
        <v>0.43416256773174067</v>
      </c>
      <c r="I480" s="40">
        <v>-0.40044920565063635</v>
      </c>
      <c r="J480" s="40">
        <v>0.17035135607781715</v>
      </c>
    </row>
    <row r="481" spans="1:10" ht="11.25" customHeight="1" x14ac:dyDescent="0.2">
      <c r="A481" s="45" t="s">
        <v>49</v>
      </c>
      <c r="B481" s="39">
        <v>0</v>
      </c>
      <c r="C481" s="39">
        <v>0</v>
      </c>
      <c r="D481" s="39">
        <v>134543.88081399997</v>
      </c>
      <c r="E481" s="39">
        <v>192957.7975807995</v>
      </c>
      <c r="F481" s="39">
        <v>62183.162733199999</v>
      </c>
      <c r="G481" s="39">
        <v>37281.964611845804</v>
      </c>
      <c r="H481" s="40">
        <v>0.43416256773174067</v>
      </c>
      <c r="I481" s="40">
        <v>-0.40044920565063635</v>
      </c>
      <c r="J481" s="40">
        <v>0.17035135607781715</v>
      </c>
    </row>
    <row r="482" spans="1:10" ht="11.25" customHeight="1" x14ac:dyDescent="0.2">
      <c r="A482" s="46" t="s">
        <v>25</v>
      </c>
      <c r="B482" s="39">
        <v>0</v>
      </c>
      <c r="C482" s="39">
        <v>0</v>
      </c>
      <c r="D482" s="39">
        <v>134543.88081399997</v>
      </c>
      <c r="E482" s="39">
        <v>192957.7975807995</v>
      </c>
      <c r="F482" s="39">
        <v>62183.162733199999</v>
      </c>
      <c r="G482" s="39">
        <v>37281.964611845804</v>
      </c>
      <c r="H482" s="40">
        <v>0.43416256773174067</v>
      </c>
      <c r="I482" s="40">
        <v>-0.40044920565063635</v>
      </c>
      <c r="J482" s="40">
        <v>0.17035135607781715</v>
      </c>
    </row>
    <row r="483" spans="1:10" ht="11.25" customHeight="1" x14ac:dyDescent="0.2">
      <c r="A483" s="47" t="s">
        <v>25</v>
      </c>
      <c r="B483" s="39">
        <v>0</v>
      </c>
      <c r="C483" s="39">
        <v>0</v>
      </c>
      <c r="D483" s="39">
        <v>134543.88081399997</v>
      </c>
      <c r="E483" s="39">
        <v>192957.7975807995</v>
      </c>
      <c r="F483" s="39">
        <v>62183.162733199999</v>
      </c>
      <c r="G483" s="39">
        <v>37281.964611845804</v>
      </c>
      <c r="H483" s="40">
        <v>0.43416256773174067</v>
      </c>
      <c r="I483" s="40">
        <v>-0.40044920565063635</v>
      </c>
      <c r="J483" s="40">
        <v>0.17035135607781715</v>
      </c>
    </row>
    <row r="484" spans="1:10" ht="11.25" customHeight="1" x14ac:dyDescent="0.2">
      <c r="A484" s="48" t="s">
        <v>25</v>
      </c>
      <c r="B484" s="39">
        <v>0</v>
      </c>
      <c r="C484" s="39">
        <v>0</v>
      </c>
      <c r="D484" s="39">
        <v>134543.88081399997</v>
      </c>
      <c r="E484" s="39">
        <v>192957.7975807995</v>
      </c>
      <c r="F484" s="39">
        <v>62183.162733199999</v>
      </c>
      <c r="G484" s="39">
        <v>37281.964611845804</v>
      </c>
      <c r="H484" s="40">
        <v>0.43416256773174067</v>
      </c>
      <c r="I484" s="40">
        <v>-0.40044920565063635</v>
      </c>
      <c r="J484" s="40">
        <v>0.17035135607781715</v>
      </c>
    </row>
    <row r="485" spans="1:10" ht="11.25" customHeight="1" x14ac:dyDescent="0.2">
      <c r="A485" s="49">
        <v>44440</v>
      </c>
      <c r="B485" s="39">
        <v>0</v>
      </c>
      <c r="C485" s="39">
        <v>0</v>
      </c>
      <c r="D485" s="39">
        <v>10478.447335999999</v>
      </c>
      <c r="E485" s="39">
        <v>15027.796937239576</v>
      </c>
      <c r="F485" s="39">
        <v>4842.9032367999998</v>
      </c>
      <c r="G485" s="39">
        <v>2903.5664825805447</v>
      </c>
      <c r="H485" s="40">
        <v>0.43416256773174067</v>
      </c>
      <c r="I485" s="40">
        <v>-0.40044920565063624</v>
      </c>
      <c r="J485" s="40">
        <v>0.17035135607781737</v>
      </c>
    </row>
    <row r="486" spans="1:10" ht="11.25" customHeight="1" x14ac:dyDescent="0.2">
      <c r="A486" s="49">
        <v>44470</v>
      </c>
      <c r="B486" s="39">
        <v>0</v>
      </c>
      <c r="C486" s="39">
        <v>0</v>
      </c>
      <c r="D486" s="39">
        <v>9281.6104779999987</v>
      </c>
      <c r="E486" s="39">
        <v>13311.338315814308</v>
      </c>
      <c r="F486" s="39">
        <v>4289.7520963999996</v>
      </c>
      <c r="G486" s="39">
        <v>2571.924276958468</v>
      </c>
      <c r="H486" s="40">
        <v>0.43416256773174067</v>
      </c>
      <c r="I486" s="40">
        <v>-0.40044920565063624</v>
      </c>
      <c r="J486" s="40">
        <v>0.17035135607781715</v>
      </c>
    </row>
    <row r="487" spans="1:10" ht="11.25" customHeight="1" x14ac:dyDescent="0.2">
      <c r="A487" s="49">
        <v>44501</v>
      </c>
      <c r="B487" s="39">
        <v>0</v>
      </c>
      <c r="C487" s="39">
        <v>0</v>
      </c>
      <c r="D487" s="39">
        <v>10275.193767999999</v>
      </c>
      <c r="E487" s="39">
        <v>14736.298278256059</v>
      </c>
      <c r="F487" s="39">
        <v>4748.9639983999996</v>
      </c>
      <c r="G487" s="39">
        <v>2847.2451375772507</v>
      </c>
      <c r="H487" s="40">
        <v>0.43416256773174067</v>
      </c>
      <c r="I487" s="40">
        <v>-0.40044920565063613</v>
      </c>
      <c r="J487" s="40">
        <v>0.17035135607781715</v>
      </c>
    </row>
    <row r="488" spans="1:10" ht="11.25" customHeight="1" x14ac:dyDescent="0.2">
      <c r="A488" s="49">
        <v>44531</v>
      </c>
      <c r="B488" s="39">
        <v>0</v>
      </c>
      <c r="C488" s="39">
        <v>0</v>
      </c>
      <c r="D488" s="39">
        <v>9795.6423809999997</v>
      </c>
      <c r="E488" s="39">
        <v>14048.543629716822</v>
      </c>
      <c r="F488" s="39">
        <v>4527.3261077999996</v>
      </c>
      <c r="G488" s="39">
        <v>2714.361964210103</v>
      </c>
      <c r="H488" s="40">
        <v>0.43416256773174067</v>
      </c>
      <c r="I488" s="40">
        <v>-0.40044920565063624</v>
      </c>
      <c r="J488" s="40">
        <v>0.17035135607781715</v>
      </c>
    </row>
    <row r="489" spans="1:10" ht="11.25" customHeight="1" x14ac:dyDescent="0.2">
      <c r="A489" s="49">
        <v>44562</v>
      </c>
      <c r="B489" s="39">
        <v>0</v>
      </c>
      <c r="C489" s="39">
        <v>0</v>
      </c>
      <c r="D489" s="39">
        <v>13418.818706999999</v>
      </c>
      <c r="E489" s="39">
        <v>19244.767492757837</v>
      </c>
      <c r="F489" s="39">
        <v>6201.8769065999995</v>
      </c>
      <c r="G489" s="39">
        <v>3718.3402258090046</v>
      </c>
      <c r="H489" s="40">
        <v>0.43416256773174089</v>
      </c>
      <c r="I489" s="40">
        <v>-0.40044920565063624</v>
      </c>
      <c r="J489" s="40">
        <v>0.17035135607781737</v>
      </c>
    </row>
    <row r="490" spans="1:10" ht="11.25" customHeight="1" x14ac:dyDescent="0.2">
      <c r="A490" s="49">
        <v>44593</v>
      </c>
      <c r="B490" s="39">
        <v>0</v>
      </c>
      <c r="C490" s="39">
        <v>0</v>
      </c>
      <c r="D490" s="39">
        <v>14640.608569999999</v>
      </c>
      <c r="E490" s="39">
        <v>20997.012779906527</v>
      </c>
      <c r="F490" s="39">
        <v>6766.5607659999996</v>
      </c>
      <c r="G490" s="39">
        <v>4056.8968822685392</v>
      </c>
      <c r="H490" s="40">
        <v>0.43416256773174067</v>
      </c>
      <c r="I490" s="40">
        <v>-0.40044920565063624</v>
      </c>
      <c r="J490" s="40">
        <v>0.17035135607781715</v>
      </c>
    </row>
    <row r="491" spans="1:10" ht="11.25" customHeight="1" x14ac:dyDescent="0.2">
      <c r="A491" s="49">
        <v>44621</v>
      </c>
      <c r="B491" s="39">
        <v>0</v>
      </c>
      <c r="C491" s="39">
        <v>0</v>
      </c>
      <c r="D491" s="39">
        <v>13667.441374999999</v>
      </c>
      <c r="E491" s="39">
        <v>19601.332816693033</v>
      </c>
      <c r="F491" s="39">
        <v>6316.7847249999995</v>
      </c>
      <c r="G491" s="39">
        <v>3787.2332996076771</v>
      </c>
      <c r="H491" s="40">
        <v>0.43416256773174089</v>
      </c>
      <c r="I491" s="40">
        <v>-0.40044920565063624</v>
      </c>
      <c r="J491" s="40">
        <v>0.17035135607781737</v>
      </c>
    </row>
    <row r="492" spans="1:10" ht="11.25" customHeight="1" x14ac:dyDescent="0.2">
      <c r="A492" s="49">
        <v>44652</v>
      </c>
      <c r="B492" s="39">
        <v>0</v>
      </c>
      <c r="C492" s="39">
        <v>0</v>
      </c>
      <c r="D492" s="39">
        <v>11080.495292999998</v>
      </c>
      <c r="E492" s="39">
        <v>15891.231581148346</v>
      </c>
      <c r="F492" s="39">
        <v>5121.1562933999994</v>
      </c>
      <c r="G492" s="39">
        <v>3070.393323695213</v>
      </c>
      <c r="H492" s="40">
        <v>0.43416256773174089</v>
      </c>
      <c r="I492" s="40">
        <v>-0.40044920565063624</v>
      </c>
      <c r="J492" s="40">
        <v>0.1703513560778176</v>
      </c>
    </row>
    <row r="493" spans="1:10" ht="11.25" customHeight="1" x14ac:dyDescent="0.2">
      <c r="A493" s="49">
        <v>44682</v>
      </c>
      <c r="B493" s="39">
        <v>0</v>
      </c>
      <c r="C493" s="39">
        <v>0</v>
      </c>
      <c r="D493" s="39">
        <v>11451.614530999999</v>
      </c>
      <c r="E493" s="39">
        <v>16423.476900453072</v>
      </c>
      <c r="F493" s="39">
        <v>5292.6792777999999</v>
      </c>
      <c r="G493" s="39">
        <v>3173.2300652414065</v>
      </c>
      <c r="H493" s="40">
        <v>0.43416256773174067</v>
      </c>
      <c r="I493" s="40">
        <v>-0.40044920565063635</v>
      </c>
      <c r="J493" s="40">
        <v>0.17035135607781693</v>
      </c>
    </row>
    <row r="494" spans="1:10" ht="11.25" customHeight="1" x14ac:dyDescent="0.2">
      <c r="A494" s="49">
        <v>44713</v>
      </c>
      <c r="B494" s="39">
        <v>0</v>
      </c>
      <c r="C494" s="39">
        <v>0</v>
      </c>
      <c r="D494" s="39">
        <v>10388.162827</v>
      </c>
      <c r="E494" s="39">
        <v>14898.314273985738</v>
      </c>
      <c r="F494" s="39">
        <v>4801.1757625999999</v>
      </c>
      <c r="G494" s="39">
        <v>2878.5487422777419</v>
      </c>
      <c r="H494" s="40">
        <v>0.43416256773174067</v>
      </c>
      <c r="I494" s="40">
        <v>-0.40044920565063635</v>
      </c>
      <c r="J494" s="40">
        <v>0.17035135607781715</v>
      </c>
    </row>
    <row r="495" spans="1:10" ht="11.25" customHeight="1" x14ac:dyDescent="0.2">
      <c r="A495" s="49">
        <v>44743</v>
      </c>
      <c r="B495" s="39">
        <v>0</v>
      </c>
      <c r="C495" s="39">
        <v>0</v>
      </c>
      <c r="D495" s="39">
        <v>8725.3853120000003</v>
      </c>
      <c r="E495" s="39">
        <v>12513.621003506736</v>
      </c>
      <c r="F495" s="39">
        <v>4032.6773055999997</v>
      </c>
      <c r="G495" s="39">
        <v>2417.7948819271319</v>
      </c>
      <c r="H495" s="40">
        <v>0.43416256773174067</v>
      </c>
      <c r="I495" s="40">
        <v>-0.40044920565063624</v>
      </c>
      <c r="J495" s="40">
        <v>0.17035135607781715</v>
      </c>
    </row>
    <row r="496" spans="1:10" ht="11.25" customHeight="1" x14ac:dyDescent="0.2">
      <c r="A496" s="49">
        <v>44774</v>
      </c>
      <c r="B496" s="39">
        <v>0</v>
      </c>
      <c r="C496" s="39">
        <v>0</v>
      </c>
      <c r="D496" s="39">
        <v>11340.460235999999</v>
      </c>
      <c r="E496" s="39">
        <v>16264.063571321461</v>
      </c>
      <c r="F496" s="39">
        <v>5241.3062567999996</v>
      </c>
      <c r="G496" s="39">
        <v>3142.4293296927303</v>
      </c>
      <c r="H496" s="40">
        <v>0.43416256773174067</v>
      </c>
      <c r="I496" s="40">
        <v>-0.40044920565063624</v>
      </c>
      <c r="J496" s="40">
        <v>0.1703513560778176</v>
      </c>
    </row>
    <row r="497" spans="1:10" ht="11.25" customHeight="1" x14ac:dyDescent="0.2">
      <c r="A497" s="42" t="s">
        <v>45</v>
      </c>
      <c r="B497" s="39">
        <v>0</v>
      </c>
      <c r="C497" s="39">
        <v>0</v>
      </c>
      <c r="D497" s="39">
        <v>1102564.9842900001</v>
      </c>
      <c r="E497" s="39">
        <v>1581257.428960453</v>
      </c>
      <c r="F497" s="39">
        <v>509573.18104</v>
      </c>
      <c r="G497" s="39">
        <v>305519.57084831485</v>
      </c>
      <c r="H497" s="40">
        <v>0.43416256773174089</v>
      </c>
      <c r="I497" s="40">
        <v>-0.40044024643374543</v>
      </c>
      <c r="J497" s="40">
        <v>0.17035688403453308</v>
      </c>
    </row>
    <row r="498" spans="1:10" ht="11.25" customHeight="1" x14ac:dyDescent="0.2">
      <c r="A498" s="43" t="s">
        <v>23</v>
      </c>
      <c r="B498" s="39">
        <v>0</v>
      </c>
      <c r="C498" s="39">
        <v>0</v>
      </c>
      <c r="D498" s="39">
        <v>1102564.9842900001</v>
      </c>
      <c r="E498" s="39">
        <v>1581257.428960453</v>
      </c>
      <c r="F498" s="39">
        <v>509573.18104</v>
      </c>
      <c r="G498" s="39">
        <v>305519.57084831485</v>
      </c>
      <c r="H498" s="40">
        <v>0.43416256773174089</v>
      </c>
      <c r="I498" s="40">
        <v>-0.40044024643374543</v>
      </c>
      <c r="J498" s="40">
        <v>0.17035688403453308</v>
      </c>
    </row>
    <row r="499" spans="1:10" ht="11.25" customHeight="1" x14ac:dyDescent="0.2">
      <c r="A499" s="44" t="s">
        <v>46</v>
      </c>
      <c r="B499" s="39">
        <v>0</v>
      </c>
      <c r="C499" s="39">
        <v>0</v>
      </c>
      <c r="D499" s="39">
        <v>1102564.9842900001</v>
      </c>
      <c r="E499" s="39">
        <v>1581257.428960453</v>
      </c>
      <c r="F499" s="39">
        <v>509573.18104</v>
      </c>
      <c r="G499" s="39">
        <v>305519.57084831485</v>
      </c>
      <c r="H499" s="40">
        <v>0.43416256773174089</v>
      </c>
      <c r="I499" s="40">
        <v>-0.40044024643374543</v>
      </c>
      <c r="J499" s="40">
        <v>0.17035688403453308</v>
      </c>
    </row>
    <row r="500" spans="1:10" ht="11.25" customHeight="1" x14ac:dyDescent="0.2">
      <c r="A500" s="45" t="s">
        <v>47</v>
      </c>
      <c r="B500" s="39">
        <v>0</v>
      </c>
      <c r="C500" s="39">
        <v>0</v>
      </c>
      <c r="D500" s="39">
        <v>1102564.9842900001</v>
      </c>
      <c r="E500" s="39">
        <v>1581257.428960453</v>
      </c>
      <c r="F500" s="39">
        <v>509573.18104</v>
      </c>
      <c r="G500" s="39">
        <v>305519.57084831485</v>
      </c>
      <c r="H500" s="40">
        <v>0.43416256773174089</v>
      </c>
      <c r="I500" s="40">
        <v>-0.40044024643374543</v>
      </c>
      <c r="J500" s="40">
        <v>0.17035688403453308</v>
      </c>
    </row>
    <row r="501" spans="1:10" ht="11.25" customHeight="1" x14ac:dyDescent="0.2">
      <c r="A501" s="46" t="s">
        <v>25</v>
      </c>
      <c r="B501" s="39">
        <v>0</v>
      </c>
      <c r="C501" s="39">
        <v>0</v>
      </c>
      <c r="D501" s="39">
        <v>1102564.9842900001</v>
      </c>
      <c r="E501" s="39">
        <v>1581257.428960453</v>
      </c>
      <c r="F501" s="39">
        <v>509573.18104</v>
      </c>
      <c r="G501" s="39">
        <v>305519.57084831485</v>
      </c>
      <c r="H501" s="40">
        <v>0.43416256773174089</v>
      </c>
      <c r="I501" s="40">
        <v>-0.40044024643374543</v>
      </c>
      <c r="J501" s="40">
        <v>0.17035688403453308</v>
      </c>
    </row>
    <row r="502" spans="1:10" ht="11.25" customHeight="1" x14ac:dyDescent="0.2">
      <c r="A502" s="47" t="s">
        <v>25</v>
      </c>
      <c r="B502" s="39">
        <v>0</v>
      </c>
      <c r="C502" s="39">
        <v>0</v>
      </c>
      <c r="D502" s="39">
        <v>1102564.9842900001</v>
      </c>
      <c r="E502" s="39">
        <v>1581257.428960453</v>
      </c>
      <c r="F502" s="39">
        <v>509573.18104</v>
      </c>
      <c r="G502" s="39">
        <v>305519.57084831485</v>
      </c>
      <c r="H502" s="40">
        <v>0.43416256773174089</v>
      </c>
      <c r="I502" s="40">
        <v>-0.40044024643374543</v>
      </c>
      <c r="J502" s="40">
        <v>0.17035688403453308</v>
      </c>
    </row>
    <row r="503" spans="1:10" ht="11.25" customHeight="1" x14ac:dyDescent="0.2">
      <c r="A503" s="48" t="s">
        <v>25</v>
      </c>
      <c r="B503" s="39">
        <v>0</v>
      </c>
      <c r="C503" s="39">
        <v>0</v>
      </c>
      <c r="D503" s="39">
        <v>1102564.9842900001</v>
      </c>
      <c r="E503" s="39">
        <v>1581257.428960453</v>
      </c>
      <c r="F503" s="39">
        <v>509573.18104</v>
      </c>
      <c r="G503" s="39">
        <v>305519.57084831485</v>
      </c>
      <c r="H503" s="40">
        <v>0.43416256773174089</v>
      </c>
      <c r="I503" s="40">
        <v>-0.40044024643374543</v>
      </c>
      <c r="J503" s="40">
        <v>0.17035688403453308</v>
      </c>
    </row>
    <row r="504" spans="1:10" ht="11.25" customHeight="1" x14ac:dyDescent="0.2">
      <c r="A504" s="49">
        <v>44440</v>
      </c>
      <c r="B504" s="39">
        <v>0</v>
      </c>
      <c r="C504" s="39">
        <v>0</v>
      </c>
      <c r="D504" s="39">
        <v>89212.253759999992</v>
      </c>
      <c r="E504" s="39">
        <v>127944.87492557726</v>
      </c>
      <c r="F504" s="39">
        <v>41231.285760000006</v>
      </c>
      <c r="G504" s="39">
        <v>24720.619529485426</v>
      </c>
      <c r="H504" s="40">
        <v>0.43416256773174111</v>
      </c>
      <c r="I504" s="40">
        <v>-0.40044024643374543</v>
      </c>
      <c r="J504" s="40">
        <v>0.17035688403453308</v>
      </c>
    </row>
    <row r="505" spans="1:10" ht="11.25" customHeight="1" x14ac:dyDescent="0.2">
      <c r="A505" s="49">
        <v>44470</v>
      </c>
      <c r="B505" s="39">
        <v>0</v>
      </c>
      <c r="C505" s="39">
        <v>0</v>
      </c>
      <c r="D505" s="39">
        <v>89269.592579999997</v>
      </c>
      <c r="E505" s="39">
        <v>128027.10811489915</v>
      </c>
      <c r="F505" s="39">
        <v>41257.786079999998</v>
      </c>
      <c r="G505" s="39">
        <v>24736.508054814054</v>
      </c>
      <c r="H505" s="40">
        <v>0.43416256773174089</v>
      </c>
      <c r="I505" s="40">
        <v>-0.40044024643374521</v>
      </c>
      <c r="J505" s="40">
        <v>0.17035688403453308</v>
      </c>
    </row>
    <row r="506" spans="1:10" ht="11.25" customHeight="1" x14ac:dyDescent="0.2">
      <c r="A506" s="49">
        <v>44501</v>
      </c>
      <c r="B506" s="39">
        <v>0</v>
      </c>
      <c r="C506" s="39">
        <v>0</v>
      </c>
      <c r="D506" s="39">
        <v>89416.414709999997</v>
      </c>
      <c r="E506" s="39">
        <v>128237.6749178598</v>
      </c>
      <c r="F506" s="39">
        <v>41325.642960000005</v>
      </c>
      <c r="G506" s="39">
        <v>24777.192309064627</v>
      </c>
      <c r="H506" s="40">
        <v>0.43416256773174089</v>
      </c>
      <c r="I506" s="40">
        <v>-0.40044024643374543</v>
      </c>
      <c r="J506" s="40">
        <v>0.17035688403453308</v>
      </c>
    </row>
    <row r="507" spans="1:10" ht="11.25" customHeight="1" x14ac:dyDescent="0.2">
      <c r="A507" s="49">
        <v>44531</v>
      </c>
      <c r="B507" s="39">
        <v>0</v>
      </c>
      <c r="C507" s="39">
        <v>0</v>
      </c>
      <c r="D507" s="39">
        <v>91425.590129999997</v>
      </c>
      <c r="E507" s="39">
        <v>131119.1590972305</v>
      </c>
      <c r="F507" s="39">
        <v>42254.224880000002</v>
      </c>
      <c r="G507" s="39">
        <v>25333.932656185909</v>
      </c>
      <c r="H507" s="40">
        <v>0.43416256773174089</v>
      </c>
      <c r="I507" s="40">
        <v>-0.40044024643374532</v>
      </c>
      <c r="J507" s="40">
        <v>0.17035688403453308</v>
      </c>
    </row>
    <row r="508" spans="1:10" ht="11.25" customHeight="1" x14ac:dyDescent="0.2">
      <c r="A508" s="49">
        <v>44562</v>
      </c>
      <c r="B508" s="39">
        <v>0</v>
      </c>
      <c r="C508" s="39">
        <v>0</v>
      </c>
      <c r="D508" s="39">
        <v>91887.196589999992</v>
      </c>
      <c r="E508" s="39">
        <v>131781.17780318565</v>
      </c>
      <c r="F508" s="39">
        <v>42467.565840000003</v>
      </c>
      <c r="G508" s="39">
        <v>25461.843309589094</v>
      </c>
      <c r="H508" s="40">
        <v>0.43416256773174089</v>
      </c>
      <c r="I508" s="40">
        <v>-0.40044024643374543</v>
      </c>
      <c r="J508" s="40">
        <v>0.17035688403453286</v>
      </c>
    </row>
    <row r="509" spans="1:10" ht="11.25" customHeight="1" x14ac:dyDescent="0.2">
      <c r="A509" s="49">
        <v>44593</v>
      </c>
      <c r="B509" s="39">
        <v>0</v>
      </c>
      <c r="C509" s="39">
        <v>0</v>
      </c>
      <c r="D509" s="39">
        <v>91887.196589999992</v>
      </c>
      <c r="E509" s="39">
        <v>131781.17780318565</v>
      </c>
      <c r="F509" s="39">
        <v>42467.565840000003</v>
      </c>
      <c r="G509" s="39">
        <v>25461.843309589094</v>
      </c>
      <c r="H509" s="40">
        <v>0.43416256773174089</v>
      </c>
      <c r="I509" s="40">
        <v>-0.40044024643374543</v>
      </c>
      <c r="J509" s="40">
        <v>0.17035688403453286</v>
      </c>
    </row>
    <row r="510" spans="1:10" ht="11.25" customHeight="1" x14ac:dyDescent="0.2">
      <c r="A510" s="49">
        <v>44621</v>
      </c>
      <c r="B510" s="39">
        <v>0</v>
      </c>
      <c r="C510" s="39">
        <v>0</v>
      </c>
      <c r="D510" s="39">
        <v>92190.397319999989</v>
      </c>
      <c r="E510" s="39">
        <v>132216.0169406606</v>
      </c>
      <c r="F510" s="39">
        <v>42607.696320000003</v>
      </c>
      <c r="G510" s="39">
        <v>25545.859905645018</v>
      </c>
      <c r="H510" s="40">
        <v>0.43416256773174111</v>
      </c>
      <c r="I510" s="40">
        <v>-0.40044024643374532</v>
      </c>
      <c r="J510" s="40">
        <v>0.17035688403453331</v>
      </c>
    </row>
    <row r="511" spans="1:10" ht="11.25" customHeight="1" x14ac:dyDescent="0.2">
      <c r="A511" s="49">
        <v>44652</v>
      </c>
      <c r="B511" s="39">
        <v>0</v>
      </c>
      <c r="C511" s="39">
        <v>0</v>
      </c>
      <c r="D511" s="39">
        <v>92355.753209999981</v>
      </c>
      <c r="E511" s="39">
        <v>132453.16416845255</v>
      </c>
      <c r="F511" s="39">
        <v>42684.11896</v>
      </c>
      <c r="G511" s="39">
        <v>25591.6798448503</v>
      </c>
      <c r="H511" s="40">
        <v>0.43416256773174089</v>
      </c>
      <c r="I511" s="40">
        <v>-0.40044024643374532</v>
      </c>
      <c r="J511" s="40">
        <v>0.17035688403453308</v>
      </c>
    </row>
    <row r="512" spans="1:10" ht="11.25" customHeight="1" x14ac:dyDescent="0.2">
      <c r="A512" s="49">
        <v>44682</v>
      </c>
      <c r="B512" s="39">
        <v>0</v>
      </c>
      <c r="C512" s="39">
        <v>0</v>
      </c>
      <c r="D512" s="39">
        <v>92808.671969999996</v>
      </c>
      <c r="E512" s="39">
        <v>133102.72330026803</v>
      </c>
      <c r="F512" s="39">
        <v>42893.44472</v>
      </c>
      <c r="G512" s="39">
        <v>25717.183145930969</v>
      </c>
      <c r="H512" s="40">
        <v>0.43416256773174067</v>
      </c>
      <c r="I512" s="40">
        <v>-0.40044024643374532</v>
      </c>
      <c r="J512" s="40">
        <v>0.17035688403453308</v>
      </c>
    </row>
    <row r="513" spans="1:10" ht="11.25" customHeight="1" x14ac:dyDescent="0.2">
      <c r="A513" s="49">
        <v>44713</v>
      </c>
      <c r="B513" s="39">
        <v>0</v>
      </c>
      <c r="C513" s="39">
        <v>0</v>
      </c>
      <c r="D513" s="39">
        <v>93336.594539999991</v>
      </c>
      <c r="E513" s="39">
        <v>133859.85008882277</v>
      </c>
      <c r="F513" s="39">
        <v>43137.435039999997</v>
      </c>
      <c r="G513" s="39">
        <v>25863.469922062719</v>
      </c>
      <c r="H513" s="40">
        <v>0.43416256773174089</v>
      </c>
      <c r="I513" s="40">
        <v>-0.40044024643374532</v>
      </c>
      <c r="J513" s="40">
        <v>0.17035688403453308</v>
      </c>
    </row>
    <row r="514" spans="1:10" ht="11.25" customHeight="1" x14ac:dyDescent="0.2">
      <c r="A514" s="49">
        <v>44743</v>
      </c>
      <c r="B514" s="39">
        <v>0</v>
      </c>
      <c r="C514" s="39">
        <v>0</v>
      </c>
      <c r="D514" s="39">
        <v>97175.109989999983</v>
      </c>
      <c r="E514" s="39">
        <v>139364.90526287272</v>
      </c>
      <c r="F514" s="39">
        <v>44911.484239999998</v>
      </c>
      <c r="G514" s="39">
        <v>26927.118423229131</v>
      </c>
      <c r="H514" s="40">
        <v>0.43416256773174089</v>
      </c>
      <c r="I514" s="40">
        <v>-0.40044024643374532</v>
      </c>
      <c r="J514" s="40">
        <v>0.17035688403453308</v>
      </c>
    </row>
    <row r="515" spans="1:10" ht="11.25" customHeight="1" x14ac:dyDescent="0.2">
      <c r="A515" s="49">
        <v>44774</v>
      </c>
      <c r="B515" s="39">
        <v>0</v>
      </c>
      <c r="C515" s="39">
        <v>0</v>
      </c>
      <c r="D515" s="39">
        <v>91600.212899999999</v>
      </c>
      <c r="E515" s="39">
        <v>131369.59653743813</v>
      </c>
      <c r="F515" s="39">
        <v>42334.930400000005</v>
      </c>
      <c r="G515" s="39">
        <v>25382.320437868544</v>
      </c>
      <c r="H515" s="40">
        <v>0.43416256773174089</v>
      </c>
      <c r="I515" s="40">
        <v>-0.40044024643374543</v>
      </c>
      <c r="J515" s="40">
        <v>0.17035688403453308</v>
      </c>
    </row>
    <row r="516" spans="1:10" ht="11.25" customHeight="1" x14ac:dyDescent="0.2">
      <c r="A516" s="41" t="s">
        <v>52</v>
      </c>
      <c r="B516" s="39">
        <v>430474.36320000002</v>
      </c>
      <c r="C516" s="39">
        <v>588107.01843288587</v>
      </c>
      <c r="D516" s="39">
        <v>145203.56237585598</v>
      </c>
      <c r="E516" s="39">
        <v>204452.68646367919</v>
      </c>
      <c r="F516" s="39">
        <v>0</v>
      </c>
      <c r="G516" s="39">
        <v>0</v>
      </c>
      <c r="H516" s="40">
        <v>0.37674152453172494</v>
      </c>
      <c r="I516" s="40">
        <v>0</v>
      </c>
      <c r="J516" s="40">
        <v>0.37674152453172494</v>
      </c>
    </row>
    <row r="517" spans="1:10" ht="11.25" customHeight="1" x14ac:dyDescent="0.2">
      <c r="A517" s="42" t="s">
        <v>39</v>
      </c>
      <c r="B517" s="39">
        <v>430474.36320000002</v>
      </c>
      <c r="C517" s="39">
        <v>588107.01843288587</v>
      </c>
      <c r="D517" s="39">
        <v>145203.56237585598</v>
      </c>
      <c r="E517" s="39">
        <v>204452.68646367919</v>
      </c>
      <c r="F517" s="39">
        <v>0</v>
      </c>
      <c r="G517" s="39">
        <v>0</v>
      </c>
      <c r="H517" s="40">
        <v>0.37674152453172494</v>
      </c>
      <c r="I517" s="40">
        <v>0</v>
      </c>
      <c r="J517" s="40">
        <v>0.37674152453172494</v>
      </c>
    </row>
    <row r="518" spans="1:10" ht="11.25" customHeight="1" x14ac:dyDescent="0.2">
      <c r="A518" s="43" t="s">
        <v>40</v>
      </c>
      <c r="B518" s="39">
        <v>430474.36320000002</v>
      </c>
      <c r="C518" s="39">
        <v>588107.01843288587</v>
      </c>
      <c r="D518" s="39">
        <v>145203.56237585598</v>
      </c>
      <c r="E518" s="39">
        <v>204452.68646367919</v>
      </c>
      <c r="F518" s="39">
        <v>0</v>
      </c>
      <c r="G518" s="39">
        <v>0</v>
      </c>
      <c r="H518" s="40">
        <v>0.37674152453172494</v>
      </c>
      <c r="I518" s="40">
        <v>0</v>
      </c>
      <c r="J518" s="40">
        <v>0.37674152453172494</v>
      </c>
    </row>
    <row r="519" spans="1:10" ht="11.25" customHeight="1" x14ac:dyDescent="0.2">
      <c r="A519" s="44" t="s">
        <v>38</v>
      </c>
      <c r="B519" s="39">
        <v>430474.36320000002</v>
      </c>
      <c r="C519" s="39">
        <v>588107.01843288587</v>
      </c>
      <c r="D519" s="39">
        <v>145203.56237585598</v>
      </c>
      <c r="E519" s="39">
        <v>204452.68646367919</v>
      </c>
      <c r="F519" s="39">
        <v>0</v>
      </c>
      <c r="G519" s="39">
        <v>0</v>
      </c>
      <c r="H519" s="40">
        <v>0.37674152453172494</v>
      </c>
      <c r="I519" s="40">
        <v>0</v>
      </c>
      <c r="J519" s="40">
        <v>0.37674152453172494</v>
      </c>
    </row>
    <row r="520" spans="1:10" ht="11.25" customHeight="1" x14ac:dyDescent="0.2">
      <c r="A520" s="45" t="s">
        <v>25</v>
      </c>
      <c r="B520" s="39">
        <v>430474.36320000002</v>
      </c>
      <c r="C520" s="39">
        <v>588107.01843288587</v>
      </c>
      <c r="D520" s="39">
        <v>145203.56237585598</v>
      </c>
      <c r="E520" s="39">
        <v>204452.68646367919</v>
      </c>
      <c r="F520" s="39">
        <v>0</v>
      </c>
      <c r="G520" s="39">
        <v>0</v>
      </c>
      <c r="H520" s="40">
        <v>0.37674152453172494</v>
      </c>
      <c r="I520" s="40">
        <v>0</v>
      </c>
      <c r="J520" s="40">
        <v>0.37674152453172494</v>
      </c>
    </row>
    <row r="521" spans="1:10" ht="11.25" customHeight="1" x14ac:dyDescent="0.2">
      <c r="A521" s="46" t="s">
        <v>51</v>
      </c>
      <c r="B521" s="39">
        <v>430474.36320000002</v>
      </c>
      <c r="C521" s="39">
        <v>588107.01843288587</v>
      </c>
      <c r="D521" s="39">
        <v>145203.56237585598</v>
      </c>
      <c r="E521" s="39">
        <v>204452.68646367919</v>
      </c>
      <c r="F521" s="39">
        <v>0</v>
      </c>
      <c r="G521" s="39">
        <v>0</v>
      </c>
      <c r="H521" s="40">
        <v>0.37674152453172494</v>
      </c>
      <c r="I521" s="40">
        <v>0</v>
      </c>
      <c r="J521" s="40">
        <v>0.37674152453172494</v>
      </c>
    </row>
    <row r="522" spans="1:10" ht="11.25" customHeight="1" x14ac:dyDescent="0.2">
      <c r="A522" s="47" t="s">
        <v>25</v>
      </c>
      <c r="B522" s="39">
        <v>430474.36320000002</v>
      </c>
      <c r="C522" s="39">
        <v>588107.01843288587</v>
      </c>
      <c r="D522" s="39">
        <v>145203.56237585598</v>
      </c>
      <c r="E522" s="39">
        <v>204452.68646367919</v>
      </c>
      <c r="F522" s="39">
        <v>0</v>
      </c>
      <c r="G522" s="39">
        <v>0</v>
      </c>
      <c r="H522" s="40">
        <v>0.37674152453172494</v>
      </c>
      <c r="I522" s="40">
        <v>0</v>
      </c>
      <c r="J522" s="40">
        <v>0.37674152453172494</v>
      </c>
    </row>
    <row r="523" spans="1:10" ht="11.25" customHeight="1" x14ac:dyDescent="0.2">
      <c r="A523" s="48" t="s">
        <v>35</v>
      </c>
      <c r="B523" s="39">
        <v>0</v>
      </c>
      <c r="C523" s="39">
        <v>0</v>
      </c>
      <c r="D523" s="39">
        <v>109103.95046782799</v>
      </c>
      <c r="E523" s="39">
        <v>152840.03912084649</v>
      </c>
      <c r="F523" s="39">
        <v>0</v>
      </c>
      <c r="G523" s="39">
        <v>0</v>
      </c>
      <c r="H523" s="40">
        <v>0.40086622405038486</v>
      </c>
      <c r="I523" s="40">
        <v>0</v>
      </c>
      <c r="J523" s="40">
        <v>0.40086622405038486</v>
      </c>
    </row>
    <row r="524" spans="1:10" ht="11.25" customHeight="1" x14ac:dyDescent="0.2">
      <c r="A524" s="49">
        <v>44440</v>
      </c>
      <c r="B524" s="39">
        <v>0</v>
      </c>
      <c r="C524" s="39">
        <v>0</v>
      </c>
      <c r="D524" s="39">
        <v>7604.0982999999997</v>
      </c>
      <c r="E524" s="39">
        <v>10652.324472828956</v>
      </c>
      <c r="F524" s="39">
        <v>0</v>
      </c>
      <c r="G524" s="39">
        <v>0</v>
      </c>
      <c r="H524" s="40">
        <v>0.40086622405038552</v>
      </c>
      <c r="I524" s="40">
        <v>0</v>
      </c>
      <c r="J524" s="40">
        <v>0.40086622405038552</v>
      </c>
    </row>
    <row r="525" spans="1:10" ht="11.25" customHeight="1" x14ac:dyDescent="0.2">
      <c r="A525" s="49">
        <v>44470</v>
      </c>
      <c r="B525" s="39">
        <v>0</v>
      </c>
      <c r="C525" s="39">
        <v>0</v>
      </c>
      <c r="D525" s="39">
        <v>9211.642609999999</v>
      </c>
      <c r="E525" s="39">
        <v>12904.279000372337</v>
      </c>
      <c r="F525" s="39">
        <v>0</v>
      </c>
      <c r="G525" s="39">
        <v>0</v>
      </c>
      <c r="H525" s="40">
        <v>0.40086622405038552</v>
      </c>
      <c r="I525" s="40">
        <v>0</v>
      </c>
      <c r="J525" s="40">
        <v>0.40086622405038552</v>
      </c>
    </row>
    <row r="526" spans="1:10" ht="11.25" customHeight="1" x14ac:dyDescent="0.2">
      <c r="A526" s="49">
        <v>44501</v>
      </c>
      <c r="B526" s="39">
        <v>0</v>
      </c>
      <c r="C526" s="39">
        <v>0</v>
      </c>
      <c r="D526" s="39">
        <v>8718.898119999998</v>
      </c>
      <c r="E526" s="39">
        <v>12214.009887244403</v>
      </c>
      <c r="F526" s="39">
        <v>0</v>
      </c>
      <c r="G526" s="39">
        <v>0</v>
      </c>
      <c r="H526" s="40">
        <v>0.40086622405038552</v>
      </c>
      <c r="I526" s="40">
        <v>0</v>
      </c>
      <c r="J526" s="40">
        <v>0.40086622405038552</v>
      </c>
    </row>
    <row r="527" spans="1:10" ht="11.25" customHeight="1" x14ac:dyDescent="0.2">
      <c r="A527" s="49">
        <v>44531</v>
      </c>
      <c r="B527" s="39">
        <v>0</v>
      </c>
      <c r="C527" s="39">
        <v>0</v>
      </c>
      <c r="D527" s="39">
        <v>8927.1722599999994</v>
      </c>
      <c r="E527" s="39">
        <v>12505.774095313545</v>
      </c>
      <c r="F527" s="39">
        <v>0</v>
      </c>
      <c r="G527" s="39">
        <v>0</v>
      </c>
      <c r="H527" s="40">
        <v>0.40086622405038552</v>
      </c>
      <c r="I527" s="40">
        <v>0</v>
      </c>
      <c r="J527" s="40">
        <v>0.40086622405038552</v>
      </c>
    </row>
    <row r="528" spans="1:10" ht="11.25" customHeight="1" x14ac:dyDescent="0.2">
      <c r="A528" s="49">
        <v>44562</v>
      </c>
      <c r="B528" s="39">
        <v>0</v>
      </c>
      <c r="C528" s="39">
        <v>0</v>
      </c>
      <c r="D528" s="39">
        <v>10156.23265</v>
      </c>
      <c r="E528" s="39">
        <v>14227.52328298274</v>
      </c>
      <c r="F528" s="39">
        <v>0</v>
      </c>
      <c r="G528" s="39">
        <v>0</v>
      </c>
      <c r="H528" s="40">
        <v>0.40086622405038552</v>
      </c>
      <c r="I528" s="40">
        <v>0</v>
      </c>
      <c r="J528" s="40">
        <v>0.40086622405038552</v>
      </c>
    </row>
    <row r="529" spans="1:10" ht="11.25" customHeight="1" x14ac:dyDescent="0.2">
      <c r="A529" s="49">
        <v>44593</v>
      </c>
      <c r="B529" s="39">
        <v>0</v>
      </c>
      <c r="C529" s="39">
        <v>0</v>
      </c>
      <c r="D529" s="39">
        <v>7127.88886</v>
      </c>
      <c r="E529" s="39">
        <v>9985.2187527590067</v>
      </c>
      <c r="F529" s="39">
        <v>0</v>
      </c>
      <c r="G529" s="39">
        <v>0</v>
      </c>
      <c r="H529" s="40">
        <v>0.40086622405038552</v>
      </c>
      <c r="I529" s="40">
        <v>0</v>
      </c>
      <c r="J529" s="40">
        <v>0.40086622405038552</v>
      </c>
    </row>
    <row r="530" spans="1:10" ht="11.25" customHeight="1" x14ac:dyDescent="0.2">
      <c r="A530" s="49">
        <v>44621</v>
      </c>
      <c r="B530" s="39">
        <v>0</v>
      </c>
      <c r="C530" s="39">
        <v>0</v>
      </c>
      <c r="D530" s="39">
        <v>9110.6100799999986</v>
      </c>
      <c r="E530" s="39">
        <v>12762.745941564979</v>
      </c>
      <c r="F530" s="39">
        <v>0</v>
      </c>
      <c r="G530" s="39">
        <v>0</v>
      </c>
      <c r="H530" s="40">
        <v>0.40086622405038552</v>
      </c>
      <c r="I530" s="40">
        <v>0</v>
      </c>
      <c r="J530" s="40">
        <v>0.40086622405038552</v>
      </c>
    </row>
    <row r="531" spans="1:10" ht="11.25" customHeight="1" x14ac:dyDescent="0.2">
      <c r="A531" s="49">
        <v>44652</v>
      </c>
      <c r="B531" s="39">
        <v>0</v>
      </c>
      <c r="C531" s="39">
        <v>0</v>
      </c>
      <c r="D531" s="39">
        <v>8229.5281299999988</v>
      </c>
      <c r="E531" s="39">
        <v>11528.467997189529</v>
      </c>
      <c r="F531" s="39">
        <v>0</v>
      </c>
      <c r="G531" s="39">
        <v>0</v>
      </c>
      <c r="H531" s="40">
        <v>0.40086622405038552</v>
      </c>
      <c r="I531" s="40">
        <v>0</v>
      </c>
      <c r="J531" s="40">
        <v>0.40086622405038552</v>
      </c>
    </row>
    <row r="532" spans="1:10" ht="11.25" customHeight="1" x14ac:dyDescent="0.2">
      <c r="A532" s="49">
        <v>44682</v>
      </c>
      <c r="B532" s="39">
        <v>0</v>
      </c>
      <c r="C532" s="39">
        <v>0</v>
      </c>
      <c r="D532" s="39">
        <v>9076.7301000000007</v>
      </c>
      <c r="E532" s="39">
        <v>12715.284621911478</v>
      </c>
      <c r="F532" s="39">
        <v>0</v>
      </c>
      <c r="G532" s="39">
        <v>0</v>
      </c>
      <c r="H532" s="40">
        <v>0.4008662240503853</v>
      </c>
      <c r="I532" s="40">
        <v>0</v>
      </c>
      <c r="J532" s="40">
        <v>0.4008662240503853</v>
      </c>
    </row>
    <row r="533" spans="1:10" ht="11.25" customHeight="1" x14ac:dyDescent="0.2">
      <c r="A533" s="49">
        <v>44713</v>
      </c>
      <c r="B533" s="39">
        <v>0</v>
      </c>
      <c r="C533" s="39">
        <v>0</v>
      </c>
      <c r="D533" s="39">
        <v>9093.8050699999985</v>
      </c>
      <c r="E533" s="39">
        <v>12739.204370661149</v>
      </c>
      <c r="F533" s="39">
        <v>0</v>
      </c>
      <c r="G533" s="39">
        <v>0</v>
      </c>
      <c r="H533" s="40">
        <v>0.40086622405038552</v>
      </c>
      <c r="I533" s="40">
        <v>0</v>
      </c>
      <c r="J533" s="40">
        <v>0.40086622405038552</v>
      </c>
    </row>
    <row r="534" spans="1:10" ht="11.25" customHeight="1" x14ac:dyDescent="0.2">
      <c r="A534" s="49">
        <v>44743</v>
      </c>
      <c r="B534" s="39">
        <v>0</v>
      </c>
      <c r="C534" s="39">
        <v>0</v>
      </c>
      <c r="D534" s="39">
        <v>11038.934359999999</v>
      </c>
      <c r="E534" s="39">
        <v>15464.070294433257</v>
      </c>
      <c r="F534" s="39">
        <v>0</v>
      </c>
      <c r="G534" s="39">
        <v>0</v>
      </c>
      <c r="H534" s="40">
        <v>0.40086622405038552</v>
      </c>
      <c r="I534" s="40">
        <v>0</v>
      </c>
      <c r="J534" s="40">
        <v>0.40086622405038552</v>
      </c>
    </row>
    <row r="535" spans="1:10" ht="11.25" customHeight="1" x14ac:dyDescent="0.2">
      <c r="A535" s="49">
        <v>44774</v>
      </c>
      <c r="B535" s="39">
        <v>0</v>
      </c>
      <c r="C535" s="39">
        <v>0</v>
      </c>
      <c r="D535" s="39">
        <v>10808.409927827999</v>
      </c>
      <c r="E535" s="39">
        <v>15141.136403585109</v>
      </c>
      <c r="F535" s="39">
        <v>0</v>
      </c>
      <c r="G535" s="39">
        <v>0</v>
      </c>
      <c r="H535" s="40">
        <v>0.40086622405038552</v>
      </c>
      <c r="I535" s="40">
        <v>0</v>
      </c>
      <c r="J535" s="40">
        <v>0.40086622405038552</v>
      </c>
    </row>
    <row r="536" spans="1:10" ht="11.25" customHeight="1" x14ac:dyDescent="0.2">
      <c r="A536" s="48" t="s">
        <v>25</v>
      </c>
      <c r="B536" s="39">
        <v>430474.36320000002</v>
      </c>
      <c r="C536" s="39">
        <v>588107.01843288587</v>
      </c>
      <c r="D536" s="39">
        <v>0</v>
      </c>
      <c r="E536" s="39">
        <v>0</v>
      </c>
      <c r="F536" s="39">
        <v>0</v>
      </c>
      <c r="G536" s="39">
        <v>0</v>
      </c>
      <c r="H536" s="40">
        <v>0.36618360745364265</v>
      </c>
      <c r="I536" s="40">
        <v>0</v>
      </c>
      <c r="J536" s="40">
        <v>0.36618360745364265</v>
      </c>
    </row>
    <row r="537" spans="1:10" ht="11.25" customHeight="1" x14ac:dyDescent="0.2">
      <c r="A537" s="49">
        <v>44440</v>
      </c>
      <c r="B537" s="39">
        <v>35784</v>
      </c>
      <c r="C537" s="39">
        <v>48887.514209121167</v>
      </c>
      <c r="D537" s="39">
        <v>0</v>
      </c>
      <c r="E537" s="39">
        <v>0</v>
      </c>
      <c r="F537" s="39">
        <v>0</v>
      </c>
      <c r="G537" s="39">
        <v>0</v>
      </c>
      <c r="H537" s="40">
        <v>0.36618360745364309</v>
      </c>
      <c r="I537" s="40">
        <v>0</v>
      </c>
      <c r="J537" s="40">
        <v>0.36618360745364309</v>
      </c>
    </row>
    <row r="538" spans="1:10" ht="11.25" customHeight="1" x14ac:dyDescent="0.2">
      <c r="A538" s="49">
        <v>44470</v>
      </c>
      <c r="B538" s="39">
        <v>35784</v>
      </c>
      <c r="C538" s="39">
        <v>48887.514209121167</v>
      </c>
      <c r="D538" s="39">
        <v>0</v>
      </c>
      <c r="E538" s="39">
        <v>0</v>
      </c>
      <c r="F538" s="39">
        <v>0</v>
      </c>
      <c r="G538" s="39">
        <v>0</v>
      </c>
      <c r="H538" s="40">
        <v>0.36618360745364309</v>
      </c>
      <c r="I538" s="40">
        <v>0</v>
      </c>
      <c r="J538" s="40">
        <v>0.36618360745364309</v>
      </c>
    </row>
    <row r="539" spans="1:10" ht="11.25" customHeight="1" x14ac:dyDescent="0.2">
      <c r="A539" s="49">
        <v>44501</v>
      </c>
      <c r="B539" s="39">
        <v>35784</v>
      </c>
      <c r="C539" s="39">
        <v>48887.514209121167</v>
      </c>
      <c r="D539" s="39">
        <v>0</v>
      </c>
      <c r="E539" s="39">
        <v>0</v>
      </c>
      <c r="F539" s="39">
        <v>0</v>
      </c>
      <c r="G539" s="39">
        <v>0</v>
      </c>
      <c r="H539" s="40">
        <v>0.36618360745364309</v>
      </c>
      <c r="I539" s="40">
        <v>0</v>
      </c>
      <c r="J539" s="40">
        <v>0.36618360745364309</v>
      </c>
    </row>
    <row r="540" spans="1:10" ht="11.25" customHeight="1" x14ac:dyDescent="0.2">
      <c r="A540" s="49">
        <v>44531</v>
      </c>
      <c r="B540" s="39">
        <v>35784</v>
      </c>
      <c r="C540" s="39">
        <v>48887.514209121167</v>
      </c>
      <c r="D540" s="39">
        <v>0</v>
      </c>
      <c r="E540" s="39">
        <v>0</v>
      </c>
      <c r="F540" s="39">
        <v>0</v>
      </c>
      <c r="G540" s="39">
        <v>0</v>
      </c>
      <c r="H540" s="40">
        <v>0.36618360745364309</v>
      </c>
      <c r="I540" s="40">
        <v>0</v>
      </c>
      <c r="J540" s="40">
        <v>0.36618360745364309</v>
      </c>
    </row>
    <row r="541" spans="1:10" ht="11.25" customHeight="1" x14ac:dyDescent="0.2">
      <c r="A541" s="49">
        <v>44562</v>
      </c>
      <c r="B541" s="39">
        <v>35784</v>
      </c>
      <c r="C541" s="39">
        <v>48887.514209121167</v>
      </c>
      <c r="D541" s="39">
        <v>0</v>
      </c>
      <c r="E541" s="39">
        <v>0</v>
      </c>
      <c r="F541" s="39">
        <v>0</v>
      </c>
      <c r="G541" s="39">
        <v>0</v>
      </c>
      <c r="H541" s="40">
        <v>0.36618360745364309</v>
      </c>
      <c r="I541" s="40">
        <v>0</v>
      </c>
      <c r="J541" s="40">
        <v>0.36618360745364309</v>
      </c>
    </row>
    <row r="542" spans="1:10" ht="11.25" customHeight="1" x14ac:dyDescent="0.2">
      <c r="A542" s="49">
        <v>44593</v>
      </c>
      <c r="B542" s="39">
        <v>35784</v>
      </c>
      <c r="C542" s="39">
        <v>48887.514209121167</v>
      </c>
      <c r="D542" s="39">
        <v>0</v>
      </c>
      <c r="E542" s="39">
        <v>0</v>
      </c>
      <c r="F542" s="39">
        <v>0</v>
      </c>
      <c r="G542" s="39">
        <v>0</v>
      </c>
      <c r="H542" s="40">
        <v>0.36618360745364309</v>
      </c>
      <c r="I542" s="40">
        <v>0</v>
      </c>
      <c r="J542" s="40">
        <v>0.36618360745364309</v>
      </c>
    </row>
    <row r="543" spans="1:10" ht="11.25" customHeight="1" x14ac:dyDescent="0.2">
      <c r="A543" s="49">
        <v>44621</v>
      </c>
      <c r="B543" s="39">
        <v>35784</v>
      </c>
      <c r="C543" s="39">
        <v>48887.514209121167</v>
      </c>
      <c r="D543" s="39">
        <v>0</v>
      </c>
      <c r="E543" s="39">
        <v>0</v>
      </c>
      <c r="F543" s="39">
        <v>0</v>
      </c>
      <c r="G543" s="39">
        <v>0</v>
      </c>
      <c r="H543" s="40">
        <v>0.36618360745364309</v>
      </c>
      <c r="I543" s="40">
        <v>0</v>
      </c>
      <c r="J543" s="40">
        <v>0.36618360745364309</v>
      </c>
    </row>
    <row r="544" spans="1:10" ht="11.25" customHeight="1" x14ac:dyDescent="0.2">
      <c r="A544" s="49">
        <v>44652</v>
      </c>
      <c r="B544" s="39">
        <v>35784</v>
      </c>
      <c r="C544" s="39">
        <v>48887.514209121167</v>
      </c>
      <c r="D544" s="39">
        <v>0</v>
      </c>
      <c r="E544" s="39">
        <v>0</v>
      </c>
      <c r="F544" s="39">
        <v>0</v>
      </c>
      <c r="G544" s="39">
        <v>0</v>
      </c>
      <c r="H544" s="40">
        <v>0.36618360745364309</v>
      </c>
      <c r="I544" s="40">
        <v>0</v>
      </c>
      <c r="J544" s="40">
        <v>0.36618360745364309</v>
      </c>
    </row>
    <row r="545" spans="1:10" ht="11.25" customHeight="1" x14ac:dyDescent="0.2">
      <c r="A545" s="49">
        <v>44682</v>
      </c>
      <c r="B545" s="39">
        <v>35784</v>
      </c>
      <c r="C545" s="39">
        <v>48887.514209121167</v>
      </c>
      <c r="D545" s="39">
        <v>0</v>
      </c>
      <c r="E545" s="39">
        <v>0</v>
      </c>
      <c r="F545" s="39">
        <v>0</v>
      </c>
      <c r="G545" s="39">
        <v>0</v>
      </c>
      <c r="H545" s="40">
        <v>0.36618360745364309</v>
      </c>
      <c r="I545" s="40">
        <v>0</v>
      </c>
      <c r="J545" s="40">
        <v>0.36618360745364309</v>
      </c>
    </row>
    <row r="546" spans="1:10" ht="11.25" customHeight="1" x14ac:dyDescent="0.2">
      <c r="A546" s="49">
        <v>44713</v>
      </c>
      <c r="B546" s="39">
        <v>35784</v>
      </c>
      <c r="C546" s="39">
        <v>48887.514209121167</v>
      </c>
      <c r="D546" s="39">
        <v>0</v>
      </c>
      <c r="E546" s="39">
        <v>0</v>
      </c>
      <c r="F546" s="39">
        <v>0</v>
      </c>
      <c r="G546" s="39">
        <v>0</v>
      </c>
      <c r="H546" s="40">
        <v>0.36618360745364309</v>
      </c>
      <c r="I546" s="40">
        <v>0</v>
      </c>
      <c r="J546" s="40">
        <v>0.36618360745364309</v>
      </c>
    </row>
    <row r="547" spans="1:10" ht="11.25" customHeight="1" x14ac:dyDescent="0.2">
      <c r="A547" s="49">
        <v>44743</v>
      </c>
      <c r="B547" s="39">
        <v>35784</v>
      </c>
      <c r="C547" s="39">
        <v>48887.514209121167</v>
      </c>
      <c r="D547" s="39">
        <v>0</v>
      </c>
      <c r="E547" s="39">
        <v>0</v>
      </c>
      <c r="F547" s="39">
        <v>0</v>
      </c>
      <c r="G547" s="39">
        <v>0</v>
      </c>
      <c r="H547" s="40">
        <v>0.36618360745364309</v>
      </c>
      <c r="I547" s="40">
        <v>0</v>
      </c>
      <c r="J547" s="40">
        <v>0.36618360745364309</v>
      </c>
    </row>
    <row r="548" spans="1:10" ht="11.25" customHeight="1" x14ac:dyDescent="0.2">
      <c r="A548" s="49">
        <v>44774</v>
      </c>
      <c r="B548" s="39">
        <v>36850.3632</v>
      </c>
      <c r="C548" s="39">
        <v>50344.362132552975</v>
      </c>
      <c r="D548" s="39">
        <v>0</v>
      </c>
      <c r="E548" s="39">
        <v>0</v>
      </c>
      <c r="F548" s="39">
        <v>0</v>
      </c>
      <c r="G548" s="39">
        <v>0</v>
      </c>
      <c r="H548" s="40">
        <v>0.36618360745364309</v>
      </c>
      <c r="I548" s="40">
        <v>0</v>
      </c>
      <c r="J548" s="40">
        <v>0.36618360745364309</v>
      </c>
    </row>
    <row r="549" spans="1:10" ht="11.25" customHeight="1" x14ac:dyDescent="0.2">
      <c r="A549" s="48" t="s">
        <v>34</v>
      </c>
      <c r="B549" s="39">
        <v>0</v>
      </c>
      <c r="C549" s="39">
        <v>0</v>
      </c>
      <c r="D549" s="39">
        <v>36099.611908028004</v>
      </c>
      <c r="E549" s="39">
        <v>51612.647342832708</v>
      </c>
      <c r="F549" s="39">
        <v>0</v>
      </c>
      <c r="G549" s="39">
        <v>0</v>
      </c>
      <c r="H549" s="40">
        <v>0.42972859304769506</v>
      </c>
      <c r="I549" s="40">
        <v>0</v>
      </c>
      <c r="J549" s="40">
        <v>0.42972859304769506</v>
      </c>
    </row>
    <row r="550" spans="1:10" ht="11.25" customHeight="1" x14ac:dyDescent="0.2">
      <c r="A550" s="49">
        <v>44440</v>
      </c>
      <c r="B550" s="39">
        <v>0</v>
      </c>
      <c r="C550" s="39">
        <v>0</v>
      </c>
      <c r="D550" s="39">
        <v>2166.59494</v>
      </c>
      <c r="E550" s="39">
        <v>3097.6427352704559</v>
      </c>
      <c r="F550" s="39">
        <v>0</v>
      </c>
      <c r="G550" s="39">
        <v>0</v>
      </c>
      <c r="H550" s="40">
        <v>0.42972859304769528</v>
      </c>
      <c r="I550" s="40">
        <v>0</v>
      </c>
      <c r="J550" s="40">
        <v>0.42972859304769528</v>
      </c>
    </row>
    <row r="551" spans="1:10" ht="11.25" customHeight="1" x14ac:dyDescent="0.2">
      <c r="A551" s="49">
        <v>44470</v>
      </c>
      <c r="B551" s="39">
        <v>0</v>
      </c>
      <c r="C551" s="39">
        <v>0</v>
      </c>
      <c r="D551" s="39">
        <v>2385.5457800000004</v>
      </c>
      <c r="E551" s="39">
        <v>3410.6830116902674</v>
      </c>
      <c r="F551" s="39">
        <v>0</v>
      </c>
      <c r="G551" s="39">
        <v>0</v>
      </c>
      <c r="H551" s="40">
        <v>0.42972859304769528</v>
      </c>
      <c r="I551" s="40">
        <v>0</v>
      </c>
      <c r="J551" s="40">
        <v>0.42972859304769528</v>
      </c>
    </row>
    <row r="552" spans="1:10" ht="11.25" customHeight="1" x14ac:dyDescent="0.2">
      <c r="A552" s="49">
        <v>44501</v>
      </c>
      <c r="B552" s="39">
        <v>0</v>
      </c>
      <c r="C552" s="39">
        <v>0</v>
      </c>
      <c r="D552" s="39">
        <v>2627.4100800000001</v>
      </c>
      <c r="E552" s="39">
        <v>3756.4833170377328</v>
      </c>
      <c r="F552" s="39">
        <v>0</v>
      </c>
      <c r="G552" s="39">
        <v>0</v>
      </c>
      <c r="H552" s="40">
        <v>0.42972859304769528</v>
      </c>
      <c r="I552" s="40">
        <v>0</v>
      </c>
      <c r="J552" s="40">
        <v>0.42972859304769528</v>
      </c>
    </row>
    <row r="553" spans="1:10" ht="11.25" customHeight="1" x14ac:dyDescent="0.2">
      <c r="A553" s="49">
        <v>44531</v>
      </c>
      <c r="B553" s="39">
        <v>0</v>
      </c>
      <c r="C553" s="39">
        <v>0</v>
      </c>
      <c r="D553" s="39">
        <v>2523.0265399999998</v>
      </c>
      <c r="E553" s="39">
        <v>3607.2431852561949</v>
      </c>
      <c r="F553" s="39">
        <v>0</v>
      </c>
      <c r="G553" s="39">
        <v>0</v>
      </c>
      <c r="H553" s="40">
        <v>0.42972859304769551</v>
      </c>
      <c r="I553" s="40">
        <v>0</v>
      </c>
      <c r="J553" s="40">
        <v>0.42972859304769551</v>
      </c>
    </row>
    <row r="554" spans="1:10" ht="11.25" customHeight="1" x14ac:dyDescent="0.2">
      <c r="A554" s="49">
        <v>44562</v>
      </c>
      <c r="B554" s="39">
        <v>0</v>
      </c>
      <c r="C554" s="39">
        <v>0</v>
      </c>
      <c r="D554" s="39">
        <v>2688.5126400000004</v>
      </c>
      <c r="E554" s="39">
        <v>3843.8433941781454</v>
      </c>
      <c r="F554" s="39">
        <v>0</v>
      </c>
      <c r="G554" s="39">
        <v>0</v>
      </c>
      <c r="H554" s="40">
        <v>0.42972859304769528</v>
      </c>
      <c r="I554" s="40">
        <v>0</v>
      </c>
      <c r="J554" s="40">
        <v>0.42972859304769528</v>
      </c>
    </row>
    <row r="555" spans="1:10" ht="11.25" customHeight="1" x14ac:dyDescent="0.2">
      <c r="A555" s="49">
        <v>44593</v>
      </c>
      <c r="B555" s="39">
        <v>0</v>
      </c>
      <c r="C555" s="39">
        <v>0</v>
      </c>
      <c r="D555" s="39">
        <v>2166.59494</v>
      </c>
      <c r="E555" s="39">
        <v>3097.6427352704559</v>
      </c>
      <c r="F555" s="39">
        <v>0</v>
      </c>
      <c r="G555" s="39">
        <v>0</v>
      </c>
      <c r="H555" s="40">
        <v>0.42972859304769528</v>
      </c>
      <c r="I555" s="40">
        <v>0</v>
      </c>
      <c r="J555" s="40">
        <v>0.42972859304769528</v>
      </c>
    </row>
    <row r="556" spans="1:10" ht="11.25" customHeight="1" x14ac:dyDescent="0.2">
      <c r="A556" s="49">
        <v>44621</v>
      </c>
      <c r="B556" s="39">
        <v>0</v>
      </c>
      <c r="C556" s="39">
        <v>0</v>
      </c>
      <c r="D556" s="39">
        <v>3118.7765000000004</v>
      </c>
      <c r="E556" s="39">
        <v>4459.0039373752161</v>
      </c>
      <c r="F556" s="39">
        <v>0</v>
      </c>
      <c r="G556" s="39">
        <v>0</v>
      </c>
      <c r="H556" s="40">
        <v>0.42972859304769528</v>
      </c>
      <c r="I556" s="40">
        <v>0</v>
      </c>
      <c r="J556" s="40">
        <v>0.42972859304769528</v>
      </c>
    </row>
    <row r="557" spans="1:10" ht="11.25" customHeight="1" x14ac:dyDescent="0.2">
      <c r="A557" s="49">
        <v>44652</v>
      </c>
      <c r="B557" s="39">
        <v>0</v>
      </c>
      <c r="C557" s="39">
        <v>0</v>
      </c>
      <c r="D557" s="39">
        <v>3136.5980800000002</v>
      </c>
      <c r="E557" s="39">
        <v>4484.4839598745029</v>
      </c>
      <c r="F557" s="39">
        <v>0</v>
      </c>
      <c r="G557" s="39">
        <v>0</v>
      </c>
      <c r="H557" s="40">
        <v>0.42972859304769528</v>
      </c>
      <c r="I557" s="40">
        <v>0</v>
      </c>
      <c r="J557" s="40">
        <v>0.42972859304769528</v>
      </c>
    </row>
    <row r="558" spans="1:10" ht="11.25" customHeight="1" x14ac:dyDescent="0.2">
      <c r="A558" s="49">
        <v>44682</v>
      </c>
      <c r="B558" s="39">
        <v>0</v>
      </c>
      <c r="C558" s="39">
        <v>0</v>
      </c>
      <c r="D558" s="39">
        <v>3795.9965400000006</v>
      </c>
      <c r="E558" s="39">
        <v>5427.2447923481204</v>
      </c>
      <c r="F558" s="39">
        <v>0</v>
      </c>
      <c r="G558" s="39">
        <v>0</v>
      </c>
      <c r="H558" s="40">
        <v>0.42972859304769528</v>
      </c>
      <c r="I558" s="40">
        <v>0</v>
      </c>
      <c r="J558" s="40">
        <v>0.42972859304769528</v>
      </c>
    </row>
    <row r="559" spans="1:10" ht="11.25" customHeight="1" x14ac:dyDescent="0.2">
      <c r="A559" s="49">
        <v>44713</v>
      </c>
      <c r="B559" s="39">
        <v>0</v>
      </c>
      <c r="C559" s="39">
        <v>0</v>
      </c>
      <c r="D559" s="39">
        <v>3742.5318000000002</v>
      </c>
      <c r="E559" s="39">
        <v>5350.8047248502589</v>
      </c>
      <c r="F559" s="39">
        <v>0</v>
      </c>
      <c r="G559" s="39">
        <v>0</v>
      </c>
      <c r="H559" s="40">
        <v>0.42972859304769528</v>
      </c>
      <c r="I559" s="40">
        <v>0</v>
      </c>
      <c r="J559" s="40">
        <v>0.42972859304769528</v>
      </c>
    </row>
    <row r="560" spans="1:10" ht="11.25" customHeight="1" x14ac:dyDescent="0.2">
      <c r="A560" s="49">
        <v>44743</v>
      </c>
      <c r="B560" s="39">
        <v>0</v>
      </c>
      <c r="C560" s="39">
        <v>0</v>
      </c>
      <c r="D560" s="39">
        <v>4027.6770800000004</v>
      </c>
      <c r="E560" s="39">
        <v>5758.4850848388505</v>
      </c>
      <c r="F560" s="39">
        <v>0</v>
      </c>
      <c r="G560" s="39">
        <v>0</v>
      </c>
      <c r="H560" s="40">
        <v>0.42972859304769528</v>
      </c>
      <c r="I560" s="40">
        <v>0</v>
      </c>
      <c r="J560" s="40">
        <v>0.42972859304769528</v>
      </c>
    </row>
    <row r="561" spans="1:10" ht="11.25" customHeight="1" x14ac:dyDescent="0.2">
      <c r="A561" s="49">
        <v>44774</v>
      </c>
      <c r="B561" s="39">
        <v>0</v>
      </c>
      <c r="C561" s="39">
        <v>0</v>
      </c>
      <c r="D561" s="39">
        <v>3720.3469880279999</v>
      </c>
      <c r="E561" s="39">
        <v>5319.086464842504</v>
      </c>
      <c r="F561" s="39">
        <v>0</v>
      </c>
      <c r="G561" s="39">
        <v>0</v>
      </c>
      <c r="H561" s="40">
        <v>0.42972859304769551</v>
      </c>
      <c r="I561" s="40">
        <v>0</v>
      </c>
      <c r="J561" s="40">
        <v>0.42972859304769551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EC77-F301-4460-8BD7-BA454279A048}">
  <dimension ref="A1:G254"/>
  <sheetViews>
    <sheetView showGridLines="0" workbookViewId="0"/>
  </sheetViews>
  <sheetFormatPr defaultRowHeight="11.25" customHeight="1" x14ac:dyDescent="0.2"/>
  <cols>
    <col min="1" max="1" width="33.21875" style="14" bestFit="1" customWidth="1"/>
    <col min="2" max="2" width="19.77734375" style="39" bestFit="1" customWidth="1"/>
    <col min="3" max="3" width="21.109375" style="39" bestFit="1" customWidth="1"/>
    <col min="4" max="4" width="19.77734375" style="39" bestFit="1" customWidth="1"/>
    <col min="5" max="5" width="21.109375" style="39" bestFit="1" customWidth="1"/>
    <col min="6" max="7" width="13.77734375" style="39" bestFit="1" customWidth="1"/>
    <col min="8" max="16384" width="8.88671875" style="14"/>
  </cols>
  <sheetData>
    <row r="1" spans="1:7" ht="11.25" customHeight="1" x14ac:dyDescent="0.2">
      <c r="A1" s="38" t="s">
        <v>674</v>
      </c>
      <c r="B1" s="39" t="s">
        <v>700</v>
      </c>
      <c r="C1" s="39" t="s">
        <v>701</v>
      </c>
      <c r="D1" s="39" t="s">
        <v>702</v>
      </c>
      <c r="E1" s="39" t="s">
        <v>703</v>
      </c>
      <c r="F1" s="39" t="s">
        <v>704</v>
      </c>
      <c r="G1" s="39" t="s">
        <v>705</v>
      </c>
    </row>
    <row r="2" spans="1:7" ht="11.25" customHeight="1" x14ac:dyDescent="0.2">
      <c r="A2" s="41" t="s">
        <v>691</v>
      </c>
      <c r="B2" s="39">
        <v>22687.056000000008</v>
      </c>
      <c r="C2" s="39">
        <v>83694.078114600023</v>
      </c>
      <c r="D2" s="39">
        <v>30994.684008582826</v>
      </c>
      <c r="E2" s="39">
        <v>90956.897659308685</v>
      </c>
      <c r="F2" s="39">
        <v>106381.13411460003</v>
      </c>
      <c r="G2" s="39">
        <v>121951.58166789151</v>
      </c>
    </row>
    <row r="3" spans="1:7" ht="11.25" customHeight="1" x14ac:dyDescent="0.2">
      <c r="A3" s="42" t="s">
        <v>39</v>
      </c>
      <c r="B3" s="39">
        <v>22687.056000000008</v>
      </c>
      <c r="C3" s="39">
        <v>71137.032781800022</v>
      </c>
      <c r="D3" s="39">
        <v>30994.684008582826</v>
      </c>
      <c r="E3" s="39">
        <v>76260.742625735584</v>
      </c>
      <c r="F3" s="39">
        <v>93824.088781800034</v>
      </c>
      <c r="G3" s="39">
        <v>107255.42663431841</v>
      </c>
    </row>
    <row r="4" spans="1:7" ht="11.25" customHeight="1" x14ac:dyDescent="0.2">
      <c r="A4" s="43" t="s">
        <v>40</v>
      </c>
      <c r="B4" s="39">
        <v>22687.056000000008</v>
      </c>
      <c r="C4" s="39">
        <v>71137.032781800022</v>
      </c>
      <c r="D4" s="39">
        <v>30994.684008582826</v>
      </c>
      <c r="E4" s="39">
        <v>76260.742625735584</v>
      </c>
      <c r="F4" s="39">
        <v>93824.088781800034</v>
      </c>
      <c r="G4" s="39">
        <v>107255.42663431841</v>
      </c>
    </row>
    <row r="5" spans="1:7" ht="11.25" customHeight="1" x14ac:dyDescent="0.2">
      <c r="A5" s="44" t="s">
        <v>48</v>
      </c>
      <c r="B5" s="39">
        <v>22687.056000000008</v>
      </c>
      <c r="C5" s="39">
        <v>71137.032781800022</v>
      </c>
      <c r="D5" s="39">
        <v>30994.684008582826</v>
      </c>
      <c r="E5" s="39">
        <v>76260.742625735584</v>
      </c>
      <c r="F5" s="39">
        <v>93824.088781800034</v>
      </c>
      <c r="G5" s="39">
        <v>107255.42663431841</v>
      </c>
    </row>
    <row r="6" spans="1:7" ht="11.25" customHeight="1" x14ac:dyDescent="0.2">
      <c r="A6" s="45" t="s">
        <v>49</v>
      </c>
      <c r="B6" s="39">
        <v>22687.056000000008</v>
      </c>
      <c r="C6" s="39">
        <v>71137.032781800022</v>
      </c>
      <c r="D6" s="39">
        <v>30994.684008582826</v>
      </c>
      <c r="E6" s="39">
        <v>76260.742625735584</v>
      </c>
      <c r="F6" s="39">
        <v>93824.088781800034</v>
      </c>
      <c r="G6" s="39">
        <v>107255.42663431841</v>
      </c>
    </row>
    <row r="7" spans="1:7" ht="11.25" customHeight="1" x14ac:dyDescent="0.2">
      <c r="A7" s="46" t="s">
        <v>25</v>
      </c>
      <c r="B7" s="39">
        <v>22687.056000000008</v>
      </c>
      <c r="C7" s="39">
        <v>71137.032781800022</v>
      </c>
      <c r="D7" s="39">
        <v>30994.684008582826</v>
      </c>
      <c r="E7" s="39">
        <v>76260.742625735584</v>
      </c>
      <c r="F7" s="39">
        <v>93824.088781800034</v>
      </c>
      <c r="G7" s="39">
        <v>107255.42663431841</v>
      </c>
    </row>
    <row r="8" spans="1:7" ht="11.25" customHeight="1" x14ac:dyDescent="0.2">
      <c r="A8" s="47" t="s">
        <v>25</v>
      </c>
      <c r="B8" s="39">
        <v>22687.056000000008</v>
      </c>
      <c r="C8" s="39">
        <v>71137.032781800022</v>
      </c>
      <c r="D8" s="39">
        <v>30994.684008582826</v>
      </c>
      <c r="E8" s="39">
        <v>76260.742625735584</v>
      </c>
      <c r="F8" s="39">
        <v>93824.088781800034</v>
      </c>
      <c r="G8" s="39">
        <v>107255.42663431841</v>
      </c>
    </row>
    <row r="9" spans="1:7" ht="11.25" customHeight="1" x14ac:dyDescent="0.2">
      <c r="A9" s="48" t="s">
        <v>35</v>
      </c>
      <c r="B9" s="39">
        <v>0</v>
      </c>
      <c r="C9" s="39">
        <v>35844.283545599981</v>
      </c>
      <c r="D9" s="39">
        <v>0</v>
      </c>
      <c r="E9" s="39">
        <v>28162.022752916931</v>
      </c>
      <c r="F9" s="39">
        <v>35844.283545599981</v>
      </c>
      <c r="G9" s="39">
        <v>28162.022752916931</v>
      </c>
    </row>
    <row r="10" spans="1:7" ht="11.25" customHeight="1" x14ac:dyDescent="0.2">
      <c r="A10" s="49">
        <v>44440</v>
      </c>
      <c r="B10" s="39">
        <v>0</v>
      </c>
      <c r="C10" s="39">
        <v>2407.876531199995</v>
      </c>
      <c r="D10" s="39">
        <v>0</v>
      </c>
      <c r="E10" s="39">
        <v>1891.8127787824892</v>
      </c>
      <c r="F10" s="39">
        <v>2407.876531199995</v>
      </c>
      <c r="G10" s="39">
        <v>1891.8127787824892</v>
      </c>
    </row>
    <row r="11" spans="1:7" ht="11.25" customHeight="1" x14ac:dyDescent="0.2">
      <c r="A11" s="49">
        <v>44470</v>
      </c>
      <c r="B11" s="39">
        <v>0</v>
      </c>
      <c r="C11" s="39">
        <v>2650.9706496000003</v>
      </c>
      <c r="D11" s="39">
        <v>0</v>
      </c>
      <c r="E11" s="39">
        <v>2082.8061929700521</v>
      </c>
      <c r="F11" s="39">
        <v>2650.9706496000003</v>
      </c>
      <c r="G11" s="39">
        <v>2082.8061929700521</v>
      </c>
    </row>
    <row r="12" spans="1:7" ht="11.25" customHeight="1" x14ac:dyDescent="0.2">
      <c r="A12" s="49">
        <v>44501</v>
      </c>
      <c r="B12" s="39">
        <v>0</v>
      </c>
      <c r="C12" s="39">
        <v>2703.3586175999967</v>
      </c>
      <c r="D12" s="39">
        <v>0</v>
      </c>
      <c r="E12" s="39">
        <v>2123.9662051353976</v>
      </c>
      <c r="F12" s="39">
        <v>2703.3586175999967</v>
      </c>
      <c r="G12" s="39">
        <v>2123.9662051353976</v>
      </c>
    </row>
    <row r="13" spans="1:7" ht="11.25" customHeight="1" x14ac:dyDescent="0.2">
      <c r="A13" s="49">
        <v>44531</v>
      </c>
      <c r="B13" s="39">
        <v>0</v>
      </c>
      <c r="C13" s="39">
        <v>3141.5695871999978</v>
      </c>
      <c r="D13" s="39">
        <v>0</v>
      </c>
      <c r="E13" s="39">
        <v>2468.2584067288062</v>
      </c>
      <c r="F13" s="39">
        <v>3141.5695871999978</v>
      </c>
      <c r="G13" s="39">
        <v>2468.2584067288062</v>
      </c>
    </row>
    <row r="14" spans="1:7" ht="11.25" customHeight="1" x14ac:dyDescent="0.2">
      <c r="A14" s="49">
        <v>44562</v>
      </c>
      <c r="B14" s="39">
        <v>0</v>
      </c>
      <c r="C14" s="39">
        <v>3872.0025599999981</v>
      </c>
      <c r="D14" s="39">
        <v>0</v>
      </c>
      <c r="E14" s="39">
        <v>3042.1426628698237</v>
      </c>
      <c r="F14" s="39">
        <v>3872.0025599999981</v>
      </c>
      <c r="G14" s="39">
        <v>3042.1426628698237</v>
      </c>
    </row>
    <row r="15" spans="1:7" ht="11.25" customHeight="1" x14ac:dyDescent="0.2">
      <c r="A15" s="49">
        <v>44593</v>
      </c>
      <c r="B15" s="39">
        <v>0</v>
      </c>
      <c r="C15" s="39">
        <v>3323.0882304000052</v>
      </c>
      <c r="D15" s="39">
        <v>0</v>
      </c>
      <c r="E15" s="39">
        <v>2610.8733972997288</v>
      </c>
      <c r="F15" s="39">
        <v>3323.0882304000052</v>
      </c>
      <c r="G15" s="39">
        <v>2610.8733972997288</v>
      </c>
    </row>
    <row r="16" spans="1:7" ht="11.25" customHeight="1" x14ac:dyDescent="0.2">
      <c r="A16" s="49">
        <v>44621</v>
      </c>
      <c r="B16" s="39">
        <v>0</v>
      </c>
      <c r="C16" s="39">
        <v>3186.6703103999935</v>
      </c>
      <c r="D16" s="39">
        <v>0</v>
      </c>
      <c r="E16" s="39">
        <v>2503.6929995646619</v>
      </c>
      <c r="F16" s="39">
        <v>3186.6703103999935</v>
      </c>
      <c r="G16" s="39">
        <v>2503.6929995646619</v>
      </c>
    </row>
    <row r="17" spans="1:7" ht="11.25" customHeight="1" x14ac:dyDescent="0.2">
      <c r="A17" s="49">
        <v>44652</v>
      </c>
      <c r="B17" s="39">
        <v>0</v>
      </c>
      <c r="C17" s="39">
        <v>3176.8028927999999</v>
      </c>
      <c r="D17" s="39">
        <v>0</v>
      </c>
      <c r="E17" s="39">
        <v>2495.9403982716262</v>
      </c>
      <c r="F17" s="39">
        <v>3176.8028927999999</v>
      </c>
      <c r="G17" s="39">
        <v>2495.9403982716262</v>
      </c>
    </row>
    <row r="18" spans="1:7" ht="11.25" customHeight="1" x14ac:dyDescent="0.2">
      <c r="A18" s="49">
        <v>44682</v>
      </c>
      <c r="B18" s="39">
        <v>0</v>
      </c>
      <c r="C18" s="39">
        <v>3011.1488255999989</v>
      </c>
      <c r="D18" s="39">
        <v>0</v>
      </c>
      <c r="E18" s="39">
        <v>2365.7898373414632</v>
      </c>
      <c r="F18" s="39">
        <v>3011.1488255999989</v>
      </c>
      <c r="G18" s="39">
        <v>2365.7898373414632</v>
      </c>
    </row>
    <row r="19" spans="1:7" ht="11.25" customHeight="1" x14ac:dyDescent="0.2">
      <c r="A19" s="49">
        <v>44713</v>
      </c>
      <c r="B19" s="39">
        <v>0</v>
      </c>
      <c r="C19" s="39">
        <v>2631.7762560000019</v>
      </c>
      <c r="D19" s="39">
        <v>0</v>
      </c>
      <c r="E19" s="39">
        <v>2067.7256028222837</v>
      </c>
      <c r="F19" s="39">
        <v>2631.7762560000019</v>
      </c>
      <c r="G19" s="39">
        <v>2067.7256028222837</v>
      </c>
    </row>
    <row r="20" spans="1:7" ht="11.25" customHeight="1" x14ac:dyDescent="0.2">
      <c r="A20" s="49">
        <v>44743</v>
      </c>
      <c r="B20" s="39">
        <v>0</v>
      </c>
      <c r="C20" s="39">
        <v>2918.8553471999958</v>
      </c>
      <c r="D20" s="39">
        <v>0</v>
      </c>
      <c r="E20" s="39">
        <v>2293.2769906182148</v>
      </c>
      <c r="F20" s="39">
        <v>2918.8553471999958</v>
      </c>
      <c r="G20" s="39">
        <v>2293.2769906182148</v>
      </c>
    </row>
    <row r="21" spans="1:7" ht="11.25" customHeight="1" x14ac:dyDescent="0.2">
      <c r="A21" s="49">
        <v>44774</v>
      </c>
      <c r="B21" s="39">
        <v>0</v>
      </c>
      <c r="C21" s="39">
        <v>2820.1637376000008</v>
      </c>
      <c r="D21" s="39">
        <v>0</v>
      </c>
      <c r="E21" s="39">
        <v>2215.7372805123837</v>
      </c>
      <c r="F21" s="39">
        <v>2820.1637376000008</v>
      </c>
      <c r="G21" s="39">
        <v>2215.7372805123837</v>
      </c>
    </row>
    <row r="22" spans="1:7" ht="11.25" customHeight="1" x14ac:dyDescent="0.2">
      <c r="A22" s="48" t="s">
        <v>25</v>
      </c>
      <c r="B22" s="39">
        <v>22687.056000000008</v>
      </c>
      <c r="C22" s="39">
        <v>0</v>
      </c>
      <c r="D22" s="39">
        <v>30994.684008582826</v>
      </c>
      <c r="E22" s="39">
        <v>0</v>
      </c>
      <c r="F22" s="39">
        <v>22687.056000000008</v>
      </c>
      <c r="G22" s="39">
        <v>30994.684008582826</v>
      </c>
    </row>
    <row r="23" spans="1:7" ht="11.25" customHeight="1" x14ac:dyDescent="0.2">
      <c r="A23" s="49">
        <v>44440</v>
      </c>
      <c r="B23" s="39">
        <v>1661.3999999999999</v>
      </c>
      <c r="C23" s="39">
        <v>0</v>
      </c>
      <c r="D23" s="39">
        <v>2269.7774454234827</v>
      </c>
      <c r="E23" s="39">
        <v>0</v>
      </c>
      <c r="F23" s="39">
        <v>1661.3999999999999</v>
      </c>
      <c r="G23" s="39">
        <v>2269.7774454234827</v>
      </c>
    </row>
    <row r="24" spans="1:7" ht="11.25" customHeight="1" x14ac:dyDescent="0.2">
      <c r="A24" s="49">
        <v>44470</v>
      </c>
      <c r="B24" s="39">
        <v>1702.2959999999996</v>
      </c>
      <c r="C24" s="39">
        <v>0</v>
      </c>
      <c r="D24" s="39">
        <v>2325.6488902339065</v>
      </c>
      <c r="E24" s="39">
        <v>0</v>
      </c>
      <c r="F24" s="39">
        <v>1702.2959999999996</v>
      </c>
      <c r="G24" s="39">
        <v>2325.6488902339065</v>
      </c>
    </row>
    <row r="25" spans="1:7" ht="11.25" customHeight="1" x14ac:dyDescent="0.2">
      <c r="A25" s="49">
        <v>44501</v>
      </c>
      <c r="B25" s="39">
        <v>1686.9599999999998</v>
      </c>
      <c r="C25" s="39">
        <v>0</v>
      </c>
      <c r="D25" s="39">
        <v>2304.6970984299978</v>
      </c>
      <c r="E25" s="39">
        <v>0</v>
      </c>
      <c r="F25" s="39">
        <v>1686.9599999999998</v>
      </c>
      <c r="G25" s="39">
        <v>2304.6970984299978</v>
      </c>
    </row>
    <row r="26" spans="1:7" ht="11.25" customHeight="1" x14ac:dyDescent="0.2">
      <c r="A26" s="49">
        <v>44531</v>
      </c>
      <c r="B26" s="39">
        <v>1947.6720000000012</v>
      </c>
      <c r="C26" s="39">
        <v>0</v>
      </c>
      <c r="D26" s="39">
        <v>2660.8775590964538</v>
      </c>
      <c r="E26" s="39">
        <v>0</v>
      </c>
      <c r="F26" s="39">
        <v>1947.6720000000012</v>
      </c>
      <c r="G26" s="39">
        <v>2660.8775590964538</v>
      </c>
    </row>
    <row r="27" spans="1:7" ht="11.25" customHeight="1" x14ac:dyDescent="0.2">
      <c r="A27" s="49">
        <v>44562</v>
      </c>
      <c r="B27" s="39">
        <v>1947.6720000000012</v>
      </c>
      <c r="C27" s="39">
        <v>0</v>
      </c>
      <c r="D27" s="39">
        <v>2660.8775590964538</v>
      </c>
      <c r="E27" s="39">
        <v>0</v>
      </c>
      <c r="F27" s="39">
        <v>1947.6720000000012</v>
      </c>
      <c r="G27" s="39">
        <v>2660.8775590964538</v>
      </c>
    </row>
    <row r="28" spans="1:7" ht="11.25" customHeight="1" x14ac:dyDescent="0.2">
      <c r="A28" s="49">
        <v>44593</v>
      </c>
      <c r="B28" s="39">
        <v>2003.9040000000002</v>
      </c>
      <c r="C28" s="39">
        <v>0</v>
      </c>
      <c r="D28" s="39">
        <v>2737.7007957107858</v>
      </c>
      <c r="E28" s="39">
        <v>0</v>
      </c>
      <c r="F28" s="39">
        <v>2003.9040000000002</v>
      </c>
      <c r="G28" s="39">
        <v>2737.7007957107858</v>
      </c>
    </row>
    <row r="29" spans="1:7" ht="11.25" customHeight="1" x14ac:dyDescent="0.2">
      <c r="A29" s="49">
        <v>44621</v>
      </c>
      <c r="B29" s="39">
        <v>1937.4480000000008</v>
      </c>
      <c r="C29" s="39">
        <v>0</v>
      </c>
      <c r="D29" s="39">
        <v>2646.9096978938469</v>
      </c>
      <c r="E29" s="39">
        <v>0</v>
      </c>
      <c r="F29" s="39">
        <v>1937.4480000000008</v>
      </c>
      <c r="G29" s="39">
        <v>2646.9096978938469</v>
      </c>
    </row>
    <row r="30" spans="1:7" ht="11.25" customHeight="1" x14ac:dyDescent="0.2">
      <c r="A30" s="49">
        <v>44652</v>
      </c>
      <c r="B30" s="39">
        <v>1911.8880000000006</v>
      </c>
      <c r="C30" s="39">
        <v>0</v>
      </c>
      <c r="D30" s="39">
        <v>2611.9900448873318</v>
      </c>
      <c r="E30" s="39">
        <v>0</v>
      </c>
      <c r="F30" s="39">
        <v>1911.8880000000006</v>
      </c>
      <c r="G30" s="39">
        <v>2611.9900448873318</v>
      </c>
    </row>
    <row r="31" spans="1:7" ht="11.25" customHeight="1" x14ac:dyDescent="0.2">
      <c r="A31" s="49">
        <v>44682</v>
      </c>
      <c r="B31" s="39">
        <v>1952.7840000000003</v>
      </c>
      <c r="C31" s="39">
        <v>0</v>
      </c>
      <c r="D31" s="39">
        <v>2667.8614896977556</v>
      </c>
      <c r="E31" s="39">
        <v>0</v>
      </c>
      <c r="F31" s="39">
        <v>1952.7840000000003</v>
      </c>
      <c r="G31" s="39">
        <v>2667.8614896977556</v>
      </c>
    </row>
    <row r="32" spans="1:7" ht="11.25" customHeight="1" x14ac:dyDescent="0.2">
      <c r="A32" s="49">
        <v>44713</v>
      </c>
      <c r="B32" s="39">
        <v>1865.8799999999999</v>
      </c>
      <c r="C32" s="39">
        <v>0</v>
      </c>
      <c r="D32" s="39">
        <v>2549.1346694756035</v>
      </c>
      <c r="E32" s="39">
        <v>0</v>
      </c>
      <c r="F32" s="39">
        <v>1865.8799999999999</v>
      </c>
      <c r="G32" s="39">
        <v>2549.1346694756035</v>
      </c>
    </row>
    <row r="33" spans="1:7" ht="11.25" customHeight="1" x14ac:dyDescent="0.2">
      <c r="A33" s="49">
        <v>44743</v>
      </c>
      <c r="B33" s="39">
        <v>1901.6640000000002</v>
      </c>
      <c r="C33" s="39">
        <v>0</v>
      </c>
      <c r="D33" s="39">
        <v>2598.0221836847254</v>
      </c>
      <c r="E33" s="39">
        <v>0</v>
      </c>
      <c r="F33" s="39">
        <v>1901.6640000000002</v>
      </c>
      <c r="G33" s="39">
        <v>2598.0221836847254</v>
      </c>
    </row>
    <row r="34" spans="1:7" ht="11.25" customHeight="1" x14ac:dyDescent="0.2">
      <c r="A34" s="49">
        <v>44774</v>
      </c>
      <c r="B34" s="39">
        <v>2167.4880000000007</v>
      </c>
      <c r="C34" s="39">
        <v>0</v>
      </c>
      <c r="D34" s="39">
        <v>2961.1865749524832</v>
      </c>
      <c r="E34" s="39">
        <v>0</v>
      </c>
      <c r="F34" s="39">
        <v>2167.4880000000007</v>
      </c>
      <c r="G34" s="39">
        <v>2961.1865749524832</v>
      </c>
    </row>
    <row r="35" spans="1:7" ht="11.25" customHeight="1" x14ac:dyDescent="0.2">
      <c r="A35" s="48" t="s">
        <v>34</v>
      </c>
      <c r="B35" s="39">
        <v>0</v>
      </c>
      <c r="C35" s="39">
        <v>35292.749236200034</v>
      </c>
      <c r="D35" s="39">
        <v>0</v>
      </c>
      <c r="E35" s="39">
        <v>48098.719872818634</v>
      </c>
      <c r="F35" s="39">
        <v>35292.749236200034</v>
      </c>
      <c r="G35" s="39">
        <v>48098.719872818634</v>
      </c>
    </row>
    <row r="36" spans="1:7" ht="11.25" customHeight="1" x14ac:dyDescent="0.2">
      <c r="A36" s="49">
        <v>44440</v>
      </c>
      <c r="B36" s="39">
        <v>0</v>
      </c>
      <c r="C36" s="39">
        <v>2452.4013965999993</v>
      </c>
      <c r="D36" s="39">
        <v>0</v>
      </c>
      <c r="E36" s="39">
        <v>3342.2550054497547</v>
      </c>
      <c r="F36" s="39">
        <v>2452.4013965999993</v>
      </c>
      <c r="G36" s="39">
        <v>3342.2550054497547</v>
      </c>
    </row>
    <row r="37" spans="1:7" ht="11.25" customHeight="1" x14ac:dyDescent="0.2">
      <c r="A37" s="49">
        <v>44470</v>
      </c>
      <c r="B37" s="39">
        <v>0</v>
      </c>
      <c r="C37" s="39">
        <v>2512.8765750000016</v>
      </c>
      <c r="D37" s="39">
        <v>0</v>
      </c>
      <c r="E37" s="39">
        <v>3424.6735964655236</v>
      </c>
      <c r="F37" s="39">
        <v>2512.8765750000016</v>
      </c>
      <c r="G37" s="39">
        <v>3424.6735964655236</v>
      </c>
    </row>
    <row r="38" spans="1:7" ht="11.25" customHeight="1" x14ac:dyDescent="0.2">
      <c r="A38" s="49">
        <v>44501</v>
      </c>
      <c r="B38" s="39">
        <v>0</v>
      </c>
      <c r="C38" s="39">
        <v>2242.3996782000008</v>
      </c>
      <c r="D38" s="39">
        <v>0</v>
      </c>
      <c r="E38" s="39">
        <v>3056.0541839005059</v>
      </c>
      <c r="F38" s="39">
        <v>2242.3996782000008</v>
      </c>
      <c r="G38" s="39">
        <v>3056.0541839005059</v>
      </c>
    </row>
    <row r="39" spans="1:7" ht="11.25" customHeight="1" x14ac:dyDescent="0.2">
      <c r="A39" s="49">
        <v>44531</v>
      </c>
      <c r="B39" s="39">
        <v>0</v>
      </c>
      <c r="C39" s="39">
        <v>3183.4200366000023</v>
      </c>
      <c r="D39" s="39">
        <v>0</v>
      </c>
      <c r="E39" s="39">
        <v>4338.5236880579114</v>
      </c>
      <c r="F39" s="39">
        <v>3183.4200366000023</v>
      </c>
      <c r="G39" s="39">
        <v>4338.5236880579114</v>
      </c>
    </row>
    <row r="40" spans="1:7" ht="11.25" customHeight="1" x14ac:dyDescent="0.2">
      <c r="A40" s="49">
        <v>44562</v>
      </c>
      <c r="B40" s="39">
        <v>0</v>
      </c>
      <c r="C40" s="39">
        <v>3683.3371020000036</v>
      </c>
      <c r="D40" s="39">
        <v>0</v>
      </c>
      <c r="E40" s="39">
        <v>5019.8356121415327</v>
      </c>
      <c r="F40" s="39">
        <v>3683.3371020000036</v>
      </c>
      <c r="G40" s="39">
        <v>5019.8356121415327</v>
      </c>
    </row>
    <row r="41" spans="1:7" ht="11.25" customHeight="1" x14ac:dyDescent="0.2">
      <c r="A41" s="49">
        <v>44593</v>
      </c>
      <c r="B41" s="39">
        <v>0</v>
      </c>
      <c r="C41" s="39">
        <v>3509.2217532000041</v>
      </c>
      <c r="D41" s="39">
        <v>0</v>
      </c>
      <c r="E41" s="39">
        <v>4782.5425259203184</v>
      </c>
      <c r="F41" s="39">
        <v>3509.2217532000041</v>
      </c>
      <c r="G41" s="39">
        <v>4782.5425259203184</v>
      </c>
    </row>
    <row r="42" spans="1:7" ht="11.25" customHeight="1" x14ac:dyDescent="0.2">
      <c r="A42" s="49">
        <v>44621</v>
      </c>
      <c r="B42" s="39">
        <v>0</v>
      </c>
      <c r="C42" s="39">
        <v>3307.8593460000034</v>
      </c>
      <c r="D42" s="39">
        <v>0</v>
      </c>
      <c r="E42" s="39">
        <v>4508.1157888018906</v>
      </c>
      <c r="F42" s="39">
        <v>3307.8593460000034</v>
      </c>
      <c r="G42" s="39">
        <v>4508.1157888018906</v>
      </c>
    </row>
    <row r="43" spans="1:7" ht="11.25" customHeight="1" x14ac:dyDescent="0.2">
      <c r="A43" s="49">
        <v>44652</v>
      </c>
      <c r="B43" s="39">
        <v>0</v>
      </c>
      <c r="C43" s="39">
        <v>2865.9253500000004</v>
      </c>
      <c r="D43" s="39">
        <v>0</v>
      </c>
      <c r="E43" s="39">
        <v>3905.8260852251406</v>
      </c>
      <c r="F43" s="39">
        <v>2865.9253500000004</v>
      </c>
      <c r="G43" s="39">
        <v>3905.8260852251406</v>
      </c>
    </row>
    <row r="44" spans="1:7" ht="11.25" customHeight="1" x14ac:dyDescent="0.2">
      <c r="A44" s="49">
        <v>44682</v>
      </c>
      <c r="B44" s="39">
        <v>0</v>
      </c>
      <c r="C44" s="39">
        <v>2903.8054068000024</v>
      </c>
      <c r="D44" s="39">
        <v>0</v>
      </c>
      <c r="E44" s="39">
        <v>3957.4509169602929</v>
      </c>
      <c r="F44" s="39">
        <v>2903.8054068000024</v>
      </c>
      <c r="G44" s="39">
        <v>3957.4509169602929</v>
      </c>
    </row>
    <row r="45" spans="1:7" ht="11.25" customHeight="1" x14ac:dyDescent="0.2">
      <c r="A45" s="49">
        <v>44713</v>
      </c>
      <c r="B45" s="39">
        <v>0</v>
      </c>
      <c r="C45" s="39">
        <v>2745.8056962000028</v>
      </c>
      <c r="D45" s="39">
        <v>0</v>
      </c>
      <c r="E45" s="39">
        <v>3742.1210266965772</v>
      </c>
      <c r="F45" s="39">
        <v>2745.8056962000028</v>
      </c>
      <c r="G45" s="39">
        <v>3742.1210266965772</v>
      </c>
    </row>
    <row r="46" spans="1:7" ht="11.25" customHeight="1" x14ac:dyDescent="0.2">
      <c r="A46" s="49">
        <v>44743</v>
      </c>
      <c r="B46" s="39">
        <v>0</v>
      </c>
      <c r="C46" s="39">
        <v>2906.6297970000041</v>
      </c>
      <c r="D46" s="39">
        <v>0</v>
      </c>
      <c r="E46" s="39">
        <v>3961.3001368703722</v>
      </c>
      <c r="F46" s="39">
        <v>2906.6297970000041</v>
      </c>
      <c r="G46" s="39">
        <v>3961.3001368703722</v>
      </c>
    </row>
    <row r="47" spans="1:7" ht="11.25" customHeight="1" x14ac:dyDescent="0.2">
      <c r="A47" s="49">
        <v>44774</v>
      </c>
      <c r="B47" s="39">
        <v>0</v>
      </c>
      <c r="C47" s="39">
        <v>2979.0670986000064</v>
      </c>
      <c r="D47" s="39">
        <v>0</v>
      </c>
      <c r="E47" s="39">
        <v>4060.0213063288188</v>
      </c>
      <c r="F47" s="39">
        <v>2979.0670986000064</v>
      </c>
      <c r="G47" s="39">
        <v>4060.0213063288188</v>
      </c>
    </row>
    <row r="48" spans="1:7" ht="11.25" customHeight="1" x14ac:dyDescent="0.2">
      <c r="A48" s="42" t="s">
        <v>37</v>
      </c>
      <c r="B48" s="39">
        <v>0</v>
      </c>
      <c r="C48" s="39">
        <v>12557.045332800004</v>
      </c>
      <c r="D48" s="39">
        <v>0</v>
      </c>
      <c r="E48" s="39">
        <v>14696.15503357311</v>
      </c>
      <c r="F48" s="39">
        <v>12557.045332800004</v>
      </c>
      <c r="G48" s="39">
        <v>14696.15503357311</v>
      </c>
    </row>
    <row r="49" spans="1:7" ht="11.25" customHeight="1" x14ac:dyDescent="0.2">
      <c r="A49" s="43" t="s">
        <v>23</v>
      </c>
      <c r="B49" s="39">
        <v>0</v>
      </c>
      <c r="C49" s="39">
        <v>12557.045332800004</v>
      </c>
      <c r="D49" s="39">
        <v>0</v>
      </c>
      <c r="E49" s="39">
        <v>14696.15503357311</v>
      </c>
      <c r="F49" s="39">
        <v>12557.045332800004</v>
      </c>
      <c r="G49" s="39">
        <v>14696.15503357311</v>
      </c>
    </row>
    <row r="50" spans="1:7" ht="11.25" customHeight="1" x14ac:dyDescent="0.2">
      <c r="A50" s="44" t="s">
        <v>48</v>
      </c>
      <c r="B50" s="39">
        <v>0</v>
      </c>
      <c r="C50" s="39">
        <v>12557.045332800004</v>
      </c>
      <c r="D50" s="39">
        <v>0</v>
      </c>
      <c r="E50" s="39">
        <v>14696.15503357311</v>
      </c>
      <c r="F50" s="39">
        <v>12557.045332800004</v>
      </c>
      <c r="G50" s="39">
        <v>14696.15503357311</v>
      </c>
    </row>
    <row r="51" spans="1:7" ht="11.25" customHeight="1" x14ac:dyDescent="0.2">
      <c r="A51" s="45" t="s">
        <v>49</v>
      </c>
      <c r="B51" s="39">
        <v>0</v>
      </c>
      <c r="C51" s="39">
        <v>12557.045332800004</v>
      </c>
      <c r="D51" s="39">
        <v>0</v>
      </c>
      <c r="E51" s="39">
        <v>14696.15503357311</v>
      </c>
      <c r="F51" s="39">
        <v>12557.045332800004</v>
      </c>
      <c r="G51" s="39">
        <v>14696.15503357311</v>
      </c>
    </row>
    <row r="52" spans="1:7" ht="11.25" customHeight="1" x14ac:dyDescent="0.2">
      <c r="A52" s="46" t="s">
        <v>25</v>
      </c>
      <c r="B52" s="39">
        <v>0</v>
      </c>
      <c r="C52" s="39">
        <v>12557.045332800004</v>
      </c>
      <c r="D52" s="39">
        <v>0</v>
      </c>
      <c r="E52" s="39">
        <v>14696.15503357311</v>
      </c>
      <c r="F52" s="39">
        <v>12557.045332800004</v>
      </c>
      <c r="G52" s="39">
        <v>14696.15503357311</v>
      </c>
    </row>
    <row r="53" spans="1:7" ht="11.25" customHeight="1" x14ac:dyDescent="0.2">
      <c r="A53" s="47" t="s">
        <v>25</v>
      </c>
      <c r="B53" s="39">
        <v>0</v>
      </c>
      <c r="C53" s="39">
        <v>12557.045332800004</v>
      </c>
      <c r="D53" s="39">
        <v>0</v>
      </c>
      <c r="E53" s="39">
        <v>14696.15503357311</v>
      </c>
      <c r="F53" s="39">
        <v>12557.045332800004</v>
      </c>
      <c r="G53" s="39">
        <v>14696.15503357311</v>
      </c>
    </row>
    <row r="54" spans="1:7" ht="11.25" customHeight="1" x14ac:dyDescent="0.2">
      <c r="A54" s="48" t="s">
        <v>25</v>
      </c>
      <c r="B54" s="39">
        <v>0</v>
      </c>
      <c r="C54" s="39">
        <v>12557.045332800004</v>
      </c>
      <c r="D54" s="39">
        <v>0</v>
      </c>
      <c r="E54" s="39">
        <v>14696.15503357311</v>
      </c>
      <c r="F54" s="39">
        <v>12557.045332800004</v>
      </c>
      <c r="G54" s="39">
        <v>14696.15503357311</v>
      </c>
    </row>
    <row r="55" spans="1:7" ht="11.25" customHeight="1" x14ac:dyDescent="0.2">
      <c r="A55" s="49">
        <v>44440</v>
      </c>
      <c r="B55" s="39">
        <v>0</v>
      </c>
      <c r="C55" s="39">
        <v>977.95854720000079</v>
      </c>
      <c r="D55" s="39">
        <v>0</v>
      </c>
      <c r="E55" s="39">
        <v>1144.555111903413</v>
      </c>
      <c r="F55" s="39">
        <v>977.95854720000079</v>
      </c>
      <c r="G55" s="39">
        <v>1144.555111903413</v>
      </c>
    </row>
    <row r="56" spans="1:7" ht="11.25" customHeight="1" x14ac:dyDescent="0.2">
      <c r="A56" s="49">
        <v>44470</v>
      </c>
      <c r="B56" s="39">
        <v>0</v>
      </c>
      <c r="C56" s="39">
        <v>866.25718559999984</v>
      </c>
      <c r="D56" s="39">
        <v>0</v>
      </c>
      <c r="E56" s="39">
        <v>1013.8252718791134</v>
      </c>
      <c r="F56" s="39">
        <v>866.25718559999984</v>
      </c>
      <c r="G56" s="39">
        <v>1013.8252718791134</v>
      </c>
    </row>
    <row r="57" spans="1:7" ht="11.25" customHeight="1" x14ac:dyDescent="0.2">
      <c r="A57" s="49">
        <v>44501</v>
      </c>
      <c r="B57" s="39">
        <v>0</v>
      </c>
      <c r="C57" s="39">
        <v>958.98879359999933</v>
      </c>
      <c r="D57" s="39">
        <v>0</v>
      </c>
      <c r="E57" s="39">
        <v>1122.3538350531894</v>
      </c>
      <c r="F57" s="39">
        <v>958.98879359999933</v>
      </c>
      <c r="G57" s="39">
        <v>1122.3538350531894</v>
      </c>
    </row>
    <row r="58" spans="1:7" ht="11.25" customHeight="1" x14ac:dyDescent="0.2">
      <c r="A58" s="49">
        <v>44531</v>
      </c>
      <c r="B58" s="39">
        <v>0</v>
      </c>
      <c r="C58" s="39">
        <v>914.23203120000142</v>
      </c>
      <c r="D58" s="39">
        <v>0</v>
      </c>
      <c r="E58" s="39">
        <v>1069.972697484699</v>
      </c>
      <c r="F58" s="39">
        <v>914.23203120000142</v>
      </c>
      <c r="G58" s="39">
        <v>1069.972697484699</v>
      </c>
    </row>
    <row r="59" spans="1:7" ht="11.25" customHeight="1" x14ac:dyDescent="0.2">
      <c r="A59" s="49">
        <v>44562</v>
      </c>
      <c r="B59" s="39">
        <v>0</v>
      </c>
      <c r="C59" s="39">
        <v>1252.3848264000017</v>
      </c>
      <c r="D59" s="39">
        <v>0</v>
      </c>
      <c r="E59" s="39">
        <v>1465.7302799085237</v>
      </c>
      <c r="F59" s="39">
        <v>1252.3848264000017</v>
      </c>
      <c r="G59" s="39">
        <v>1465.7302799085237</v>
      </c>
    </row>
    <row r="60" spans="1:7" ht="11.25" customHeight="1" x14ac:dyDescent="0.2">
      <c r="A60" s="49">
        <v>44593</v>
      </c>
      <c r="B60" s="39">
        <v>0</v>
      </c>
      <c r="C60" s="39">
        <v>1366.4150640000021</v>
      </c>
      <c r="D60" s="39">
        <v>0</v>
      </c>
      <c r="E60" s="39">
        <v>1599.18572311756</v>
      </c>
      <c r="F60" s="39">
        <v>1366.4150640000021</v>
      </c>
      <c r="G60" s="39">
        <v>1599.18572311756</v>
      </c>
    </row>
    <row r="61" spans="1:7" ht="11.25" customHeight="1" x14ac:dyDescent="0.2">
      <c r="A61" s="49">
        <v>44621</v>
      </c>
      <c r="B61" s="39">
        <v>0</v>
      </c>
      <c r="C61" s="39">
        <v>1275.5889000000006</v>
      </c>
      <c r="D61" s="39">
        <v>0</v>
      </c>
      <c r="E61" s="39">
        <v>1492.8871989128122</v>
      </c>
      <c r="F61" s="39">
        <v>1275.5889000000006</v>
      </c>
      <c r="G61" s="39">
        <v>1492.8871989128122</v>
      </c>
    </row>
    <row r="62" spans="1:7" ht="11.25" customHeight="1" x14ac:dyDescent="0.2">
      <c r="A62" s="49">
        <v>44652</v>
      </c>
      <c r="B62" s="39">
        <v>0</v>
      </c>
      <c r="C62" s="39">
        <v>1034.1479735999997</v>
      </c>
      <c r="D62" s="39">
        <v>0</v>
      </c>
      <c r="E62" s="39">
        <v>1210.3164832878865</v>
      </c>
      <c r="F62" s="39">
        <v>1034.1479735999997</v>
      </c>
      <c r="G62" s="39">
        <v>1210.3164832878865</v>
      </c>
    </row>
    <row r="63" spans="1:7" ht="11.25" customHeight="1" x14ac:dyDescent="0.2">
      <c r="A63" s="49">
        <v>44682</v>
      </c>
      <c r="B63" s="39">
        <v>0</v>
      </c>
      <c r="C63" s="39">
        <v>1068.7847111999997</v>
      </c>
      <c r="D63" s="39">
        <v>0</v>
      </c>
      <c r="E63" s="39">
        <v>1250.8536361081581</v>
      </c>
      <c r="F63" s="39">
        <v>1068.7847111999997</v>
      </c>
      <c r="G63" s="39">
        <v>1250.8536361081581</v>
      </c>
    </row>
    <row r="64" spans="1:7" ht="11.25" customHeight="1" x14ac:dyDescent="0.2">
      <c r="A64" s="49">
        <v>44713</v>
      </c>
      <c r="B64" s="39">
        <v>0</v>
      </c>
      <c r="C64" s="39">
        <v>969.53225039999893</v>
      </c>
      <c r="D64" s="39">
        <v>0</v>
      </c>
      <c r="E64" s="39">
        <v>1134.6933840168167</v>
      </c>
      <c r="F64" s="39">
        <v>969.53225039999893</v>
      </c>
      <c r="G64" s="39">
        <v>1134.6933840168167</v>
      </c>
    </row>
    <row r="65" spans="1:7" ht="11.25" customHeight="1" x14ac:dyDescent="0.2">
      <c r="A65" s="49">
        <v>44743</v>
      </c>
      <c r="B65" s="39">
        <v>0</v>
      </c>
      <c r="C65" s="39">
        <v>814.34442239999953</v>
      </c>
      <c r="D65" s="39">
        <v>0</v>
      </c>
      <c r="E65" s="39">
        <v>953.06909907024635</v>
      </c>
      <c r="F65" s="39">
        <v>814.34442239999953</v>
      </c>
      <c r="G65" s="39">
        <v>953.06909907024635</v>
      </c>
    </row>
    <row r="66" spans="1:7" ht="11.25" customHeight="1" x14ac:dyDescent="0.2">
      <c r="A66" s="49">
        <v>44774</v>
      </c>
      <c r="B66" s="39">
        <v>0</v>
      </c>
      <c r="C66" s="39">
        <v>1058.4106271999988</v>
      </c>
      <c r="D66" s="39">
        <v>0</v>
      </c>
      <c r="E66" s="39">
        <v>1238.7123128306919</v>
      </c>
      <c r="F66" s="39">
        <v>1058.4106271999988</v>
      </c>
      <c r="G66" s="39">
        <v>1238.7123128306919</v>
      </c>
    </row>
    <row r="67" spans="1:7" ht="11.25" customHeight="1" x14ac:dyDescent="0.2">
      <c r="A67" s="41" t="s">
        <v>692</v>
      </c>
      <c r="B67" s="39">
        <v>0</v>
      </c>
      <c r="C67" s="39">
        <v>92400.683709999998</v>
      </c>
      <c r="D67" s="39">
        <v>0</v>
      </c>
      <c r="E67" s="39">
        <v>104039.28575343591</v>
      </c>
      <c r="F67" s="39">
        <v>92400.683709999998</v>
      </c>
      <c r="G67" s="39">
        <v>104039.28575343591</v>
      </c>
    </row>
    <row r="68" spans="1:7" ht="11.25" customHeight="1" x14ac:dyDescent="0.2">
      <c r="A68" s="42" t="s">
        <v>22</v>
      </c>
      <c r="B68" s="39">
        <v>0</v>
      </c>
      <c r="C68" s="39">
        <v>92400.683709999998</v>
      </c>
      <c r="D68" s="39">
        <v>0</v>
      </c>
      <c r="E68" s="39">
        <v>104039.28575343591</v>
      </c>
      <c r="F68" s="39">
        <v>92400.683709999998</v>
      </c>
      <c r="G68" s="39">
        <v>104039.28575343591</v>
      </c>
    </row>
    <row r="69" spans="1:7" ht="11.25" customHeight="1" x14ac:dyDescent="0.2">
      <c r="A69" s="43" t="s">
        <v>23</v>
      </c>
      <c r="B69" s="39">
        <v>0</v>
      </c>
      <c r="C69" s="39">
        <v>92400.683709999998</v>
      </c>
      <c r="D69" s="39">
        <v>0</v>
      </c>
      <c r="E69" s="39">
        <v>104039.28575343591</v>
      </c>
      <c r="F69" s="39">
        <v>92400.683709999998</v>
      </c>
      <c r="G69" s="39">
        <v>104039.28575343591</v>
      </c>
    </row>
    <row r="70" spans="1:7" ht="11.25" customHeight="1" x14ac:dyDescent="0.2">
      <c r="A70" s="44" t="s">
        <v>24</v>
      </c>
      <c r="B70" s="39">
        <v>0</v>
      </c>
      <c r="C70" s="39">
        <v>92400.683709999998</v>
      </c>
      <c r="D70" s="39">
        <v>0</v>
      </c>
      <c r="E70" s="39">
        <v>104039.28575343591</v>
      </c>
      <c r="F70" s="39">
        <v>92400.683709999998</v>
      </c>
      <c r="G70" s="39">
        <v>104039.28575343591</v>
      </c>
    </row>
    <row r="71" spans="1:7" ht="11.25" customHeight="1" x14ac:dyDescent="0.2">
      <c r="A71" s="45" t="s">
        <v>29</v>
      </c>
      <c r="B71" s="39">
        <v>0</v>
      </c>
      <c r="C71" s="39">
        <v>34789.852189999998</v>
      </c>
      <c r="D71" s="39">
        <v>0</v>
      </c>
      <c r="E71" s="39">
        <v>39172.174101699704</v>
      </c>
      <c r="F71" s="39">
        <v>34789.852189999998</v>
      </c>
      <c r="G71" s="39">
        <v>39172.174101699704</v>
      </c>
    </row>
    <row r="72" spans="1:7" ht="11.25" customHeight="1" x14ac:dyDescent="0.2">
      <c r="A72" s="46" t="s">
        <v>25</v>
      </c>
      <c r="B72" s="39">
        <v>0</v>
      </c>
      <c r="C72" s="39">
        <v>34789.852189999998</v>
      </c>
      <c r="D72" s="39">
        <v>0</v>
      </c>
      <c r="E72" s="39">
        <v>39172.174101699704</v>
      </c>
      <c r="F72" s="39">
        <v>34789.852189999998</v>
      </c>
      <c r="G72" s="39">
        <v>39172.174101699704</v>
      </c>
    </row>
    <row r="73" spans="1:7" ht="11.25" customHeight="1" x14ac:dyDescent="0.2">
      <c r="A73" s="47" t="s">
        <v>25</v>
      </c>
      <c r="B73" s="39">
        <v>0</v>
      </c>
      <c r="C73" s="39">
        <v>34789.852189999998</v>
      </c>
      <c r="D73" s="39">
        <v>0</v>
      </c>
      <c r="E73" s="39">
        <v>39172.174101699704</v>
      </c>
      <c r="F73" s="39">
        <v>34789.852189999998</v>
      </c>
      <c r="G73" s="39">
        <v>39172.174101699704</v>
      </c>
    </row>
    <row r="74" spans="1:7" ht="11.25" customHeight="1" x14ac:dyDescent="0.2">
      <c r="A74" s="48" t="s">
        <v>25</v>
      </c>
      <c r="B74" s="39">
        <v>0</v>
      </c>
      <c r="C74" s="39">
        <v>34789.852189999998</v>
      </c>
      <c r="D74" s="39">
        <v>0</v>
      </c>
      <c r="E74" s="39">
        <v>39172.174101699704</v>
      </c>
      <c r="F74" s="39">
        <v>34789.852189999998</v>
      </c>
      <c r="G74" s="39">
        <v>39172.174101699704</v>
      </c>
    </row>
    <row r="75" spans="1:7" ht="11.25" customHeight="1" x14ac:dyDescent="0.2">
      <c r="A75" s="49">
        <v>44440</v>
      </c>
      <c r="B75" s="39">
        <v>0</v>
      </c>
      <c r="C75" s="39">
        <v>2379.9209999999998</v>
      </c>
      <c r="D75" s="39">
        <v>0</v>
      </c>
      <c r="E75" s="39">
        <v>2679.7089924713268</v>
      </c>
      <c r="F75" s="39">
        <v>2379.9209999999998</v>
      </c>
      <c r="G75" s="39">
        <v>2679.7089924713268</v>
      </c>
    </row>
    <row r="76" spans="1:7" ht="11.25" customHeight="1" x14ac:dyDescent="0.2">
      <c r="A76" s="49">
        <v>44470</v>
      </c>
      <c r="B76" s="39">
        <v>0</v>
      </c>
      <c r="C76" s="39">
        <v>2379.9209999999998</v>
      </c>
      <c r="D76" s="39">
        <v>0</v>
      </c>
      <c r="E76" s="39">
        <v>2679.7089924713268</v>
      </c>
      <c r="F76" s="39">
        <v>2379.9209999999998</v>
      </c>
      <c r="G76" s="39">
        <v>2679.7089924713268</v>
      </c>
    </row>
    <row r="77" spans="1:7" ht="11.25" customHeight="1" x14ac:dyDescent="0.2">
      <c r="A77" s="49">
        <v>44501</v>
      </c>
      <c r="B77" s="39">
        <v>0</v>
      </c>
      <c r="C77" s="39">
        <v>2430.0245999999997</v>
      </c>
      <c r="D77" s="39">
        <v>0</v>
      </c>
      <c r="E77" s="39">
        <v>2736.123918628618</v>
      </c>
      <c r="F77" s="39">
        <v>2430.0245999999997</v>
      </c>
      <c r="G77" s="39">
        <v>2736.123918628618</v>
      </c>
    </row>
    <row r="78" spans="1:7" ht="11.25" customHeight="1" x14ac:dyDescent="0.2">
      <c r="A78" s="49">
        <v>44531</v>
      </c>
      <c r="B78" s="39">
        <v>0</v>
      </c>
      <c r="C78" s="39">
        <v>2417.4986999999996</v>
      </c>
      <c r="D78" s="39">
        <v>0</v>
      </c>
      <c r="E78" s="39">
        <v>2722.0201870892952</v>
      </c>
      <c r="F78" s="39">
        <v>2417.4986999999996</v>
      </c>
      <c r="G78" s="39">
        <v>2722.0201870892952</v>
      </c>
    </row>
    <row r="79" spans="1:7" ht="11.25" customHeight="1" x14ac:dyDescent="0.2">
      <c r="A79" s="49">
        <v>44562</v>
      </c>
      <c r="B79" s="39">
        <v>0</v>
      </c>
      <c r="C79" s="39">
        <v>2392.4468999999999</v>
      </c>
      <c r="D79" s="39">
        <v>0</v>
      </c>
      <c r="E79" s="39">
        <v>2693.8127240106496</v>
      </c>
      <c r="F79" s="39">
        <v>2392.4468999999999</v>
      </c>
      <c r="G79" s="39">
        <v>2693.8127240106496</v>
      </c>
    </row>
    <row r="80" spans="1:7" ht="11.25" customHeight="1" x14ac:dyDescent="0.2">
      <c r="A80" s="49">
        <v>44593</v>
      </c>
      <c r="B80" s="39">
        <v>0</v>
      </c>
      <c r="C80" s="39">
        <v>2442.5504999999994</v>
      </c>
      <c r="D80" s="39">
        <v>0</v>
      </c>
      <c r="E80" s="39">
        <v>2750.2276501679403</v>
      </c>
      <c r="F80" s="39">
        <v>2442.5504999999994</v>
      </c>
      <c r="G80" s="39">
        <v>2750.2276501679403</v>
      </c>
    </row>
    <row r="81" spans="1:7" ht="11.25" customHeight="1" x14ac:dyDescent="0.2">
      <c r="A81" s="49">
        <v>44621</v>
      </c>
      <c r="B81" s="39">
        <v>0</v>
      </c>
      <c r="C81" s="39">
        <v>2505.1799999999994</v>
      </c>
      <c r="D81" s="39">
        <v>0</v>
      </c>
      <c r="E81" s="39">
        <v>2820.7463078645542</v>
      </c>
      <c r="F81" s="39">
        <v>2505.1799999999994</v>
      </c>
      <c r="G81" s="39">
        <v>2820.7463078645542</v>
      </c>
    </row>
    <row r="82" spans="1:7" ht="11.25" customHeight="1" x14ac:dyDescent="0.2">
      <c r="A82" s="49">
        <v>44652</v>
      </c>
      <c r="B82" s="39">
        <v>0</v>
      </c>
      <c r="C82" s="39">
        <v>3682.6145999999994</v>
      </c>
      <c r="D82" s="39">
        <v>0</v>
      </c>
      <c r="E82" s="39">
        <v>4146.4970725608955</v>
      </c>
      <c r="F82" s="39">
        <v>3682.6145999999994</v>
      </c>
      <c r="G82" s="39">
        <v>4146.4970725608955</v>
      </c>
    </row>
    <row r="83" spans="1:7" ht="11.25" customHeight="1" x14ac:dyDescent="0.2">
      <c r="A83" s="49">
        <v>44682</v>
      </c>
      <c r="B83" s="39">
        <v>0</v>
      </c>
      <c r="C83" s="39">
        <v>3682.6145999999994</v>
      </c>
      <c r="D83" s="39">
        <v>0</v>
      </c>
      <c r="E83" s="39">
        <v>4146.4970725608955</v>
      </c>
      <c r="F83" s="39">
        <v>3682.6145999999994</v>
      </c>
      <c r="G83" s="39">
        <v>4146.4970725608955</v>
      </c>
    </row>
    <row r="84" spans="1:7" ht="11.25" customHeight="1" x14ac:dyDescent="0.2">
      <c r="A84" s="49">
        <v>44713</v>
      </c>
      <c r="B84" s="39">
        <v>0</v>
      </c>
      <c r="C84" s="39">
        <v>3582.4073999999991</v>
      </c>
      <c r="D84" s="39">
        <v>0</v>
      </c>
      <c r="E84" s="39">
        <v>4033.6672202463128</v>
      </c>
      <c r="F84" s="39">
        <v>3582.4073999999991</v>
      </c>
      <c r="G84" s="39">
        <v>4033.6672202463128</v>
      </c>
    </row>
    <row r="85" spans="1:7" ht="11.25" customHeight="1" x14ac:dyDescent="0.2">
      <c r="A85" s="49">
        <v>44743</v>
      </c>
      <c r="B85" s="39">
        <v>0</v>
      </c>
      <c r="C85" s="39">
        <v>3475.1021899999996</v>
      </c>
      <c r="D85" s="39">
        <v>0</v>
      </c>
      <c r="E85" s="39">
        <v>3912.8452533927812</v>
      </c>
      <c r="F85" s="39">
        <v>3475.1021899999996</v>
      </c>
      <c r="G85" s="39">
        <v>3912.8452533927812</v>
      </c>
    </row>
    <row r="86" spans="1:7" ht="11.25" customHeight="1" x14ac:dyDescent="0.2">
      <c r="A86" s="49">
        <v>44774</v>
      </c>
      <c r="B86" s="39">
        <v>0</v>
      </c>
      <c r="C86" s="39">
        <v>3419.5706999999993</v>
      </c>
      <c r="D86" s="39">
        <v>0</v>
      </c>
      <c r="E86" s="39">
        <v>3850.3187102351167</v>
      </c>
      <c r="F86" s="39">
        <v>3419.5706999999993</v>
      </c>
      <c r="G86" s="39">
        <v>3850.3187102351167</v>
      </c>
    </row>
    <row r="87" spans="1:7" ht="11.25" customHeight="1" x14ac:dyDescent="0.2">
      <c r="A87" s="45" t="s">
        <v>30</v>
      </c>
      <c r="B87" s="39">
        <v>0</v>
      </c>
      <c r="C87" s="39">
        <v>45210.134639999989</v>
      </c>
      <c r="D87" s="39">
        <v>0</v>
      </c>
      <c r="E87" s="39">
        <v>50905.357676575964</v>
      </c>
      <c r="F87" s="39">
        <v>45210.134639999989</v>
      </c>
      <c r="G87" s="39">
        <v>50905.357676575964</v>
      </c>
    </row>
    <row r="88" spans="1:7" ht="11.25" customHeight="1" x14ac:dyDescent="0.2">
      <c r="A88" s="46" t="s">
        <v>25</v>
      </c>
      <c r="B88" s="39">
        <v>0</v>
      </c>
      <c r="C88" s="39">
        <v>45210.134639999989</v>
      </c>
      <c r="D88" s="39">
        <v>0</v>
      </c>
      <c r="E88" s="39">
        <v>50905.357676575964</v>
      </c>
      <c r="F88" s="39">
        <v>45210.134639999989</v>
      </c>
      <c r="G88" s="39">
        <v>50905.357676575964</v>
      </c>
    </row>
    <row r="89" spans="1:7" ht="11.25" customHeight="1" x14ac:dyDescent="0.2">
      <c r="A89" s="47" t="s">
        <v>25</v>
      </c>
      <c r="B89" s="39">
        <v>0</v>
      </c>
      <c r="C89" s="39">
        <v>45210.134639999989</v>
      </c>
      <c r="D89" s="39">
        <v>0</v>
      </c>
      <c r="E89" s="39">
        <v>50905.357676575964</v>
      </c>
      <c r="F89" s="39">
        <v>45210.134639999989</v>
      </c>
      <c r="G89" s="39">
        <v>50905.357676575964</v>
      </c>
    </row>
    <row r="90" spans="1:7" ht="11.25" customHeight="1" x14ac:dyDescent="0.2">
      <c r="A90" s="48" t="s">
        <v>25</v>
      </c>
      <c r="B90" s="39">
        <v>0</v>
      </c>
      <c r="C90" s="39">
        <v>45210.134639999989</v>
      </c>
      <c r="D90" s="39">
        <v>0</v>
      </c>
      <c r="E90" s="39">
        <v>50905.357676575964</v>
      </c>
      <c r="F90" s="39">
        <v>45210.134639999989</v>
      </c>
      <c r="G90" s="39">
        <v>50905.357676575964</v>
      </c>
    </row>
    <row r="91" spans="1:7" ht="11.25" customHeight="1" x14ac:dyDescent="0.2">
      <c r="A91" s="49">
        <v>44440</v>
      </c>
      <c r="B91" s="39">
        <v>0</v>
      </c>
      <c r="C91" s="39">
        <v>3059.6415199999992</v>
      </c>
      <c r="D91" s="39">
        <v>0</v>
      </c>
      <c r="E91" s="39">
        <v>3445.071490671909</v>
      </c>
      <c r="F91" s="39">
        <v>3059.6415199999992</v>
      </c>
      <c r="G91" s="39">
        <v>3445.071490671909</v>
      </c>
    </row>
    <row r="92" spans="1:7" ht="11.25" customHeight="1" x14ac:dyDescent="0.2">
      <c r="A92" s="49">
        <v>44470</v>
      </c>
      <c r="B92" s="39">
        <v>0</v>
      </c>
      <c r="C92" s="39">
        <v>3036.0030399999996</v>
      </c>
      <c r="D92" s="39">
        <v>0</v>
      </c>
      <c r="E92" s="39">
        <v>3418.455217818213</v>
      </c>
      <c r="F92" s="39">
        <v>3036.0030399999996</v>
      </c>
      <c r="G92" s="39">
        <v>3418.455217818213</v>
      </c>
    </row>
    <row r="93" spans="1:7" ht="11.25" customHeight="1" x14ac:dyDescent="0.2">
      <c r="A93" s="49">
        <v>44501</v>
      </c>
      <c r="B93" s="39">
        <v>0</v>
      </c>
      <c r="C93" s="39">
        <v>3176.2922799999992</v>
      </c>
      <c r="D93" s="39">
        <v>0</v>
      </c>
      <c r="E93" s="39">
        <v>3576.4170110586278</v>
      </c>
      <c r="F93" s="39">
        <v>3176.2922799999992</v>
      </c>
      <c r="G93" s="39">
        <v>3576.4170110586278</v>
      </c>
    </row>
    <row r="94" spans="1:7" ht="11.25" customHeight="1" x14ac:dyDescent="0.2">
      <c r="A94" s="49">
        <v>44531</v>
      </c>
      <c r="B94" s="39">
        <v>0</v>
      </c>
      <c r="C94" s="39">
        <v>3187.8545799999993</v>
      </c>
      <c r="D94" s="39">
        <v>0</v>
      </c>
      <c r="E94" s="39">
        <v>3589.4358401718491</v>
      </c>
      <c r="F94" s="39">
        <v>3187.8545799999993</v>
      </c>
      <c r="G94" s="39">
        <v>3589.4358401718491</v>
      </c>
    </row>
    <row r="95" spans="1:7" ht="11.25" customHeight="1" x14ac:dyDescent="0.2">
      <c r="A95" s="49">
        <v>44562</v>
      </c>
      <c r="B95" s="39">
        <v>0</v>
      </c>
      <c r="C95" s="39">
        <v>3215.6040999999996</v>
      </c>
      <c r="D95" s="39">
        <v>0</v>
      </c>
      <c r="E95" s="39">
        <v>3620.6810300435795</v>
      </c>
      <c r="F95" s="39">
        <v>3215.6040999999996</v>
      </c>
      <c r="G95" s="39">
        <v>3620.6810300435795</v>
      </c>
    </row>
    <row r="96" spans="1:7" ht="11.25" customHeight="1" x14ac:dyDescent="0.2">
      <c r="A96" s="49">
        <v>44593</v>
      </c>
      <c r="B96" s="39">
        <v>0</v>
      </c>
      <c r="C96" s="39">
        <v>3331.2270999999992</v>
      </c>
      <c r="D96" s="39">
        <v>0</v>
      </c>
      <c r="E96" s="39">
        <v>3750.8693211757895</v>
      </c>
      <c r="F96" s="39">
        <v>3331.2270999999992</v>
      </c>
      <c r="G96" s="39">
        <v>3750.8693211757895</v>
      </c>
    </row>
    <row r="97" spans="1:7" ht="11.25" customHeight="1" x14ac:dyDescent="0.2">
      <c r="A97" s="49">
        <v>44621</v>
      </c>
      <c r="B97" s="39">
        <v>0</v>
      </c>
      <c r="C97" s="39">
        <v>3422.9546799999989</v>
      </c>
      <c r="D97" s="39">
        <v>0</v>
      </c>
      <c r="E97" s="39">
        <v>3854.1520321406761</v>
      </c>
      <c r="F97" s="39">
        <v>3422.9546799999989</v>
      </c>
      <c r="G97" s="39">
        <v>3854.1520321406761</v>
      </c>
    </row>
    <row r="98" spans="1:7" ht="11.25" customHeight="1" x14ac:dyDescent="0.2">
      <c r="A98" s="49">
        <v>44652</v>
      </c>
      <c r="B98" s="39">
        <v>0</v>
      </c>
      <c r="C98" s="39">
        <v>4796.8128599999991</v>
      </c>
      <c r="D98" s="39">
        <v>0</v>
      </c>
      <c r="E98" s="39">
        <v>5401.0782381049612</v>
      </c>
      <c r="F98" s="39">
        <v>4796.8128599999991</v>
      </c>
      <c r="G98" s="39">
        <v>5401.0782381049612</v>
      </c>
    </row>
    <row r="99" spans="1:7" ht="11.25" customHeight="1" x14ac:dyDescent="0.2">
      <c r="A99" s="49">
        <v>44682</v>
      </c>
      <c r="B99" s="39">
        <v>0</v>
      </c>
      <c r="C99" s="39">
        <v>4796.2989799999996</v>
      </c>
      <c r="D99" s="39">
        <v>0</v>
      </c>
      <c r="E99" s="39">
        <v>5400.4996234777072</v>
      </c>
      <c r="F99" s="39">
        <v>4796.2989799999996</v>
      </c>
      <c r="G99" s="39">
        <v>5400.4996234777072</v>
      </c>
    </row>
    <row r="100" spans="1:7" ht="11.25" customHeight="1" x14ac:dyDescent="0.2">
      <c r="A100" s="49">
        <v>44713</v>
      </c>
      <c r="B100" s="39">
        <v>0</v>
      </c>
      <c r="C100" s="39">
        <v>4485.1446399999986</v>
      </c>
      <c r="D100" s="39">
        <v>0</v>
      </c>
      <c r="E100" s="39">
        <v>5050.1484666752476</v>
      </c>
      <c r="F100" s="39">
        <v>4485.1446399999986</v>
      </c>
      <c r="G100" s="39">
        <v>5050.1484666752476</v>
      </c>
    </row>
    <row r="101" spans="1:7" ht="11.25" customHeight="1" x14ac:dyDescent="0.2">
      <c r="A101" s="49">
        <v>44743</v>
      </c>
      <c r="B101" s="39">
        <v>0</v>
      </c>
      <c r="C101" s="39">
        <v>4302.717239999999</v>
      </c>
      <c r="D101" s="39">
        <v>0</v>
      </c>
      <c r="E101" s="39">
        <v>4844.7402739999825</v>
      </c>
      <c r="F101" s="39">
        <v>4302.717239999999</v>
      </c>
      <c r="G101" s="39">
        <v>4844.7402739999825</v>
      </c>
    </row>
    <row r="102" spans="1:7" ht="11.25" customHeight="1" x14ac:dyDescent="0.2">
      <c r="A102" s="49">
        <v>44774</v>
      </c>
      <c r="B102" s="39">
        <v>0</v>
      </c>
      <c r="C102" s="39">
        <v>4399.5836199999994</v>
      </c>
      <c r="D102" s="39">
        <v>0</v>
      </c>
      <c r="E102" s="39">
        <v>4953.8091312374127</v>
      </c>
      <c r="F102" s="39">
        <v>4399.5836199999994</v>
      </c>
      <c r="G102" s="39">
        <v>4953.8091312374127</v>
      </c>
    </row>
    <row r="103" spans="1:7" ht="11.25" customHeight="1" x14ac:dyDescent="0.2">
      <c r="A103" s="45" t="s">
        <v>31</v>
      </c>
      <c r="B103" s="39">
        <v>0</v>
      </c>
      <c r="C103" s="39">
        <v>12400.69687999999</v>
      </c>
      <c r="D103" s="39">
        <v>0</v>
      </c>
      <c r="E103" s="39">
        <v>13961.753975160245</v>
      </c>
      <c r="F103" s="39">
        <v>12400.69687999999</v>
      </c>
      <c r="G103" s="39">
        <v>13961.753975160245</v>
      </c>
    </row>
    <row r="104" spans="1:7" ht="11.25" customHeight="1" x14ac:dyDescent="0.2">
      <c r="A104" s="46" t="s">
        <v>25</v>
      </c>
      <c r="B104" s="39">
        <v>0</v>
      </c>
      <c r="C104" s="39">
        <v>12400.69687999999</v>
      </c>
      <c r="D104" s="39">
        <v>0</v>
      </c>
      <c r="E104" s="39">
        <v>13961.753975160245</v>
      </c>
      <c r="F104" s="39">
        <v>12400.69687999999</v>
      </c>
      <c r="G104" s="39">
        <v>13961.753975160245</v>
      </c>
    </row>
    <row r="105" spans="1:7" ht="11.25" customHeight="1" x14ac:dyDescent="0.2">
      <c r="A105" s="47" t="s">
        <v>25</v>
      </c>
      <c r="B105" s="39">
        <v>0</v>
      </c>
      <c r="C105" s="39">
        <v>12400.69687999999</v>
      </c>
      <c r="D105" s="39">
        <v>0</v>
      </c>
      <c r="E105" s="39">
        <v>13961.753975160245</v>
      </c>
      <c r="F105" s="39">
        <v>12400.69687999999</v>
      </c>
      <c r="G105" s="39">
        <v>13961.753975160245</v>
      </c>
    </row>
    <row r="106" spans="1:7" ht="11.25" customHeight="1" x14ac:dyDescent="0.2">
      <c r="A106" s="48" t="s">
        <v>25</v>
      </c>
      <c r="B106" s="39">
        <v>0</v>
      </c>
      <c r="C106" s="39">
        <v>12400.69687999999</v>
      </c>
      <c r="D106" s="39">
        <v>0</v>
      </c>
      <c r="E106" s="39">
        <v>13961.753975160245</v>
      </c>
      <c r="F106" s="39">
        <v>12400.69687999999</v>
      </c>
      <c r="G106" s="39">
        <v>13961.753975160245</v>
      </c>
    </row>
    <row r="107" spans="1:7" ht="11.25" customHeight="1" x14ac:dyDescent="0.2">
      <c r="A107" s="49">
        <v>44440</v>
      </c>
      <c r="B107" s="39">
        <v>0</v>
      </c>
      <c r="C107" s="39">
        <v>837.49687999999946</v>
      </c>
      <c r="D107" s="39">
        <v>0</v>
      </c>
      <c r="E107" s="39">
        <v>942.92486193923492</v>
      </c>
      <c r="F107" s="39">
        <v>837.49687999999946</v>
      </c>
      <c r="G107" s="39">
        <v>942.92486193923492</v>
      </c>
    </row>
    <row r="108" spans="1:7" ht="11.25" customHeight="1" x14ac:dyDescent="0.2">
      <c r="A108" s="49">
        <v>44470</v>
      </c>
      <c r="B108" s="39">
        <v>0</v>
      </c>
      <c r="C108" s="39">
        <v>768.56735999999944</v>
      </c>
      <c r="D108" s="39">
        <v>0</v>
      </c>
      <c r="E108" s="39">
        <v>865.31817505875631</v>
      </c>
      <c r="F108" s="39">
        <v>768.56735999999944</v>
      </c>
      <c r="G108" s="39">
        <v>865.31817505875631</v>
      </c>
    </row>
    <row r="109" spans="1:7" ht="11.25" customHeight="1" x14ac:dyDescent="0.2">
      <c r="A109" s="49">
        <v>44501</v>
      </c>
      <c r="B109" s="39">
        <v>0</v>
      </c>
      <c r="C109" s="39">
        <v>824.07071999999937</v>
      </c>
      <c r="D109" s="39">
        <v>0</v>
      </c>
      <c r="E109" s="39">
        <v>927.80855480221715</v>
      </c>
      <c r="F109" s="39">
        <v>824.07071999999937</v>
      </c>
      <c r="G109" s="39">
        <v>927.80855480221715</v>
      </c>
    </row>
    <row r="110" spans="1:7" ht="11.25" customHeight="1" x14ac:dyDescent="0.2">
      <c r="A110" s="49">
        <v>44531</v>
      </c>
      <c r="B110" s="39">
        <v>0</v>
      </c>
      <c r="C110" s="39">
        <v>746.72575999999947</v>
      </c>
      <c r="D110" s="39">
        <v>0</v>
      </c>
      <c r="E110" s="39">
        <v>840.72705340045002</v>
      </c>
      <c r="F110" s="39">
        <v>746.72575999999947</v>
      </c>
      <c r="G110" s="39">
        <v>840.72705340045002</v>
      </c>
    </row>
    <row r="111" spans="1:7" ht="11.25" customHeight="1" x14ac:dyDescent="0.2">
      <c r="A111" s="49">
        <v>44562</v>
      </c>
      <c r="B111" s="39">
        <v>0</v>
      </c>
      <c r="C111" s="39">
        <v>886.06231999999932</v>
      </c>
      <c r="D111" s="39">
        <v>0</v>
      </c>
      <c r="E111" s="39">
        <v>997.60394421476303</v>
      </c>
      <c r="F111" s="39">
        <v>886.06231999999932</v>
      </c>
      <c r="G111" s="39">
        <v>997.60394421476303</v>
      </c>
    </row>
    <row r="112" spans="1:7" ht="11.25" customHeight="1" x14ac:dyDescent="0.2">
      <c r="A112" s="49">
        <v>44593</v>
      </c>
      <c r="B112" s="39">
        <v>0</v>
      </c>
      <c r="C112" s="39">
        <v>1032.5937599999993</v>
      </c>
      <c r="D112" s="39">
        <v>0</v>
      </c>
      <c r="E112" s="39">
        <v>1162.5814398106361</v>
      </c>
      <c r="F112" s="39">
        <v>1032.5937599999993</v>
      </c>
      <c r="G112" s="39">
        <v>1162.5814398106361</v>
      </c>
    </row>
    <row r="113" spans="1:7" ht="11.25" customHeight="1" x14ac:dyDescent="0.2">
      <c r="A113" s="49">
        <v>44621</v>
      </c>
      <c r="B113" s="39">
        <v>0</v>
      </c>
      <c r="C113" s="39">
        <v>1053.9214399999992</v>
      </c>
      <c r="D113" s="39">
        <v>0</v>
      </c>
      <c r="E113" s="39">
        <v>1186.593946841688</v>
      </c>
      <c r="F113" s="39">
        <v>1053.9214399999992</v>
      </c>
      <c r="G113" s="39">
        <v>1186.593946841688</v>
      </c>
    </row>
    <row r="114" spans="1:7" ht="11.25" customHeight="1" x14ac:dyDescent="0.2">
      <c r="A114" s="49">
        <v>44652</v>
      </c>
      <c r="B114" s="39">
        <v>0</v>
      </c>
      <c r="C114" s="39">
        <v>1345.249839999999</v>
      </c>
      <c r="D114" s="39">
        <v>0</v>
      </c>
      <c r="E114" s="39">
        <v>1514.5961136664507</v>
      </c>
      <c r="F114" s="39">
        <v>1345.249839999999</v>
      </c>
      <c r="G114" s="39">
        <v>1514.5961136664507</v>
      </c>
    </row>
    <row r="115" spans="1:7" ht="11.25" customHeight="1" x14ac:dyDescent="0.2">
      <c r="A115" s="49">
        <v>44682</v>
      </c>
      <c r="B115" s="39">
        <v>0</v>
      </c>
      <c r="C115" s="39">
        <v>1330.9885599999991</v>
      </c>
      <c r="D115" s="39">
        <v>0</v>
      </c>
      <c r="E115" s="39">
        <v>1498.5395577601448</v>
      </c>
      <c r="F115" s="39">
        <v>1330.9885599999991</v>
      </c>
      <c r="G115" s="39">
        <v>1498.5395577601448</v>
      </c>
    </row>
    <row r="116" spans="1:7" ht="11.25" customHeight="1" x14ac:dyDescent="0.2">
      <c r="A116" s="49">
        <v>44713</v>
      </c>
      <c r="B116" s="39">
        <v>0</v>
      </c>
      <c r="C116" s="39">
        <v>1290.2603999999992</v>
      </c>
      <c r="D116" s="39">
        <v>0</v>
      </c>
      <c r="E116" s="39">
        <v>1452.6843485502443</v>
      </c>
      <c r="F116" s="39">
        <v>1290.2603999999992</v>
      </c>
      <c r="G116" s="39">
        <v>1452.6843485502443</v>
      </c>
    </row>
    <row r="117" spans="1:7" ht="11.25" customHeight="1" x14ac:dyDescent="0.2">
      <c r="A117" s="49">
        <v>44743</v>
      </c>
      <c r="B117" s="39">
        <v>0</v>
      </c>
      <c r="C117" s="39">
        <v>1059.3818399999991</v>
      </c>
      <c r="D117" s="39">
        <v>0</v>
      </c>
      <c r="E117" s="39">
        <v>1192.7417272562648</v>
      </c>
      <c r="F117" s="39">
        <v>1059.3818399999991</v>
      </c>
      <c r="G117" s="39">
        <v>1192.7417272562648</v>
      </c>
    </row>
    <row r="118" spans="1:7" ht="11.25" customHeight="1" x14ac:dyDescent="0.2">
      <c r="A118" s="49">
        <v>44774</v>
      </c>
      <c r="B118" s="39">
        <v>0</v>
      </c>
      <c r="C118" s="39">
        <v>1225.377999999999</v>
      </c>
      <c r="D118" s="39">
        <v>0</v>
      </c>
      <c r="E118" s="39">
        <v>1379.6342518593929</v>
      </c>
      <c r="F118" s="39">
        <v>1225.377999999999</v>
      </c>
      <c r="G118" s="39">
        <v>1379.6342518593929</v>
      </c>
    </row>
    <row r="119" spans="1:7" ht="11.25" customHeight="1" x14ac:dyDescent="0.2">
      <c r="A119" s="45" t="s">
        <v>32</v>
      </c>
      <c r="B119" s="39">
        <v>0</v>
      </c>
      <c r="C119" s="39">
        <v>-5.6035673878795929E-12</v>
      </c>
      <c r="D119" s="39">
        <v>0</v>
      </c>
      <c r="E119" s="39">
        <v>0</v>
      </c>
      <c r="F119" s="39">
        <v>-5.6035673878795929E-12</v>
      </c>
      <c r="G119" s="39">
        <v>0</v>
      </c>
    </row>
    <row r="120" spans="1:7" ht="11.25" customHeight="1" x14ac:dyDescent="0.2">
      <c r="A120" s="46" t="s">
        <v>25</v>
      </c>
      <c r="B120" s="39">
        <v>0</v>
      </c>
      <c r="C120" s="39">
        <v>-5.6035673878795929E-12</v>
      </c>
      <c r="D120" s="39">
        <v>0</v>
      </c>
      <c r="E120" s="39">
        <v>0</v>
      </c>
      <c r="F120" s="39">
        <v>-5.6035673878795929E-12</v>
      </c>
      <c r="G120" s="39">
        <v>0</v>
      </c>
    </row>
    <row r="121" spans="1:7" ht="11.25" customHeight="1" x14ac:dyDescent="0.2">
      <c r="A121" s="47" t="s">
        <v>25</v>
      </c>
      <c r="B121" s="39">
        <v>0</v>
      </c>
      <c r="C121" s="39">
        <v>-5.6035673878795929E-12</v>
      </c>
      <c r="D121" s="39">
        <v>0</v>
      </c>
      <c r="E121" s="39">
        <v>0</v>
      </c>
      <c r="F121" s="39">
        <v>-5.6035673878795929E-12</v>
      </c>
      <c r="G121" s="39">
        <v>0</v>
      </c>
    </row>
    <row r="122" spans="1:7" ht="11.25" customHeight="1" x14ac:dyDescent="0.2">
      <c r="A122" s="48" t="s">
        <v>25</v>
      </c>
      <c r="B122" s="39">
        <v>0</v>
      </c>
      <c r="C122" s="39">
        <v>-5.6035673878795929E-12</v>
      </c>
      <c r="D122" s="39">
        <v>0</v>
      </c>
      <c r="E122" s="39">
        <v>0</v>
      </c>
      <c r="F122" s="39">
        <v>-5.6035673878795929E-12</v>
      </c>
      <c r="G122" s="39">
        <v>0</v>
      </c>
    </row>
    <row r="123" spans="1:7" ht="11.25" customHeight="1" x14ac:dyDescent="0.2">
      <c r="A123" s="49">
        <v>44440</v>
      </c>
      <c r="B123" s="39">
        <v>0</v>
      </c>
      <c r="C123" s="39">
        <v>-3.547597771103028E-13</v>
      </c>
      <c r="D123" s="39">
        <v>0</v>
      </c>
      <c r="E123" s="39">
        <v>0</v>
      </c>
      <c r="F123" s="39">
        <v>-3.547597771103028E-13</v>
      </c>
      <c r="G123" s="39">
        <v>0</v>
      </c>
    </row>
    <row r="124" spans="1:7" ht="11.25" customHeight="1" x14ac:dyDescent="0.2">
      <c r="A124" s="49">
        <v>44470</v>
      </c>
      <c r="B124" s="39">
        <v>0</v>
      </c>
      <c r="C124" s="39">
        <v>-2.6955149223795161E-13</v>
      </c>
      <c r="D124" s="39">
        <v>0</v>
      </c>
      <c r="E124" s="39">
        <v>0</v>
      </c>
      <c r="F124" s="39">
        <v>-2.6955149223795161E-13</v>
      </c>
      <c r="G124" s="39">
        <v>0</v>
      </c>
    </row>
    <row r="125" spans="1:7" ht="11.25" customHeight="1" x14ac:dyDescent="0.2">
      <c r="A125" s="49">
        <v>44501</v>
      </c>
      <c r="B125" s="39">
        <v>0</v>
      </c>
      <c r="C125" s="39">
        <v>-3.3554670153534969E-13</v>
      </c>
      <c r="D125" s="39">
        <v>0</v>
      </c>
      <c r="E125" s="39">
        <v>0</v>
      </c>
      <c r="F125" s="39">
        <v>-3.3554670153534969E-13</v>
      </c>
      <c r="G125" s="39">
        <v>0</v>
      </c>
    </row>
    <row r="126" spans="1:7" ht="11.25" customHeight="1" x14ac:dyDescent="0.2">
      <c r="A126" s="49">
        <v>44531</v>
      </c>
      <c r="B126" s="39">
        <v>0</v>
      </c>
      <c r="C126" s="39">
        <v>-2.2043877834221349E-13</v>
      </c>
      <c r="D126" s="39">
        <v>0</v>
      </c>
      <c r="E126" s="39">
        <v>0</v>
      </c>
      <c r="F126" s="39">
        <v>-2.2043877834221349E-13</v>
      </c>
      <c r="G126" s="39">
        <v>0</v>
      </c>
    </row>
    <row r="127" spans="1:7" ht="11.25" customHeight="1" x14ac:dyDescent="0.2">
      <c r="A127" s="49">
        <v>44562</v>
      </c>
      <c r="B127" s="39">
        <v>0</v>
      </c>
      <c r="C127" s="39">
        <v>-4.0063241613097489E-13</v>
      </c>
      <c r="D127" s="39">
        <v>0</v>
      </c>
      <c r="E127" s="39">
        <v>0</v>
      </c>
      <c r="F127" s="39">
        <v>-4.0063241613097489E-13</v>
      </c>
      <c r="G127" s="39">
        <v>0</v>
      </c>
    </row>
    <row r="128" spans="1:7" ht="11.25" customHeight="1" x14ac:dyDescent="0.2">
      <c r="A128" s="49">
        <v>44593</v>
      </c>
      <c r="B128" s="39">
        <v>0</v>
      </c>
      <c r="C128" s="39">
        <v>-5.9179683375987222E-13</v>
      </c>
      <c r="D128" s="39">
        <v>0</v>
      </c>
      <c r="E128" s="39">
        <v>0</v>
      </c>
      <c r="F128" s="39">
        <v>-5.9179683375987222E-13</v>
      </c>
      <c r="G128" s="39">
        <v>0</v>
      </c>
    </row>
    <row r="129" spans="1:7" ht="11.25" customHeight="1" x14ac:dyDescent="0.2">
      <c r="A129" s="49">
        <v>44621</v>
      </c>
      <c r="B129" s="39">
        <v>0</v>
      </c>
      <c r="C129" s="39">
        <v>-6.2436811276711523E-13</v>
      </c>
      <c r="D129" s="39">
        <v>0</v>
      </c>
      <c r="E129" s="39">
        <v>0</v>
      </c>
      <c r="F129" s="39">
        <v>-6.2436811276711523E-13</v>
      </c>
      <c r="G129" s="39">
        <v>0</v>
      </c>
    </row>
    <row r="130" spans="1:7" ht="11.25" customHeight="1" x14ac:dyDescent="0.2">
      <c r="A130" s="49">
        <v>44652</v>
      </c>
      <c r="B130" s="39">
        <v>0</v>
      </c>
      <c r="C130" s="39">
        <v>-6.3732841226737945E-13</v>
      </c>
      <c r="D130" s="39">
        <v>0</v>
      </c>
      <c r="E130" s="39">
        <v>0</v>
      </c>
      <c r="F130" s="39">
        <v>-6.3732841226737945E-13</v>
      </c>
      <c r="G130" s="39">
        <v>0</v>
      </c>
    </row>
    <row r="131" spans="1:7" ht="11.25" customHeight="1" x14ac:dyDescent="0.2">
      <c r="A131" s="49">
        <v>44682</v>
      </c>
      <c r="B131" s="39">
        <v>0</v>
      </c>
      <c r="C131" s="39">
        <v>-6.0794036471634174E-13</v>
      </c>
      <c r="D131" s="39">
        <v>0</v>
      </c>
      <c r="E131" s="39">
        <v>0</v>
      </c>
      <c r="F131" s="39">
        <v>-6.0794036471634174E-13</v>
      </c>
      <c r="G131" s="39">
        <v>0</v>
      </c>
    </row>
    <row r="132" spans="1:7" ht="11.25" customHeight="1" x14ac:dyDescent="0.2">
      <c r="A132" s="49">
        <v>44713</v>
      </c>
      <c r="B132" s="39">
        <v>0</v>
      </c>
      <c r="C132" s="39">
        <v>-5.9867488744203001E-13</v>
      </c>
      <c r="D132" s="39">
        <v>0</v>
      </c>
      <c r="E132" s="39">
        <v>0</v>
      </c>
      <c r="F132" s="39">
        <v>-5.9867488744203001E-13</v>
      </c>
      <c r="G132" s="39">
        <v>0</v>
      </c>
    </row>
    <row r="133" spans="1:7" ht="11.25" customHeight="1" x14ac:dyDescent="0.2">
      <c r="A133" s="49">
        <v>44743</v>
      </c>
      <c r="B133" s="39">
        <v>0</v>
      </c>
      <c r="C133" s="39">
        <v>-3.4827962736017069E-13</v>
      </c>
      <c r="D133" s="39">
        <v>0</v>
      </c>
      <c r="E133" s="39">
        <v>0</v>
      </c>
      <c r="F133" s="39">
        <v>-3.4827962736017069E-13</v>
      </c>
      <c r="G133" s="39">
        <v>0</v>
      </c>
    </row>
    <row r="134" spans="1:7" ht="11.25" customHeight="1" x14ac:dyDescent="0.2">
      <c r="A134" s="49">
        <v>44774</v>
      </c>
      <c r="B134" s="39">
        <v>0</v>
      </c>
      <c r="C134" s="39">
        <v>-6.1424998420989136E-13</v>
      </c>
      <c r="D134" s="39">
        <v>0</v>
      </c>
      <c r="E134" s="39">
        <v>0</v>
      </c>
      <c r="F134" s="39">
        <v>-6.1424998420989136E-13</v>
      </c>
      <c r="G134" s="39">
        <v>0</v>
      </c>
    </row>
    <row r="135" spans="1:7" ht="11.25" customHeight="1" x14ac:dyDescent="0.2">
      <c r="A135" s="41" t="s">
        <v>689</v>
      </c>
      <c r="B135" s="39">
        <v>428341.63679999998</v>
      </c>
      <c r="C135" s="39">
        <v>144362.70598414398</v>
      </c>
      <c r="D135" s="39">
        <v>585193.3225860222</v>
      </c>
      <c r="E135" s="39">
        <v>203268.54460801955</v>
      </c>
      <c r="F135" s="39">
        <v>572704.34278414398</v>
      </c>
      <c r="G135" s="39">
        <v>788461.86719404161</v>
      </c>
    </row>
    <row r="136" spans="1:7" ht="11.25" customHeight="1" x14ac:dyDescent="0.2">
      <c r="A136" s="42" t="s">
        <v>39</v>
      </c>
      <c r="B136" s="39">
        <v>428341.63679999998</v>
      </c>
      <c r="C136" s="39">
        <v>144362.70598414398</v>
      </c>
      <c r="D136" s="39">
        <v>585193.3225860222</v>
      </c>
      <c r="E136" s="39">
        <v>203268.54460801955</v>
      </c>
      <c r="F136" s="39">
        <v>572704.34278414398</v>
      </c>
      <c r="G136" s="39">
        <v>788461.86719404161</v>
      </c>
    </row>
    <row r="137" spans="1:7" ht="11.25" customHeight="1" x14ac:dyDescent="0.2">
      <c r="A137" s="43" t="s">
        <v>40</v>
      </c>
      <c r="B137" s="39">
        <v>428341.63679999998</v>
      </c>
      <c r="C137" s="39">
        <v>144362.70598414398</v>
      </c>
      <c r="D137" s="39">
        <v>585193.3225860222</v>
      </c>
      <c r="E137" s="39">
        <v>203268.54460801955</v>
      </c>
      <c r="F137" s="39">
        <v>572704.34278414398</v>
      </c>
      <c r="G137" s="39">
        <v>788461.86719404161</v>
      </c>
    </row>
    <row r="138" spans="1:7" ht="11.25" customHeight="1" x14ac:dyDescent="0.2">
      <c r="A138" s="44" t="s">
        <v>38</v>
      </c>
      <c r="B138" s="39">
        <v>428341.63679999998</v>
      </c>
      <c r="C138" s="39">
        <v>144362.70598414398</v>
      </c>
      <c r="D138" s="39">
        <v>585193.3225860222</v>
      </c>
      <c r="E138" s="39">
        <v>203268.54460801955</v>
      </c>
      <c r="F138" s="39">
        <v>572704.34278414398</v>
      </c>
      <c r="G138" s="39">
        <v>788461.86719404161</v>
      </c>
    </row>
    <row r="139" spans="1:7" ht="11.25" customHeight="1" x14ac:dyDescent="0.2">
      <c r="A139" s="45" t="s">
        <v>25</v>
      </c>
      <c r="B139" s="39">
        <v>428341.63679999998</v>
      </c>
      <c r="C139" s="39">
        <v>144362.70598414398</v>
      </c>
      <c r="D139" s="39">
        <v>585193.3225860222</v>
      </c>
      <c r="E139" s="39">
        <v>203268.54460801955</v>
      </c>
      <c r="F139" s="39">
        <v>572704.34278414398</v>
      </c>
      <c r="G139" s="39">
        <v>788461.86719404161</v>
      </c>
    </row>
    <row r="140" spans="1:7" ht="11.25" customHeight="1" x14ac:dyDescent="0.2">
      <c r="A140" s="46" t="s">
        <v>51</v>
      </c>
      <c r="B140" s="39">
        <v>428341.63679999998</v>
      </c>
      <c r="C140" s="39">
        <v>144362.70598414398</v>
      </c>
      <c r="D140" s="39">
        <v>585193.3225860222</v>
      </c>
      <c r="E140" s="39">
        <v>203268.54460801955</v>
      </c>
      <c r="F140" s="39">
        <v>572704.34278414398</v>
      </c>
      <c r="G140" s="39">
        <v>788461.86719404161</v>
      </c>
    </row>
    <row r="141" spans="1:7" ht="11.25" customHeight="1" x14ac:dyDescent="0.2">
      <c r="A141" s="47" t="s">
        <v>25</v>
      </c>
      <c r="B141" s="39">
        <v>428341.63679999998</v>
      </c>
      <c r="C141" s="39">
        <v>144362.70598414398</v>
      </c>
      <c r="D141" s="39">
        <v>585193.3225860222</v>
      </c>
      <c r="E141" s="39">
        <v>203268.54460801955</v>
      </c>
      <c r="F141" s="39">
        <v>572704.34278414398</v>
      </c>
      <c r="G141" s="39">
        <v>788461.86719404161</v>
      </c>
    </row>
    <row r="142" spans="1:7" ht="11.25" customHeight="1" x14ac:dyDescent="0.2">
      <c r="A142" s="48" t="s">
        <v>35</v>
      </c>
      <c r="B142" s="39">
        <v>0</v>
      </c>
      <c r="C142" s="39">
        <v>108478.41033217199</v>
      </c>
      <c r="D142" s="39">
        <v>0</v>
      </c>
      <c r="E142" s="39">
        <v>151963.74107301809</v>
      </c>
      <c r="F142" s="39">
        <v>108478.410332172</v>
      </c>
      <c r="G142" s="39">
        <v>151963.74107301809</v>
      </c>
    </row>
    <row r="143" spans="1:7" ht="11.25" customHeight="1" x14ac:dyDescent="0.2">
      <c r="A143" s="49">
        <v>44440</v>
      </c>
      <c r="B143" s="39">
        <v>0</v>
      </c>
      <c r="C143" s="39">
        <v>7604.0982999999997</v>
      </c>
      <c r="D143" s="39">
        <v>0</v>
      </c>
      <c r="E143" s="39">
        <v>10652.324472828956</v>
      </c>
      <c r="F143" s="39">
        <v>7604.0982999999997</v>
      </c>
      <c r="G143" s="39">
        <v>10652.324472828956</v>
      </c>
    </row>
    <row r="144" spans="1:7" ht="11.25" customHeight="1" x14ac:dyDescent="0.2">
      <c r="A144" s="49">
        <v>44470</v>
      </c>
      <c r="B144" s="39">
        <v>0</v>
      </c>
      <c r="C144" s="39">
        <v>9211.642609999999</v>
      </c>
      <c r="D144" s="39">
        <v>0</v>
      </c>
      <c r="E144" s="39">
        <v>12904.279000372337</v>
      </c>
      <c r="F144" s="39">
        <v>9211.642609999999</v>
      </c>
      <c r="G144" s="39">
        <v>12904.279000372337</v>
      </c>
    </row>
    <row r="145" spans="1:7" ht="11.25" customHeight="1" x14ac:dyDescent="0.2">
      <c r="A145" s="49">
        <v>44501</v>
      </c>
      <c r="B145" s="39">
        <v>0</v>
      </c>
      <c r="C145" s="39">
        <v>8718.898119999998</v>
      </c>
      <c r="D145" s="39">
        <v>0</v>
      </c>
      <c r="E145" s="39">
        <v>12214.009887244403</v>
      </c>
      <c r="F145" s="39">
        <v>8718.898119999998</v>
      </c>
      <c r="G145" s="39">
        <v>12214.009887244403</v>
      </c>
    </row>
    <row r="146" spans="1:7" ht="11.25" customHeight="1" x14ac:dyDescent="0.2">
      <c r="A146" s="49">
        <v>44531</v>
      </c>
      <c r="B146" s="39">
        <v>0</v>
      </c>
      <c r="C146" s="39">
        <v>8927.1722599999994</v>
      </c>
      <c r="D146" s="39">
        <v>0</v>
      </c>
      <c r="E146" s="39">
        <v>12505.774095313545</v>
      </c>
      <c r="F146" s="39">
        <v>8927.1722599999994</v>
      </c>
      <c r="G146" s="39">
        <v>12505.774095313545</v>
      </c>
    </row>
    <row r="147" spans="1:7" ht="11.25" customHeight="1" x14ac:dyDescent="0.2">
      <c r="A147" s="49">
        <v>44562</v>
      </c>
      <c r="B147" s="39">
        <v>0</v>
      </c>
      <c r="C147" s="39">
        <v>10156.23265</v>
      </c>
      <c r="D147" s="39">
        <v>0</v>
      </c>
      <c r="E147" s="39">
        <v>14227.52328298274</v>
      </c>
      <c r="F147" s="39">
        <v>10156.23265</v>
      </c>
      <c r="G147" s="39">
        <v>14227.52328298274</v>
      </c>
    </row>
    <row r="148" spans="1:7" ht="11.25" customHeight="1" x14ac:dyDescent="0.2">
      <c r="A148" s="49">
        <v>44593</v>
      </c>
      <c r="B148" s="39">
        <v>0</v>
      </c>
      <c r="C148" s="39">
        <v>7127.88886</v>
      </c>
      <c r="D148" s="39">
        <v>0</v>
      </c>
      <c r="E148" s="39">
        <v>9985.2187527590067</v>
      </c>
      <c r="F148" s="39">
        <v>7127.88886</v>
      </c>
      <c r="G148" s="39">
        <v>9985.2187527590067</v>
      </c>
    </row>
    <row r="149" spans="1:7" ht="11.25" customHeight="1" x14ac:dyDescent="0.2">
      <c r="A149" s="49">
        <v>44621</v>
      </c>
      <c r="B149" s="39">
        <v>0</v>
      </c>
      <c r="C149" s="39">
        <v>9110.6100799999986</v>
      </c>
      <c r="D149" s="39">
        <v>0</v>
      </c>
      <c r="E149" s="39">
        <v>12762.745941564979</v>
      </c>
      <c r="F149" s="39">
        <v>9110.6100799999986</v>
      </c>
      <c r="G149" s="39">
        <v>12762.745941564979</v>
      </c>
    </row>
    <row r="150" spans="1:7" ht="11.25" customHeight="1" x14ac:dyDescent="0.2">
      <c r="A150" s="49">
        <v>44652</v>
      </c>
      <c r="B150" s="39">
        <v>0</v>
      </c>
      <c r="C150" s="39">
        <v>8229.5281299999988</v>
      </c>
      <c r="D150" s="39">
        <v>0</v>
      </c>
      <c r="E150" s="39">
        <v>11528.467997189529</v>
      </c>
      <c r="F150" s="39">
        <v>8229.5281299999988</v>
      </c>
      <c r="G150" s="39">
        <v>11528.467997189529</v>
      </c>
    </row>
    <row r="151" spans="1:7" ht="11.25" customHeight="1" x14ac:dyDescent="0.2">
      <c r="A151" s="49">
        <v>44682</v>
      </c>
      <c r="B151" s="39">
        <v>0</v>
      </c>
      <c r="C151" s="39">
        <v>9076.7301000000007</v>
      </c>
      <c r="D151" s="39">
        <v>0</v>
      </c>
      <c r="E151" s="39">
        <v>12715.284621911478</v>
      </c>
      <c r="F151" s="39">
        <v>9076.7301000000007</v>
      </c>
      <c r="G151" s="39">
        <v>12715.284621911478</v>
      </c>
    </row>
    <row r="152" spans="1:7" ht="11.25" customHeight="1" x14ac:dyDescent="0.2">
      <c r="A152" s="49">
        <v>44713</v>
      </c>
      <c r="B152" s="39">
        <v>0</v>
      </c>
      <c r="C152" s="39">
        <v>9093.8050699999985</v>
      </c>
      <c r="D152" s="39">
        <v>0</v>
      </c>
      <c r="E152" s="39">
        <v>12739.204370661149</v>
      </c>
      <c r="F152" s="39">
        <v>9093.8050699999985</v>
      </c>
      <c r="G152" s="39">
        <v>12739.204370661149</v>
      </c>
    </row>
    <row r="153" spans="1:7" ht="11.25" customHeight="1" x14ac:dyDescent="0.2">
      <c r="A153" s="49">
        <v>44743</v>
      </c>
      <c r="B153" s="39">
        <v>0</v>
      </c>
      <c r="C153" s="39">
        <v>11038.934359999999</v>
      </c>
      <c r="D153" s="39">
        <v>0</v>
      </c>
      <c r="E153" s="39">
        <v>15464.070294433257</v>
      </c>
      <c r="F153" s="39">
        <v>11038.934359999999</v>
      </c>
      <c r="G153" s="39">
        <v>15464.070294433257</v>
      </c>
    </row>
    <row r="154" spans="1:7" ht="11.25" customHeight="1" x14ac:dyDescent="0.2">
      <c r="A154" s="49">
        <v>44774</v>
      </c>
      <c r="B154" s="39">
        <v>0</v>
      </c>
      <c r="C154" s="39">
        <v>10182.869792172</v>
      </c>
      <c r="D154" s="39">
        <v>0</v>
      </c>
      <c r="E154" s="39">
        <v>14264.838355756723</v>
      </c>
      <c r="F154" s="39">
        <v>10182.869792172</v>
      </c>
      <c r="G154" s="39">
        <v>14264.838355756723</v>
      </c>
    </row>
    <row r="155" spans="1:7" ht="11.25" customHeight="1" x14ac:dyDescent="0.2">
      <c r="A155" s="48" t="s">
        <v>25</v>
      </c>
      <c r="B155" s="39">
        <v>428341.63679999998</v>
      </c>
      <c r="C155" s="39">
        <v>0</v>
      </c>
      <c r="D155" s="39">
        <v>585193.3225860222</v>
      </c>
      <c r="E155" s="39">
        <v>0</v>
      </c>
      <c r="F155" s="39">
        <v>428341.63679999998</v>
      </c>
      <c r="G155" s="39">
        <v>585193.32258602208</v>
      </c>
    </row>
    <row r="156" spans="1:7" ht="11.25" customHeight="1" x14ac:dyDescent="0.2">
      <c r="A156" s="49">
        <v>44440</v>
      </c>
      <c r="B156" s="39">
        <v>35784</v>
      </c>
      <c r="C156" s="39">
        <v>0</v>
      </c>
      <c r="D156" s="39">
        <v>48887.514209121167</v>
      </c>
      <c r="E156" s="39">
        <v>0</v>
      </c>
      <c r="F156" s="39">
        <v>35784</v>
      </c>
      <c r="G156" s="39">
        <v>48887.514209121167</v>
      </c>
    </row>
    <row r="157" spans="1:7" ht="11.25" customHeight="1" x14ac:dyDescent="0.2">
      <c r="A157" s="49">
        <v>44470</v>
      </c>
      <c r="B157" s="39">
        <v>35784</v>
      </c>
      <c r="C157" s="39">
        <v>0</v>
      </c>
      <c r="D157" s="39">
        <v>48887.514209121167</v>
      </c>
      <c r="E157" s="39">
        <v>0</v>
      </c>
      <c r="F157" s="39">
        <v>35784</v>
      </c>
      <c r="G157" s="39">
        <v>48887.514209121167</v>
      </c>
    </row>
    <row r="158" spans="1:7" ht="11.25" customHeight="1" x14ac:dyDescent="0.2">
      <c r="A158" s="49">
        <v>44501</v>
      </c>
      <c r="B158" s="39">
        <v>35784</v>
      </c>
      <c r="C158" s="39">
        <v>0</v>
      </c>
      <c r="D158" s="39">
        <v>48887.514209121167</v>
      </c>
      <c r="E158" s="39">
        <v>0</v>
      </c>
      <c r="F158" s="39">
        <v>35784</v>
      </c>
      <c r="G158" s="39">
        <v>48887.514209121167</v>
      </c>
    </row>
    <row r="159" spans="1:7" ht="11.25" customHeight="1" x14ac:dyDescent="0.2">
      <c r="A159" s="49">
        <v>44531</v>
      </c>
      <c r="B159" s="39">
        <v>35784</v>
      </c>
      <c r="C159" s="39">
        <v>0</v>
      </c>
      <c r="D159" s="39">
        <v>48887.514209121167</v>
      </c>
      <c r="E159" s="39">
        <v>0</v>
      </c>
      <c r="F159" s="39">
        <v>35784</v>
      </c>
      <c r="G159" s="39">
        <v>48887.514209121167</v>
      </c>
    </row>
    <row r="160" spans="1:7" ht="11.25" customHeight="1" x14ac:dyDescent="0.2">
      <c r="A160" s="49">
        <v>44562</v>
      </c>
      <c r="B160" s="39">
        <v>35784</v>
      </c>
      <c r="C160" s="39">
        <v>0</v>
      </c>
      <c r="D160" s="39">
        <v>48887.514209121167</v>
      </c>
      <c r="E160" s="39">
        <v>0</v>
      </c>
      <c r="F160" s="39">
        <v>35784</v>
      </c>
      <c r="G160" s="39">
        <v>48887.514209121167</v>
      </c>
    </row>
    <row r="161" spans="1:7" ht="11.25" customHeight="1" x14ac:dyDescent="0.2">
      <c r="A161" s="49">
        <v>44593</v>
      </c>
      <c r="B161" s="39">
        <v>35784</v>
      </c>
      <c r="C161" s="39">
        <v>0</v>
      </c>
      <c r="D161" s="39">
        <v>48887.514209121167</v>
      </c>
      <c r="E161" s="39">
        <v>0</v>
      </c>
      <c r="F161" s="39">
        <v>35784</v>
      </c>
      <c r="G161" s="39">
        <v>48887.514209121167</v>
      </c>
    </row>
    <row r="162" spans="1:7" ht="11.25" customHeight="1" x14ac:dyDescent="0.2">
      <c r="A162" s="49">
        <v>44621</v>
      </c>
      <c r="B162" s="39">
        <v>35784</v>
      </c>
      <c r="C162" s="39">
        <v>0</v>
      </c>
      <c r="D162" s="39">
        <v>48887.514209121167</v>
      </c>
      <c r="E162" s="39">
        <v>0</v>
      </c>
      <c r="F162" s="39">
        <v>35784</v>
      </c>
      <c r="G162" s="39">
        <v>48887.514209121167</v>
      </c>
    </row>
    <row r="163" spans="1:7" ht="11.25" customHeight="1" x14ac:dyDescent="0.2">
      <c r="A163" s="49">
        <v>44652</v>
      </c>
      <c r="B163" s="39">
        <v>35784</v>
      </c>
      <c r="C163" s="39">
        <v>0</v>
      </c>
      <c r="D163" s="39">
        <v>48887.514209121167</v>
      </c>
      <c r="E163" s="39">
        <v>0</v>
      </c>
      <c r="F163" s="39">
        <v>35784</v>
      </c>
      <c r="G163" s="39">
        <v>48887.514209121167</v>
      </c>
    </row>
    <row r="164" spans="1:7" ht="11.25" customHeight="1" x14ac:dyDescent="0.2">
      <c r="A164" s="49">
        <v>44682</v>
      </c>
      <c r="B164" s="39">
        <v>35784</v>
      </c>
      <c r="C164" s="39">
        <v>0</v>
      </c>
      <c r="D164" s="39">
        <v>48887.514209121167</v>
      </c>
      <c r="E164" s="39">
        <v>0</v>
      </c>
      <c r="F164" s="39">
        <v>35784</v>
      </c>
      <c r="G164" s="39">
        <v>48887.514209121167</v>
      </c>
    </row>
    <row r="165" spans="1:7" ht="11.25" customHeight="1" x14ac:dyDescent="0.2">
      <c r="A165" s="49">
        <v>44713</v>
      </c>
      <c r="B165" s="39">
        <v>35784</v>
      </c>
      <c r="C165" s="39">
        <v>0</v>
      </c>
      <c r="D165" s="39">
        <v>48887.514209121167</v>
      </c>
      <c r="E165" s="39">
        <v>0</v>
      </c>
      <c r="F165" s="39">
        <v>35784</v>
      </c>
      <c r="G165" s="39">
        <v>48887.514209121167</v>
      </c>
    </row>
    <row r="166" spans="1:7" ht="11.25" customHeight="1" x14ac:dyDescent="0.2">
      <c r="A166" s="49">
        <v>44743</v>
      </c>
      <c r="B166" s="39">
        <v>35784</v>
      </c>
      <c r="C166" s="39">
        <v>0</v>
      </c>
      <c r="D166" s="39">
        <v>48887.514209121167</v>
      </c>
      <c r="E166" s="39">
        <v>0</v>
      </c>
      <c r="F166" s="39">
        <v>35784</v>
      </c>
      <c r="G166" s="39">
        <v>48887.514209121167</v>
      </c>
    </row>
    <row r="167" spans="1:7" ht="11.25" customHeight="1" x14ac:dyDescent="0.2">
      <c r="A167" s="49">
        <v>44774</v>
      </c>
      <c r="B167" s="39">
        <v>34717.6368</v>
      </c>
      <c r="C167" s="39">
        <v>0</v>
      </c>
      <c r="D167" s="39">
        <v>47430.666285689353</v>
      </c>
      <c r="E167" s="39">
        <v>0</v>
      </c>
      <c r="F167" s="39">
        <v>34717.6368</v>
      </c>
      <c r="G167" s="39">
        <v>47430.666285689353</v>
      </c>
    </row>
    <row r="168" spans="1:7" ht="11.25" customHeight="1" x14ac:dyDescent="0.2">
      <c r="A168" s="48" t="s">
        <v>34</v>
      </c>
      <c r="B168" s="39">
        <v>0</v>
      </c>
      <c r="C168" s="39">
        <v>35884.295651972003</v>
      </c>
      <c r="D168" s="39">
        <v>0</v>
      </c>
      <c r="E168" s="39">
        <v>51304.803535001469</v>
      </c>
      <c r="F168" s="39">
        <v>35884.295651972003</v>
      </c>
      <c r="G168" s="39">
        <v>51304.803535001447</v>
      </c>
    </row>
    <row r="169" spans="1:7" ht="11.25" customHeight="1" x14ac:dyDescent="0.2">
      <c r="A169" s="49">
        <v>44440</v>
      </c>
      <c r="B169" s="39">
        <v>0</v>
      </c>
      <c r="C169" s="39">
        <v>2166.59494</v>
      </c>
      <c r="D169" s="39">
        <v>0</v>
      </c>
      <c r="E169" s="39">
        <v>3097.6427352704559</v>
      </c>
      <c r="F169" s="39">
        <v>2166.59494</v>
      </c>
      <c r="G169" s="39">
        <v>3097.6427352704559</v>
      </c>
    </row>
    <row r="170" spans="1:7" ht="11.25" customHeight="1" x14ac:dyDescent="0.2">
      <c r="A170" s="49">
        <v>44470</v>
      </c>
      <c r="B170" s="39">
        <v>0</v>
      </c>
      <c r="C170" s="39">
        <v>2385.5457800000004</v>
      </c>
      <c r="D170" s="39">
        <v>0</v>
      </c>
      <c r="E170" s="39">
        <v>3410.6830116902674</v>
      </c>
      <c r="F170" s="39">
        <v>2385.5457800000004</v>
      </c>
      <c r="G170" s="39">
        <v>3410.6830116902674</v>
      </c>
    </row>
    <row r="171" spans="1:7" ht="11.25" customHeight="1" x14ac:dyDescent="0.2">
      <c r="A171" s="49">
        <v>44501</v>
      </c>
      <c r="B171" s="39">
        <v>0</v>
      </c>
      <c r="C171" s="39">
        <v>2627.4100800000001</v>
      </c>
      <c r="D171" s="39">
        <v>0</v>
      </c>
      <c r="E171" s="39">
        <v>3756.4833170377328</v>
      </c>
      <c r="F171" s="39">
        <v>2627.4100800000001</v>
      </c>
      <c r="G171" s="39">
        <v>3756.4833170377328</v>
      </c>
    </row>
    <row r="172" spans="1:7" ht="11.25" customHeight="1" x14ac:dyDescent="0.2">
      <c r="A172" s="49">
        <v>44531</v>
      </c>
      <c r="B172" s="39">
        <v>0</v>
      </c>
      <c r="C172" s="39">
        <v>2523.0265399999998</v>
      </c>
      <c r="D172" s="39">
        <v>0</v>
      </c>
      <c r="E172" s="39">
        <v>3607.2431852561949</v>
      </c>
      <c r="F172" s="39">
        <v>2523.0265399999998</v>
      </c>
      <c r="G172" s="39">
        <v>3607.2431852561949</v>
      </c>
    </row>
    <row r="173" spans="1:7" ht="11.25" customHeight="1" x14ac:dyDescent="0.2">
      <c r="A173" s="49">
        <v>44562</v>
      </c>
      <c r="B173" s="39">
        <v>0</v>
      </c>
      <c r="C173" s="39">
        <v>2688.5126400000004</v>
      </c>
      <c r="D173" s="39">
        <v>0</v>
      </c>
      <c r="E173" s="39">
        <v>3843.8433941781454</v>
      </c>
      <c r="F173" s="39">
        <v>2688.5126400000004</v>
      </c>
      <c r="G173" s="39">
        <v>3843.8433941781454</v>
      </c>
    </row>
    <row r="174" spans="1:7" ht="11.25" customHeight="1" x14ac:dyDescent="0.2">
      <c r="A174" s="49">
        <v>44593</v>
      </c>
      <c r="B174" s="39">
        <v>0</v>
      </c>
      <c r="C174" s="39">
        <v>2166.59494</v>
      </c>
      <c r="D174" s="39">
        <v>0</v>
      </c>
      <c r="E174" s="39">
        <v>3097.6427352704559</v>
      </c>
      <c r="F174" s="39">
        <v>2166.59494</v>
      </c>
      <c r="G174" s="39">
        <v>3097.6427352704559</v>
      </c>
    </row>
    <row r="175" spans="1:7" ht="11.25" customHeight="1" x14ac:dyDescent="0.2">
      <c r="A175" s="49">
        <v>44621</v>
      </c>
      <c r="B175" s="39">
        <v>0</v>
      </c>
      <c r="C175" s="39">
        <v>3118.7765000000004</v>
      </c>
      <c r="D175" s="39">
        <v>0</v>
      </c>
      <c r="E175" s="39">
        <v>4459.0039373752161</v>
      </c>
      <c r="F175" s="39">
        <v>3118.7765000000004</v>
      </c>
      <c r="G175" s="39">
        <v>4459.0039373752161</v>
      </c>
    </row>
    <row r="176" spans="1:7" ht="11.25" customHeight="1" x14ac:dyDescent="0.2">
      <c r="A176" s="49">
        <v>44652</v>
      </c>
      <c r="B176" s="39">
        <v>0</v>
      </c>
      <c r="C176" s="39">
        <v>3136.5980800000002</v>
      </c>
      <c r="D176" s="39">
        <v>0</v>
      </c>
      <c r="E176" s="39">
        <v>4484.4839598745029</v>
      </c>
      <c r="F176" s="39">
        <v>3136.5980800000002</v>
      </c>
      <c r="G176" s="39">
        <v>4484.4839598745029</v>
      </c>
    </row>
    <row r="177" spans="1:7" ht="11.25" customHeight="1" x14ac:dyDescent="0.2">
      <c r="A177" s="49">
        <v>44682</v>
      </c>
      <c r="B177" s="39">
        <v>0</v>
      </c>
      <c r="C177" s="39">
        <v>3795.9965400000006</v>
      </c>
      <c r="D177" s="39">
        <v>0</v>
      </c>
      <c r="E177" s="39">
        <v>5427.2447923481204</v>
      </c>
      <c r="F177" s="39">
        <v>3795.9965400000006</v>
      </c>
      <c r="G177" s="39">
        <v>5427.2447923481204</v>
      </c>
    </row>
    <row r="178" spans="1:7" ht="11.25" customHeight="1" x14ac:dyDescent="0.2">
      <c r="A178" s="49">
        <v>44713</v>
      </c>
      <c r="B178" s="39">
        <v>0</v>
      </c>
      <c r="C178" s="39">
        <v>3742.5318000000002</v>
      </c>
      <c r="D178" s="39">
        <v>0</v>
      </c>
      <c r="E178" s="39">
        <v>5350.8047248502589</v>
      </c>
      <c r="F178" s="39">
        <v>3742.5318000000002</v>
      </c>
      <c r="G178" s="39">
        <v>5350.8047248502589</v>
      </c>
    </row>
    <row r="179" spans="1:7" ht="11.25" customHeight="1" x14ac:dyDescent="0.2">
      <c r="A179" s="49">
        <v>44743</v>
      </c>
      <c r="B179" s="39">
        <v>0</v>
      </c>
      <c r="C179" s="39">
        <v>4027.6770800000004</v>
      </c>
      <c r="D179" s="39">
        <v>0</v>
      </c>
      <c r="E179" s="39">
        <v>5758.4850848388505</v>
      </c>
      <c r="F179" s="39">
        <v>4027.6770800000004</v>
      </c>
      <c r="G179" s="39">
        <v>5758.4850848388505</v>
      </c>
    </row>
    <row r="180" spans="1:7" ht="11.25" customHeight="1" x14ac:dyDescent="0.2">
      <c r="A180" s="49">
        <v>44774</v>
      </c>
      <c r="B180" s="39">
        <v>0</v>
      </c>
      <c r="C180" s="39">
        <v>3505.0307319720005</v>
      </c>
      <c r="D180" s="39">
        <v>0</v>
      </c>
      <c r="E180" s="39">
        <v>5011.2426570112621</v>
      </c>
      <c r="F180" s="39">
        <v>3505.0307319720005</v>
      </c>
      <c r="G180" s="39">
        <v>5011.2426570112621</v>
      </c>
    </row>
    <row r="181" spans="1:7" ht="11.25" customHeight="1" x14ac:dyDescent="0.2">
      <c r="A181" s="41" t="s">
        <v>690</v>
      </c>
      <c r="B181" s="39">
        <v>2028.4415999999987</v>
      </c>
      <c r="C181" s="39">
        <v>45838.994939600001</v>
      </c>
      <c r="D181" s="39">
        <v>2771.2236625970377</v>
      </c>
      <c r="E181" s="39">
        <v>31740.660232586157</v>
      </c>
      <c r="F181" s="39">
        <v>47867.436539600014</v>
      </c>
      <c r="G181" s="39">
        <v>34511.883895183193</v>
      </c>
    </row>
    <row r="182" spans="1:7" ht="11.25" customHeight="1" x14ac:dyDescent="0.2">
      <c r="A182" s="42" t="s">
        <v>39</v>
      </c>
      <c r="B182" s="39">
        <v>2028.4415999999987</v>
      </c>
      <c r="C182" s="39">
        <v>2344.0741196000008</v>
      </c>
      <c r="D182" s="39">
        <v>2771.2236625970377</v>
      </c>
      <c r="E182" s="39">
        <v>2047.7243935669906</v>
      </c>
      <c r="F182" s="39">
        <v>4372.5157196</v>
      </c>
      <c r="G182" s="39">
        <v>4818.9480561640285</v>
      </c>
    </row>
    <row r="183" spans="1:7" ht="11.25" customHeight="1" x14ac:dyDescent="0.2">
      <c r="A183" s="43" t="s">
        <v>40</v>
      </c>
      <c r="B183" s="39">
        <v>2028.4415999999987</v>
      </c>
      <c r="C183" s="39">
        <v>2344.0741196000008</v>
      </c>
      <c r="D183" s="39">
        <v>2771.2236625970377</v>
      </c>
      <c r="E183" s="39">
        <v>2047.7243935669906</v>
      </c>
      <c r="F183" s="39">
        <v>4372.5157196</v>
      </c>
      <c r="G183" s="39">
        <v>4818.9480561640285</v>
      </c>
    </row>
    <row r="184" spans="1:7" ht="11.25" customHeight="1" x14ac:dyDescent="0.2">
      <c r="A184" s="44" t="s">
        <v>43</v>
      </c>
      <c r="B184" s="39">
        <v>2028.4415999999987</v>
      </c>
      <c r="C184" s="39">
        <v>2344.0741196000008</v>
      </c>
      <c r="D184" s="39">
        <v>2771.2236625970377</v>
      </c>
      <c r="E184" s="39">
        <v>2047.7243935669906</v>
      </c>
      <c r="F184" s="39">
        <v>4372.5157196</v>
      </c>
      <c r="G184" s="39">
        <v>4818.9480561640285</v>
      </c>
    </row>
    <row r="185" spans="1:7" ht="11.25" customHeight="1" x14ac:dyDescent="0.2">
      <c r="A185" s="45" t="s">
        <v>25</v>
      </c>
      <c r="B185" s="39">
        <v>2028.4415999999987</v>
      </c>
      <c r="C185" s="39">
        <v>2344.0741196000008</v>
      </c>
      <c r="D185" s="39">
        <v>2771.2236625970377</v>
      </c>
      <c r="E185" s="39">
        <v>2047.7243935669906</v>
      </c>
      <c r="F185" s="39">
        <v>4372.5157196</v>
      </c>
      <c r="G185" s="39">
        <v>4818.9480561640285</v>
      </c>
    </row>
    <row r="186" spans="1:7" ht="11.25" customHeight="1" x14ac:dyDescent="0.2">
      <c r="A186" s="46" t="s">
        <v>25</v>
      </c>
      <c r="B186" s="39">
        <v>2028.4415999999987</v>
      </c>
      <c r="C186" s="39">
        <v>2344.0741196000008</v>
      </c>
      <c r="D186" s="39">
        <v>2771.2236625970377</v>
      </c>
      <c r="E186" s="39">
        <v>2047.7243935669906</v>
      </c>
      <c r="F186" s="39">
        <v>4372.5157196</v>
      </c>
      <c r="G186" s="39">
        <v>4818.9480561640285</v>
      </c>
    </row>
    <row r="187" spans="1:7" ht="11.25" customHeight="1" x14ac:dyDescent="0.2">
      <c r="A187" s="47" t="s">
        <v>25</v>
      </c>
      <c r="B187" s="39">
        <v>2028.4415999999987</v>
      </c>
      <c r="C187" s="39">
        <v>2344.0741196000008</v>
      </c>
      <c r="D187" s="39">
        <v>2771.2236625970377</v>
      </c>
      <c r="E187" s="39">
        <v>2047.7243935669906</v>
      </c>
      <c r="F187" s="39">
        <v>4372.5157196</v>
      </c>
      <c r="G187" s="39">
        <v>4818.9480561640285</v>
      </c>
    </row>
    <row r="188" spans="1:7" ht="11.25" customHeight="1" x14ac:dyDescent="0.2">
      <c r="A188" s="48" t="s">
        <v>35</v>
      </c>
      <c r="B188" s="39">
        <v>0</v>
      </c>
      <c r="C188" s="39">
        <v>1987.0933504000011</v>
      </c>
      <c r="D188" s="39">
        <v>0</v>
      </c>
      <c r="E188" s="39">
        <v>1561.2131868933432</v>
      </c>
      <c r="F188" s="39">
        <v>1987.0933504000011</v>
      </c>
      <c r="G188" s="39">
        <v>1561.2131868933432</v>
      </c>
    </row>
    <row r="189" spans="1:7" ht="11.25" customHeight="1" x14ac:dyDescent="0.2">
      <c r="A189" s="49">
        <v>44440</v>
      </c>
      <c r="B189" s="39">
        <v>0</v>
      </c>
      <c r="C189" s="39">
        <v>15.027763199999995</v>
      </c>
      <c r="D189" s="39">
        <v>0</v>
      </c>
      <c r="E189" s="39">
        <v>11.806965220143129</v>
      </c>
      <c r="F189" s="39">
        <v>15.027763199999995</v>
      </c>
      <c r="G189" s="39">
        <v>11.806965220143129</v>
      </c>
    </row>
    <row r="190" spans="1:7" ht="11.25" customHeight="1" x14ac:dyDescent="0.2">
      <c r="A190" s="49">
        <v>44470</v>
      </c>
      <c r="B190" s="39">
        <v>0</v>
      </c>
      <c r="C190" s="39">
        <v>19.32805120000004</v>
      </c>
      <c r="D190" s="39">
        <v>0</v>
      </c>
      <c r="E190" s="39">
        <v>15.185601826061923</v>
      </c>
      <c r="F190" s="39">
        <v>19.32805120000004</v>
      </c>
      <c r="G190" s="39">
        <v>15.185601826061923</v>
      </c>
    </row>
    <row r="191" spans="1:7" ht="11.25" customHeight="1" x14ac:dyDescent="0.2">
      <c r="A191" s="49">
        <v>44501</v>
      </c>
      <c r="B191" s="39">
        <v>0</v>
      </c>
      <c r="C191" s="39">
        <v>33.251686400000025</v>
      </c>
      <c r="D191" s="39">
        <v>0</v>
      </c>
      <c r="E191" s="39">
        <v>26.125079269009689</v>
      </c>
      <c r="F191" s="39">
        <v>33.251686400000025</v>
      </c>
      <c r="G191" s="39">
        <v>26.125079269009689</v>
      </c>
    </row>
    <row r="192" spans="1:7" ht="11.25" customHeight="1" x14ac:dyDescent="0.2">
      <c r="A192" s="49">
        <v>44531</v>
      </c>
      <c r="B192" s="39">
        <v>0</v>
      </c>
      <c r="C192" s="39">
        <v>18.630707199999986</v>
      </c>
      <c r="D192" s="39">
        <v>0</v>
      </c>
      <c r="E192" s="39">
        <v>14.637714808885868</v>
      </c>
      <c r="F192" s="39">
        <v>18.630707199999986</v>
      </c>
      <c r="G192" s="39">
        <v>14.637714808885868</v>
      </c>
    </row>
    <row r="193" spans="1:7" ht="11.25" customHeight="1" x14ac:dyDescent="0.2">
      <c r="A193" s="49">
        <v>44562</v>
      </c>
      <c r="B193" s="39">
        <v>0</v>
      </c>
      <c r="C193" s="39">
        <v>39.946188800000009</v>
      </c>
      <c r="D193" s="39">
        <v>0</v>
      </c>
      <c r="E193" s="39">
        <v>31.384794633899425</v>
      </c>
      <c r="F193" s="39">
        <v>39.946188800000009</v>
      </c>
      <c r="G193" s="39">
        <v>31.384794633899425</v>
      </c>
    </row>
    <row r="194" spans="1:7" ht="11.25" customHeight="1" x14ac:dyDescent="0.2">
      <c r="A194" s="49">
        <v>44593</v>
      </c>
      <c r="B194" s="39">
        <v>0</v>
      </c>
      <c r="C194" s="39">
        <v>339.3624576000002</v>
      </c>
      <c r="D194" s="39">
        <v>0</v>
      </c>
      <c r="E194" s="39">
        <v>266.62921690870803</v>
      </c>
      <c r="F194" s="39">
        <v>339.3624576000002</v>
      </c>
      <c r="G194" s="39">
        <v>266.62921690870803</v>
      </c>
    </row>
    <row r="195" spans="1:7" ht="11.25" customHeight="1" x14ac:dyDescent="0.2">
      <c r="A195" s="49">
        <v>44621</v>
      </c>
      <c r="B195" s="39">
        <v>0</v>
      </c>
      <c r="C195" s="39">
        <v>617.8584064000006</v>
      </c>
      <c r="D195" s="39">
        <v>0</v>
      </c>
      <c r="E195" s="39">
        <v>485.43702866823639</v>
      </c>
      <c r="F195" s="39">
        <v>617.8584064000006</v>
      </c>
      <c r="G195" s="39">
        <v>485.43702866823639</v>
      </c>
    </row>
    <row r="196" spans="1:7" ht="11.25" customHeight="1" x14ac:dyDescent="0.2">
      <c r="A196" s="49">
        <v>44652</v>
      </c>
      <c r="B196" s="39">
        <v>0</v>
      </c>
      <c r="C196" s="39">
        <v>469.34737920000117</v>
      </c>
      <c r="D196" s="39">
        <v>0</v>
      </c>
      <c r="E196" s="39">
        <v>368.75535691031808</v>
      </c>
      <c r="F196" s="39">
        <v>469.34737920000117</v>
      </c>
      <c r="G196" s="39">
        <v>368.75535691031808</v>
      </c>
    </row>
    <row r="197" spans="1:7" ht="11.25" customHeight="1" x14ac:dyDescent="0.2">
      <c r="A197" s="49">
        <v>44682</v>
      </c>
      <c r="B197" s="39">
        <v>0</v>
      </c>
      <c r="C197" s="39">
        <v>290.03699199999915</v>
      </c>
      <c r="D197" s="39">
        <v>0</v>
      </c>
      <c r="E197" s="39">
        <v>227.87534189379039</v>
      </c>
      <c r="F197" s="39">
        <v>290.03699199999915</v>
      </c>
      <c r="G197" s="39">
        <v>227.87534189379039</v>
      </c>
    </row>
    <row r="198" spans="1:7" ht="11.25" customHeight="1" x14ac:dyDescent="0.2">
      <c r="A198" s="49">
        <v>44713</v>
      </c>
      <c r="B198" s="39">
        <v>0</v>
      </c>
      <c r="C198" s="39">
        <v>96.919193600000085</v>
      </c>
      <c r="D198" s="39">
        <v>0</v>
      </c>
      <c r="E198" s="39">
        <v>76.14716393717994</v>
      </c>
      <c r="F198" s="39">
        <v>96.919193600000085</v>
      </c>
      <c r="G198" s="39">
        <v>76.14716393717994</v>
      </c>
    </row>
    <row r="199" spans="1:7" ht="11.25" customHeight="1" x14ac:dyDescent="0.2">
      <c r="A199" s="49">
        <v>44743</v>
      </c>
      <c r="B199" s="39">
        <v>0</v>
      </c>
      <c r="C199" s="39">
        <v>11.552665600000005</v>
      </c>
      <c r="D199" s="39">
        <v>0</v>
      </c>
      <c r="E199" s="39">
        <v>9.0766615845493241</v>
      </c>
      <c r="F199" s="39">
        <v>11.552665600000005</v>
      </c>
      <c r="G199" s="39">
        <v>9.0766615845493241</v>
      </c>
    </row>
    <row r="200" spans="1:7" ht="11.25" customHeight="1" x14ac:dyDescent="0.2">
      <c r="A200" s="49">
        <v>44774</v>
      </c>
      <c r="B200" s="39">
        <v>0</v>
      </c>
      <c r="C200" s="39">
        <v>35.831859200000025</v>
      </c>
      <c r="D200" s="39">
        <v>0</v>
      </c>
      <c r="E200" s="39">
        <v>28.152261232560946</v>
      </c>
      <c r="F200" s="39">
        <v>35.831859200000025</v>
      </c>
      <c r="G200" s="39">
        <v>28.152261232560946</v>
      </c>
    </row>
    <row r="201" spans="1:7" ht="11.25" customHeight="1" x14ac:dyDescent="0.2">
      <c r="A201" s="48" t="s">
        <v>25</v>
      </c>
      <c r="B201" s="39">
        <v>2028.4415999999987</v>
      </c>
      <c r="C201" s="39">
        <v>0</v>
      </c>
      <c r="D201" s="39">
        <v>2771.2236625970377</v>
      </c>
      <c r="E201" s="39">
        <v>0</v>
      </c>
      <c r="F201" s="39">
        <v>2028.4415999999987</v>
      </c>
      <c r="G201" s="39">
        <v>2771.2236625970377</v>
      </c>
    </row>
    <row r="202" spans="1:7" ht="11.25" customHeight="1" x14ac:dyDescent="0.2">
      <c r="A202" s="49">
        <v>44440</v>
      </c>
      <c r="B202" s="39">
        <v>28.627199999999995</v>
      </c>
      <c r="C202" s="39">
        <v>0</v>
      </c>
      <c r="D202" s="39">
        <v>39.110011367296927</v>
      </c>
      <c r="E202" s="39">
        <v>0</v>
      </c>
      <c r="F202" s="39">
        <v>28.627199999999995</v>
      </c>
      <c r="G202" s="39">
        <v>39.110011367296927</v>
      </c>
    </row>
    <row r="203" spans="1:7" ht="11.25" customHeight="1" x14ac:dyDescent="0.2">
      <c r="A203" s="49">
        <v>44470</v>
      </c>
      <c r="B203" s="39">
        <v>84.518399999999886</v>
      </c>
      <c r="C203" s="39">
        <v>0</v>
      </c>
      <c r="D203" s="39">
        <v>115.46765260820985</v>
      </c>
      <c r="E203" s="39">
        <v>0</v>
      </c>
      <c r="F203" s="39">
        <v>84.518399999999886</v>
      </c>
      <c r="G203" s="39">
        <v>115.46765260820985</v>
      </c>
    </row>
    <row r="204" spans="1:7" ht="11.25" customHeight="1" x14ac:dyDescent="0.2">
      <c r="A204" s="49">
        <v>44501</v>
      </c>
      <c r="B204" s="39">
        <v>85.881600000000105</v>
      </c>
      <c r="C204" s="39">
        <v>0</v>
      </c>
      <c r="D204" s="39">
        <v>117.33003410189094</v>
      </c>
      <c r="E204" s="39">
        <v>0</v>
      </c>
      <c r="F204" s="39">
        <v>85.881600000000105</v>
      </c>
      <c r="G204" s="39">
        <v>117.33003410189094</v>
      </c>
    </row>
    <row r="205" spans="1:7" ht="11.25" customHeight="1" x14ac:dyDescent="0.2">
      <c r="A205" s="49">
        <v>44531</v>
      </c>
      <c r="B205" s="39">
        <v>59.980799999999931</v>
      </c>
      <c r="C205" s="39">
        <v>0</v>
      </c>
      <c r="D205" s="39">
        <v>81.944785721955384</v>
      </c>
      <c r="E205" s="39">
        <v>0</v>
      </c>
      <c r="F205" s="39">
        <v>59.980799999999931</v>
      </c>
      <c r="G205" s="39">
        <v>81.944785721955384</v>
      </c>
    </row>
    <row r="206" spans="1:7" ht="11.25" customHeight="1" x14ac:dyDescent="0.2">
      <c r="A206" s="49">
        <v>44562</v>
      </c>
      <c r="B206" s="39">
        <v>134.95679999999979</v>
      </c>
      <c r="C206" s="39">
        <v>0</v>
      </c>
      <c r="D206" s="39">
        <v>184.37576787439954</v>
      </c>
      <c r="E206" s="39">
        <v>0</v>
      </c>
      <c r="F206" s="39">
        <v>134.95679999999979</v>
      </c>
      <c r="G206" s="39">
        <v>184.37576787439954</v>
      </c>
    </row>
    <row r="207" spans="1:7" ht="11.25" customHeight="1" x14ac:dyDescent="0.2">
      <c r="A207" s="49">
        <v>44593</v>
      </c>
      <c r="B207" s="39">
        <v>259.00799999999981</v>
      </c>
      <c r="C207" s="39">
        <v>0</v>
      </c>
      <c r="D207" s="39">
        <v>353.85248379935291</v>
      </c>
      <c r="E207" s="39">
        <v>0</v>
      </c>
      <c r="F207" s="39">
        <v>259.00799999999981</v>
      </c>
      <c r="G207" s="39">
        <v>353.85248379935291</v>
      </c>
    </row>
    <row r="208" spans="1:7" ht="11.25" customHeight="1" x14ac:dyDescent="0.2">
      <c r="A208" s="49">
        <v>44621</v>
      </c>
      <c r="B208" s="39">
        <v>278.0927999999999</v>
      </c>
      <c r="C208" s="39">
        <v>0</v>
      </c>
      <c r="D208" s="39">
        <v>379.92582471088434</v>
      </c>
      <c r="E208" s="39">
        <v>0</v>
      </c>
      <c r="F208" s="39">
        <v>278.0927999999999</v>
      </c>
      <c r="G208" s="39">
        <v>379.92582471088434</v>
      </c>
    </row>
    <row r="209" spans="1:7" ht="11.25" customHeight="1" x14ac:dyDescent="0.2">
      <c r="A209" s="49">
        <v>44652</v>
      </c>
      <c r="B209" s="39">
        <v>269.91359999999958</v>
      </c>
      <c r="C209" s="39">
        <v>0</v>
      </c>
      <c r="D209" s="39">
        <v>368.75153574879909</v>
      </c>
      <c r="E209" s="39">
        <v>0</v>
      </c>
      <c r="F209" s="39">
        <v>269.91359999999958</v>
      </c>
      <c r="G209" s="39">
        <v>368.75153574879909</v>
      </c>
    </row>
    <row r="210" spans="1:7" ht="11.25" customHeight="1" x14ac:dyDescent="0.2">
      <c r="A210" s="49">
        <v>44682</v>
      </c>
      <c r="B210" s="39">
        <v>263.09759999999994</v>
      </c>
      <c r="C210" s="39">
        <v>0</v>
      </c>
      <c r="D210" s="39">
        <v>359.43962828039554</v>
      </c>
      <c r="E210" s="39">
        <v>0</v>
      </c>
      <c r="F210" s="39">
        <v>263.09759999999994</v>
      </c>
      <c r="G210" s="39">
        <v>359.43962828039554</v>
      </c>
    </row>
    <row r="211" spans="1:7" ht="11.25" customHeight="1" x14ac:dyDescent="0.2">
      <c r="A211" s="49">
        <v>44713</v>
      </c>
      <c r="B211" s="39">
        <v>267.18720000000008</v>
      </c>
      <c r="C211" s="39">
        <v>0</v>
      </c>
      <c r="D211" s="39">
        <v>365.02677276143817</v>
      </c>
      <c r="E211" s="39">
        <v>0</v>
      </c>
      <c r="F211" s="39">
        <v>267.18720000000008</v>
      </c>
      <c r="G211" s="39">
        <v>365.02677276143817</v>
      </c>
    </row>
    <row r="212" spans="1:7" ht="11.25" customHeight="1" x14ac:dyDescent="0.2">
      <c r="A212" s="49">
        <v>44743</v>
      </c>
      <c r="B212" s="39">
        <v>27.264000000000024</v>
      </c>
      <c r="C212" s="39">
        <v>0</v>
      </c>
      <c r="D212" s="39">
        <v>37.247629873616155</v>
      </c>
      <c r="E212" s="39">
        <v>0</v>
      </c>
      <c r="F212" s="39">
        <v>27.264000000000024</v>
      </c>
      <c r="G212" s="39">
        <v>37.247629873616155</v>
      </c>
    </row>
    <row r="213" spans="1:7" ht="11.25" customHeight="1" x14ac:dyDescent="0.2">
      <c r="A213" s="49">
        <v>44774</v>
      </c>
      <c r="B213" s="39">
        <v>269.91359999999958</v>
      </c>
      <c r="C213" s="39">
        <v>0</v>
      </c>
      <c r="D213" s="39">
        <v>368.75153574879909</v>
      </c>
      <c r="E213" s="39">
        <v>0</v>
      </c>
      <c r="F213" s="39">
        <v>269.91359999999958</v>
      </c>
      <c r="G213" s="39">
        <v>368.75153574879909</v>
      </c>
    </row>
    <row r="214" spans="1:7" ht="11.25" customHeight="1" x14ac:dyDescent="0.2">
      <c r="A214" s="48" t="s">
        <v>34</v>
      </c>
      <c r="B214" s="39">
        <v>0</v>
      </c>
      <c r="C214" s="39">
        <v>356.98076920000022</v>
      </c>
      <c r="D214" s="39">
        <v>0</v>
      </c>
      <c r="E214" s="39">
        <v>486.51120667364762</v>
      </c>
      <c r="F214" s="39">
        <v>356.98076920000022</v>
      </c>
      <c r="G214" s="39">
        <v>486.51120667364762</v>
      </c>
    </row>
    <row r="215" spans="1:7" ht="11.25" customHeight="1" x14ac:dyDescent="0.2">
      <c r="A215" s="49">
        <v>44440</v>
      </c>
      <c r="B215" s="39">
        <v>0</v>
      </c>
      <c r="C215" s="39">
        <v>22.262840400000051</v>
      </c>
      <c r="D215" s="39">
        <v>0</v>
      </c>
      <c r="E215" s="39">
        <v>30.340909879430146</v>
      </c>
      <c r="F215" s="39">
        <v>22.262840400000051</v>
      </c>
      <c r="G215" s="39">
        <v>30.340909879430146</v>
      </c>
    </row>
    <row r="216" spans="1:7" ht="11.25" customHeight="1" x14ac:dyDescent="0.2">
      <c r="A216" s="49">
        <v>44470</v>
      </c>
      <c r="B216" s="39">
        <v>0</v>
      </c>
      <c r="C216" s="39">
        <v>23.038163199999985</v>
      </c>
      <c r="D216" s="39">
        <v>0</v>
      </c>
      <c r="E216" s="39">
        <v>31.397558482196271</v>
      </c>
      <c r="F216" s="39">
        <v>23.038163199999985</v>
      </c>
      <c r="G216" s="39">
        <v>31.397558482196271</v>
      </c>
    </row>
    <row r="217" spans="1:7" ht="11.25" customHeight="1" x14ac:dyDescent="0.2">
      <c r="A217" s="49">
        <v>44501</v>
      </c>
      <c r="B217" s="39">
        <v>0</v>
      </c>
      <c r="C217" s="39">
        <v>27.136298000000007</v>
      </c>
      <c r="D217" s="39">
        <v>0</v>
      </c>
      <c r="E217" s="39">
        <v>36.982701096817763</v>
      </c>
      <c r="F217" s="39">
        <v>27.136298000000007</v>
      </c>
      <c r="G217" s="39">
        <v>36.982701096817763</v>
      </c>
    </row>
    <row r="218" spans="1:7" ht="11.25" customHeight="1" x14ac:dyDescent="0.2">
      <c r="A218" s="49">
        <v>44531</v>
      </c>
      <c r="B218" s="39">
        <v>0</v>
      </c>
      <c r="C218" s="39">
        <v>22.484361200000045</v>
      </c>
      <c r="D218" s="39">
        <v>0</v>
      </c>
      <c r="E218" s="39">
        <v>30.642809480220482</v>
      </c>
      <c r="F218" s="39">
        <v>22.484361200000045</v>
      </c>
      <c r="G218" s="39">
        <v>30.642809480220482</v>
      </c>
    </row>
    <row r="219" spans="1:7" ht="11.25" customHeight="1" x14ac:dyDescent="0.2">
      <c r="A219" s="49">
        <v>44562</v>
      </c>
      <c r="B219" s="39">
        <v>0</v>
      </c>
      <c r="C219" s="39">
        <v>17.721664000000047</v>
      </c>
      <c r="D219" s="39">
        <v>0</v>
      </c>
      <c r="E219" s="39">
        <v>24.151968063227979</v>
      </c>
      <c r="F219" s="39">
        <v>17.721664000000047</v>
      </c>
      <c r="G219" s="39">
        <v>24.151968063227979</v>
      </c>
    </row>
    <row r="220" spans="1:7" ht="11.25" customHeight="1" x14ac:dyDescent="0.2">
      <c r="A220" s="49">
        <v>44593</v>
      </c>
      <c r="B220" s="39">
        <v>0</v>
      </c>
      <c r="C220" s="39">
        <v>71.661978800000043</v>
      </c>
      <c r="D220" s="39">
        <v>0</v>
      </c>
      <c r="E220" s="39">
        <v>97.664520855677949</v>
      </c>
      <c r="F220" s="39">
        <v>71.661978800000043</v>
      </c>
      <c r="G220" s="39">
        <v>97.664520855677949</v>
      </c>
    </row>
    <row r="221" spans="1:7" ht="11.25" customHeight="1" x14ac:dyDescent="0.2">
      <c r="A221" s="49">
        <v>44621</v>
      </c>
      <c r="B221" s="39">
        <v>0</v>
      </c>
      <c r="C221" s="39">
        <v>55.490960400000006</v>
      </c>
      <c r="D221" s="39">
        <v>0</v>
      </c>
      <c r="E221" s="39">
        <v>75.625849997982428</v>
      </c>
      <c r="F221" s="39">
        <v>55.490960400000006</v>
      </c>
      <c r="G221" s="39">
        <v>75.625849997982428</v>
      </c>
    </row>
    <row r="222" spans="1:7" ht="11.25" customHeight="1" x14ac:dyDescent="0.2">
      <c r="A222" s="49">
        <v>44652</v>
      </c>
      <c r="B222" s="39">
        <v>0</v>
      </c>
      <c r="C222" s="39">
        <v>48.956096800000083</v>
      </c>
      <c r="D222" s="39">
        <v>0</v>
      </c>
      <c r="E222" s="39">
        <v>66.719811774667235</v>
      </c>
      <c r="F222" s="39">
        <v>48.956096800000083</v>
      </c>
      <c r="G222" s="39">
        <v>66.719811774667235</v>
      </c>
    </row>
    <row r="223" spans="1:7" ht="11.25" customHeight="1" x14ac:dyDescent="0.2">
      <c r="A223" s="49">
        <v>44682</v>
      </c>
      <c r="B223" s="39">
        <v>0</v>
      </c>
      <c r="C223" s="39">
        <v>18.829268000000003</v>
      </c>
      <c r="D223" s="39">
        <v>0</v>
      </c>
      <c r="E223" s="39">
        <v>25.661466067179667</v>
      </c>
      <c r="F223" s="39">
        <v>18.829268000000003</v>
      </c>
      <c r="G223" s="39">
        <v>25.661466067179667</v>
      </c>
    </row>
    <row r="224" spans="1:7" ht="11.25" customHeight="1" x14ac:dyDescent="0.2">
      <c r="A224" s="49">
        <v>44713</v>
      </c>
      <c r="B224" s="39">
        <v>0</v>
      </c>
      <c r="C224" s="39">
        <v>17.610903600000011</v>
      </c>
      <c r="D224" s="39">
        <v>0</v>
      </c>
      <c r="E224" s="39">
        <v>24.001018262832758</v>
      </c>
      <c r="F224" s="39">
        <v>17.610903600000011</v>
      </c>
      <c r="G224" s="39">
        <v>24.001018262832758</v>
      </c>
    </row>
    <row r="225" spans="1:7" ht="11.25" customHeight="1" x14ac:dyDescent="0.2">
      <c r="A225" s="49">
        <v>44743</v>
      </c>
      <c r="B225" s="39">
        <v>0</v>
      </c>
      <c r="C225" s="39">
        <v>16.171018399999955</v>
      </c>
      <c r="D225" s="39">
        <v>0</v>
      </c>
      <c r="E225" s="39">
        <v>22.038670857695415</v>
      </c>
      <c r="F225" s="39">
        <v>16.171018399999955</v>
      </c>
      <c r="G225" s="39">
        <v>22.038670857695415</v>
      </c>
    </row>
    <row r="226" spans="1:7" ht="11.25" customHeight="1" x14ac:dyDescent="0.2">
      <c r="A226" s="49">
        <v>44774</v>
      </c>
      <c r="B226" s="39">
        <v>0</v>
      </c>
      <c r="C226" s="39">
        <v>15.61721639999994</v>
      </c>
      <c r="D226" s="39">
        <v>0</v>
      </c>
      <c r="E226" s="39">
        <v>21.283921855719523</v>
      </c>
      <c r="F226" s="39">
        <v>15.61721639999994</v>
      </c>
      <c r="G226" s="39">
        <v>21.283921855719523</v>
      </c>
    </row>
    <row r="227" spans="1:7" ht="11.25" customHeight="1" x14ac:dyDescent="0.2">
      <c r="A227" s="42" t="s">
        <v>42</v>
      </c>
      <c r="B227" s="39">
        <v>0</v>
      </c>
      <c r="C227" s="39">
        <v>43494.920819999999</v>
      </c>
      <c r="D227" s="39">
        <v>0</v>
      </c>
      <c r="E227" s="39">
        <v>29692.935839019166</v>
      </c>
      <c r="F227" s="39">
        <v>43494.920820000007</v>
      </c>
      <c r="G227" s="39">
        <v>29692.935839019163</v>
      </c>
    </row>
    <row r="228" spans="1:7" ht="11.25" customHeight="1" x14ac:dyDescent="0.2">
      <c r="A228" s="43" t="s">
        <v>23</v>
      </c>
      <c r="B228" s="39">
        <v>0</v>
      </c>
      <c r="C228" s="39">
        <v>43494.920819999999</v>
      </c>
      <c r="D228" s="39">
        <v>0</v>
      </c>
      <c r="E228" s="39">
        <v>29692.935839019166</v>
      </c>
      <c r="F228" s="39">
        <v>43494.920820000007</v>
      </c>
      <c r="G228" s="39">
        <v>29692.935839019163</v>
      </c>
    </row>
    <row r="229" spans="1:7" ht="11.25" customHeight="1" x14ac:dyDescent="0.2">
      <c r="A229" s="44" t="s">
        <v>43</v>
      </c>
      <c r="B229" s="39">
        <v>0</v>
      </c>
      <c r="C229" s="39">
        <v>43494.920819999999</v>
      </c>
      <c r="D229" s="39">
        <v>0</v>
      </c>
      <c r="E229" s="39">
        <v>29692.935839019166</v>
      </c>
      <c r="F229" s="39">
        <v>43494.920820000007</v>
      </c>
      <c r="G229" s="39">
        <v>29692.935839019163</v>
      </c>
    </row>
    <row r="230" spans="1:7" ht="11.25" customHeight="1" x14ac:dyDescent="0.2">
      <c r="A230" s="45" t="s">
        <v>25</v>
      </c>
      <c r="B230" s="39">
        <v>0</v>
      </c>
      <c r="C230" s="39">
        <v>43494.920819999999</v>
      </c>
      <c r="D230" s="39">
        <v>0</v>
      </c>
      <c r="E230" s="39">
        <v>29692.935839019166</v>
      </c>
      <c r="F230" s="39">
        <v>43494.920820000007</v>
      </c>
      <c r="G230" s="39">
        <v>29692.935839019163</v>
      </c>
    </row>
    <row r="231" spans="1:7" ht="11.25" customHeight="1" x14ac:dyDescent="0.2">
      <c r="A231" s="46" t="s">
        <v>25</v>
      </c>
      <c r="B231" s="39">
        <v>0</v>
      </c>
      <c r="C231" s="39">
        <v>43494.920819999999</v>
      </c>
      <c r="D231" s="39">
        <v>0</v>
      </c>
      <c r="E231" s="39">
        <v>29692.935839019166</v>
      </c>
      <c r="F231" s="39">
        <v>43494.920820000007</v>
      </c>
      <c r="G231" s="39">
        <v>29692.935839019163</v>
      </c>
    </row>
    <row r="232" spans="1:7" ht="11.25" customHeight="1" x14ac:dyDescent="0.2">
      <c r="A232" s="47" t="s">
        <v>25</v>
      </c>
      <c r="B232" s="39">
        <v>0</v>
      </c>
      <c r="C232" s="39">
        <v>43494.920819999999</v>
      </c>
      <c r="D232" s="39">
        <v>0</v>
      </c>
      <c r="E232" s="39">
        <v>29692.935839019166</v>
      </c>
      <c r="F232" s="39">
        <v>43494.920820000007</v>
      </c>
      <c r="G232" s="39">
        <v>29692.935839019163</v>
      </c>
    </row>
    <row r="233" spans="1:7" ht="11.25" customHeight="1" x14ac:dyDescent="0.2">
      <c r="A233" s="48" t="s">
        <v>25</v>
      </c>
      <c r="B233" s="39">
        <v>0</v>
      </c>
      <c r="C233" s="39">
        <v>43494.920819999999</v>
      </c>
      <c r="D233" s="39">
        <v>0</v>
      </c>
      <c r="E233" s="39">
        <v>29692.935839019166</v>
      </c>
      <c r="F233" s="39">
        <v>43494.920820000007</v>
      </c>
      <c r="G233" s="39">
        <v>29692.935839019163</v>
      </c>
    </row>
    <row r="234" spans="1:7" ht="11.25" customHeight="1" x14ac:dyDescent="0.2">
      <c r="A234" s="49">
        <v>44440</v>
      </c>
      <c r="B234" s="39">
        <v>0</v>
      </c>
      <c r="C234" s="39">
        <v>3375.57402</v>
      </c>
      <c r="D234" s="39">
        <v>0</v>
      </c>
      <c r="E234" s="39">
        <v>2304.4231580628962</v>
      </c>
      <c r="F234" s="39">
        <v>3375.57402</v>
      </c>
      <c r="G234" s="39">
        <v>2304.4231580628962</v>
      </c>
    </row>
    <row r="235" spans="1:7" ht="11.25" customHeight="1" x14ac:dyDescent="0.2">
      <c r="A235" s="49">
        <v>44470</v>
      </c>
      <c r="B235" s="39">
        <v>0</v>
      </c>
      <c r="C235" s="39">
        <v>3412.5835499999998</v>
      </c>
      <c r="D235" s="39">
        <v>0</v>
      </c>
      <c r="E235" s="39">
        <v>2329.6886736450497</v>
      </c>
      <c r="F235" s="39">
        <v>3412.5835499999998</v>
      </c>
      <c r="G235" s="39">
        <v>2329.6886736450497</v>
      </c>
    </row>
    <row r="236" spans="1:7" ht="11.25" customHeight="1" x14ac:dyDescent="0.2">
      <c r="A236" s="49">
        <v>44501</v>
      </c>
      <c r="B236" s="39">
        <v>0</v>
      </c>
      <c r="C236" s="39">
        <v>3500.8305299999997</v>
      </c>
      <c r="D236" s="39">
        <v>0</v>
      </c>
      <c r="E236" s="39">
        <v>2389.9327634313295</v>
      </c>
      <c r="F236" s="39">
        <v>3500.8305299999997</v>
      </c>
      <c r="G236" s="39">
        <v>2389.9327634313295</v>
      </c>
    </row>
    <row r="237" spans="1:7" ht="11.25" customHeight="1" x14ac:dyDescent="0.2">
      <c r="A237" s="49">
        <v>44531</v>
      </c>
      <c r="B237" s="39">
        <v>0</v>
      </c>
      <c r="C237" s="39">
        <v>3994.1497800000002</v>
      </c>
      <c r="D237" s="39">
        <v>0</v>
      </c>
      <c r="E237" s="39">
        <v>2726.7099448181621</v>
      </c>
      <c r="F237" s="39">
        <v>3994.1497800000002</v>
      </c>
      <c r="G237" s="39">
        <v>2726.7099448181621</v>
      </c>
    </row>
    <row r="238" spans="1:7" ht="11.25" customHeight="1" x14ac:dyDescent="0.2">
      <c r="A238" s="49">
        <v>44562</v>
      </c>
      <c r="B238" s="39">
        <v>0</v>
      </c>
      <c r="C238" s="39">
        <v>4351.0334399999992</v>
      </c>
      <c r="D238" s="39">
        <v>0</v>
      </c>
      <c r="E238" s="39">
        <v>2970.3458319192969</v>
      </c>
      <c r="F238" s="39">
        <v>4351.0334399999992</v>
      </c>
      <c r="G238" s="39">
        <v>2970.3458319192969</v>
      </c>
    </row>
    <row r="239" spans="1:7" ht="11.25" customHeight="1" x14ac:dyDescent="0.2">
      <c r="A239" s="49">
        <v>44593</v>
      </c>
      <c r="B239" s="39">
        <v>0</v>
      </c>
      <c r="C239" s="39">
        <v>5234.3501399999996</v>
      </c>
      <c r="D239" s="39">
        <v>0</v>
      </c>
      <c r="E239" s="39">
        <v>3573.3648880334022</v>
      </c>
      <c r="F239" s="39">
        <v>5234.3501399999996</v>
      </c>
      <c r="G239" s="39">
        <v>3573.3648880334022</v>
      </c>
    </row>
    <row r="240" spans="1:7" ht="11.25" customHeight="1" x14ac:dyDescent="0.2">
      <c r="A240" s="49">
        <v>44621</v>
      </c>
      <c r="B240" s="39">
        <v>0</v>
      </c>
      <c r="C240" s="39">
        <v>4047.5891699999997</v>
      </c>
      <c r="D240" s="39">
        <v>0</v>
      </c>
      <c r="E240" s="39">
        <v>2763.191730475688</v>
      </c>
      <c r="F240" s="39">
        <v>4047.5891699999997</v>
      </c>
      <c r="G240" s="39">
        <v>2763.191730475688</v>
      </c>
    </row>
    <row r="241" spans="1:7" ht="11.25" customHeight="1" x14ac:dyDescent="0.2">
      <c r="A241" s="49">
        <v>44652</v>
      </c>
      <c r="B241" s="39">
        <v>0</v>
      </c>
      <c r="C241" s="39">
        <v>3435.0263999999997</v>
      </c>
      <c r="D241" s="39">
        <v>0</v>
      </c>
      <c r="E241" s="39">
        <v>2345.0098673047082</v>
      </c>
      <c r="F241" s="39">
        <v>3435.0263999999997</v>
      </c>
      <c r="G241" s="39">
        <v>2345.0098673047082</v>
      </c>
    </row>
    <row r="242" spans="1:7" ht="11.25" customHeight="1" x14ac:dyDescent="0.2">
      <c r="A242" s="49">
        <v>44682</v>
      </c>
      <c r="B242" s="39">
        <v>0</v>
      </c>
      <c r="C242" s="39">
        <v>3102.3640799999998</v>
      </c>
      <c r="D242" s="39">
        <v>0</v>
      </c>
      <c r="E242" s="39">
        <v>2117.909306190978</v>
      </c>
      <c r="F242" s="39">
        <v>3102.3640799999998</v>
      </c>
      <c r="G242" s="39">
        <v>2117.909306190978</v>
      </c>
    </row>
    <row r="243" spans="1:7" ht="11.25" customHeight="1" x14ac:dyDescent="0.2">
      <c r="A243" s="49">
        <v>44713</v>
      </c>
      <c r="B243" s="39">
        <v>0</v>
      </c>
      <c r="C243" s="39">
        <v>3335.7697199999998</v>
      </c>
      <c r="D243" s="39">
        <v>0</v>
      </c>
      <c r="E243" s="39">
        <v>2277.2497202514264</v>
      </c>
      <c r="F243" s="39">
        <v>3335.7697199999998</v>
      </c>
      <c r="G243" s="39">
        <v>2277.2497202514264</v>
      </c>
    </row>
    <row r="244" spans="1:7" ht="11.25" customHeight="1" x14ac:dyDescent="0.2">
      <c r="A244" s="49">
        <v>44743</v>
      </c>
      <c r="B244" s="39">
        <v>0</v>
      </c>
      <c r="C244" s="39">
        <v>2686.3667999999998</v>
      </c>
      <c r="D244" s="39">
        <v>0</v>
      </c>
      <c r="E244" s="39">
        <v>1833.9179731485538</v>
      </c>
      <c r="F244" s="39">
        <v>2686.3667999999998</v>
      </c>
      <c r="G244" s="39">
        <v>1833.9179731485538</v>
      </c>
    </row>
    <row r="245" spans="1:7" ht="11.25" customHeight="1" x14ac:dyDescent="0.2">
      <c r="A245" s="49">
        <v>44774</v>
      </c>
      <c r="B245" s="39">
        <v>0</v>
      </c>
      <c r="C245" s="39">
        <v>3019.2831900000001</v>
      </c>
      <c r="D245" s="39">
        <v>0</v>
      </c>
      <c r="E245" s="39">
        <v>2061.1919817376765</v>
      </c>
      <c r="F245" s="39">
        <v>3019.2831900000001</v>
      </c>
      <c r="G245" s="39">
        <v>2061.1919817376765</v>
      </c>
    </row>
    <row r="246" spans="1:7" ht="11.25" customHeight="1" x14ac:dyDescent="0.2">
      <c r="A246" s="41" t="s">
        <v>699</v>
      </c>
      <c r="B246" s="39">
        <v>0</v>
      </c>
      <c r="C246" s="39">
        <v>0</v>
      </c>
      <c r="D246" s="39">
        <v>0</v>
      </c>
      <c r="E246" s="39">
        <v>0</v>
      </c>
      <c r="F246" s="39">
        <v>0</v>
      </c>
      <c r="G246" s="39">
        <v>0</v>
      </c>
    </row>
    <row r="247" spans="1:7" ht="11.25" customHeight="1" x14ac:dyDescent="0.2">
      <c r="A247" s="42" t="s">
        <v>22</v>
      </c>
      <c r="B247" s="39">
        <v>0</v>
      </c>
      <c r="C247" s="39">
        <v>0</v>
      </c>
      <c r="D247" s="39">
        <v>0</v>
      </c>
      <c r="E247" s="39">
        <v>0</v>
      </c>
      <c r="F247" s="39">
        <v>0</v>
      </c>
      <c r="G247" s="39">
        <v>0</v>
      </c>
    </row>
    <row r="248" spans="1:7" ht="11.25" customHeight="1" x14ac:dyDescent="0.2">
      <c r="A248" s="43" t="s">
        <v>23</v>
      </c>
      <c r="B248" s="39">
        <v>0</v>
      </c>
      <c r="C248" s="39">
        <v>0</v>
      </c>
      <c r="D248" s="39">
        <v>0</v>
      </c>
      <c r="E248" s="39">
        <v>0</v>
      </c>
      <c r="F248" s="39">
        <v>0</v>
      </c>
      <c r="G248" s="39">
        <v>0</v>
      </c>
    </row>
    <row r="249" spans="1:7" ht="11.25" customHeight="1" x14ac:dyDescent="0.2">
      <c r="A249" s="44" t="s">
        <v>24</v>
      </c>
      <c r="B249" s="39">
        <v>0</v>
      </c>
      <c r="C249" s="39">
        <v>0</v>
      </c>
      <c r="D249" s="39">
        <v>0</v>
      </c>
      <c r="E249" s="39">
        <v>0</v>
      </c>
      <c r="F249" s="39">
        <v>0</v>
      </c>
      <c r="G249" s="39">
        <v>0</v>
      </c>
    </row>
    <row r="250" spans="1:7" ht="11.25" customHeight="1" x14ac:dyDescent="0.2">
      <c r="A250" s="45" t="s">
        <v>24</v>
      </c>
      <c r="B250" s="39">
        <v>0</v>
      </c>
      <c r="C250" s="39">
        <v>0</v>
      </c>
      <c r="D250" s="39">
        <v>0</v>
      </c>
      <c r="E250" s="39">
        <v>0</v>
      </c>
      <c r="F250" s="39">
        <v>0</v>
      </c>
      <c r="G250" s="39">
        <v>0</v>
      </c>
    </row>
    <row r="251" spans="1:7" ht="11.25" customHeight="1" x14ac:dyDescent="0.2">
      <c r="A251" s="46" t="s">
        <v>25</v>
      </c>
      <c r="B251" s="39">
        <v>0</v>
      </c>
      <c r="C251" s="39">
        <v>0</v>
      </c>
      <c r="D251" s="39">
        <v>0</v>
      </c>
      <c r="E251" s="39">
        <v>0</v>
      </c>
      <c r="F251" s="39">
        <v>0</v>
      </c>
      <c r="G251" s="39">
        <v>0</v>
      </c>
    </row>
    <row r="252" spans="1:7" ht="11.25" customHeight="1" x14ac:dyDescent="0.2">
      <c r="A252" s="47" t="s">
        <v>25</v>
      </c>
      <c r="B252" s="39">
        <v>0</v>
      </c>
      <c r="C252" s="39">
        <v>0</v>
      </c>
      <c r="D252" s="39">
        <v>0</v>
      </c>
      <c r="E252" s="39">
        <v>0</v>
      </c>
      <c r="F252" s="39">
        <v>0</v>
      </c>
      <c r="G252" s="39">
        <v>0</v>
      </c>
    </row>
    <row r="253" spans="1:7" ht="11.25" customHeight="1" x14ac:dyDescent="0.2">
      <c r="A253" s="48" t="s">
        <v>25</v>
      </c>
      <c r="B253" s="39">
        <v>0</v>
      </c>
      <c r="C253" s="39">
        <v>0</v>
      </c>
      <c r="D253" s="39">
        <v>0</v>
      </c>
      <c r="E253" s="39">
        <v>0</v>
      </c>
      <c r="F253" s="39">
        <v>0</v>
      </c>
      <c r="G253" s="39">
        <v>0</v>
      </c>
    </row>
    <row r="254" spans="1:7" ht="11.25" customHeight="1" x14ac:dyDescent="0.2">
      <c r="A254" s="49">
        <v>44440</v>
      </c>
      <c r="B254" s="39">
        <v>0</v>
      </c>
      <c r="C254" s="39">
        <v>0</v>
      </c>
      <c r="D254" s="39">
        <v>0</v>
      </c>
      <c r="E254" s="39">
        <v>0</v>
      </c>
      <c r="F254" s="39">
        <v>0</v>
      </c>
      <c r="G254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A790-88EC-4443-A54C-6332773D5B24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84" t="s">
        <v>767</v>
      </c>
      <c r="B1" s="104"/>
      <c r="C1" s="104"/>
      <c r="D1" s="104"/>
      <c r="E1" s="104"/>
      <c r="F1" s="104"/>
      <c r="G1" s="104"/>
      <c r="H1" s="104"/>
      <c r="I1" s="104"/>
      <c r="J1" s="104"/>
      <c r="L1" s="84" t="s">
        <v>777</v>
      </c>
      <c r="M1" s="85"/>
      <c r="N1" s="85"/>
      <c r="O1" s="85"/>
      <c r="P1" s="85"/>
      <c r="Q1" s="85"/>
      <c r="R1" s="85"/>
      <c r="S1" s="85"/>
      <c r="T1" s="85"/>
      <c r="U1" s="85"/>
      <c r="V1" s="85"/>
    </row>
    <row r="2" spans="1:22" ht="11.25" customHeight="1" x14ac:dyDescent="0.3">
      <c r="A2" s="100" t="s">
        <v>457</v>
      </c>
      <c r="B2" s="100" t="s">
        <v>458</v>
      </c>
      <c r="C2" s="100" t="s">
        <v>768</v>
      </c>
      <c r="D2" s="100" t="s">
        <v>463</v>
      </c>
      <c r="E2" s="100" t="s">
        <v>769</v>
      </c>
      <c r="F2" s="103"/>
      <c r="G2" s="103"/>
      <c r="H2" s="100" t="s">
        <v>534</v>
      </c>
      <c r="I2" s="103"/>
      <c r="J2" s="103"/>
      <c r="L2" s="100" t="s">
        <v>457</v>
      </c>
      <c r="M2" s="100" t="s">
        <v>458</v>
      </c>
      <c r="N2" s="100" t="s">
        <v>459</v>
      </c>
      <c r="O2" s="100" t="s">
        <v>460</v>
      </c>
      <c r="P2" s="100" t="s">
        <v>463</v>
      </c>
      <c r="Q2" s="100" t="s">
        <v>769</v>
      </c>
      <c r="R2" s="105"/>
      <c r="S2" s="105"/>
      <c r="T2" s="100" t="s">
        <v>534</v>
      </c>
      <c r="U2" s="105"/>
      <c r="V2" s="105"/>
    </row>
    <row r="3" spans="1:22" ht="11.25" customHeight="1" x14ac:dyDescent="0.3">
      <c r="A3" s="103"/>
      <c r="B3" s="103"/>
      <c r="C3" s="103"/>
      <c r="D3" s="103"/>
      <c r="E3" s="100" t="s">
        <v>492</v>
      </c>
      <c r="F3" s="103"/>
      <c r="G3" s="30" t="s">
        <v>520</v>
      </c>
      <c r="H3" s="100" t="s">
        <v>492</v>
      </c>
      <c r="I3" s="103"/>
      <c r="J3" s="30" t="s">
        <v>520</v>
      </c>
      <c r="L3" s="105"/>
      <c r="M3" s="105"/>
      <c r="N3" s="105"/>
      <c r="O3" s="105"/>
      <c r="P3" s="105"/>
      <c r="Q3" s="100" t="s">
        <v>492</v>
      </c>
      <c r="R3" s="105"/>
      <c r="S3" s="30" t="s">
        <v>520</v>
      </c>
      <c r="T3" s="100" t="s">
        <v>492</v>
      </c>
      <c r="U3" s="105"/>
      <c r="V3" s="30" t="s">
        <v>520</v>
      </c>
    </row>
    <row r="4" spans="1:22" ht="11.25" customHeight="1" x14ac:dyDescent="0.3">
      <c r="A4" s="103"/>
      <c r="B4" s="103"/>
      <c r="C4" s="103"/>
      <c r="D4" s="103"/>
      <c r="E4" s="30" t="s">
        <v>770</v>
      </c>
      <c r="F4" s="30" t="s">
        <v>771</v>
      </c>
      <c r="G4" s="30" t="s">
        <v>771</v>
      </c>
      <c r="H4" s="30" t="s">
        <v>770</v>
      </c>
      <c r="I4" s="30" t="s">
        <v>771</v>
      </c>
      <c r="J4" s="30" t="s">
        <v>771</v>
      </c>
      <c r="L4" s="105"/>
      <c r="M4" s="105"/>
      <c r="N4" s="105"/>
      <c r="O4" s="105"/>
      <c r="P4" s="105"/>
      <c r="Q4" s="30" t="s">
        <v>770</v>
      </c>
      <c r="R4" s="30" t="s">
        <v>771</v>
      </c>
      <c r="S4" s="30" t="s">
        <v>771</v>
      </c>
      <c r="T4" s="30" t="s">
        <v>770</v>
      </c>
      <c r="U4" s="30" t="s">
        <v>771</v>
      </c>
      <c r="V4" s="30" t="s">
        <v>771</v>
      </c>
    </row>
    <row r="5" spans="1:22" ht="11.25" customHeight="1" x14ac:dyDescent="0.3">
      <c r="A5" s="102" t="s">
        <v>39</v>
      </c>
      <c r="B5" s="102" t="s">
        <v>470</v>
      </c>
      <c r="C5" s="102" t="s">
        <v>25</v>
      </c>
      <c r="D5" s="31" t="s">
        <v>772</v>
      </c>
      <c r="E5" s="29">
        <f ca="1">ROUND('TUSD BE'!$AM$5+'TUSD BF'!$AM$5+'TUSD CVA'!$AM$5,2)</f>
        <v>145.79</v>
      </c>
      <c r="F5" s="29">
        <f ca="1">ROUND('TUSD BE'!$AM$7+'TUSD BF'!$AM$7+'TUSD CVA'!$AM$7,2)</f>
        <v>91.42</v>
      </c>
      <c r="G5" s="29">
        <f>ROUND('TE BE'!$AB$5+'TE BF'!$AB$5+'TE CVA'!$AB$5,2)</f>
        <v>77.959999999999994</v>
      </c>
      <c r="H5" s="29">
        <f ca="1">ROUND('TUSD BE'!$AM$5,2)</f>
        <v>146.66</v>
      </c>
      <c r="I5" s="29">
        <f ca="1">ROUND('TUSD BE'!$AM$7,2)</f>
        <v>100.06</v>
      </c>
      <c r="J5" s="29">
        <f>ROUND('TE BE'!$AB$5,2)</f>
        <v>196.78</v>
      </c>
      <c r="L5" s="106" t="s">
        <v>22</v>
      </c>
      <c r="M5" s="106" t="s">
        <v>778</v>
      </c>
      <c r="N5" s="106" t="s">
        <v>779</v>
      </c>
      <c r="O5" s="106" t="s">
        <v>779</v>
      </c>
      <c r="P5" s="31" t="s">
        <v>772</v>
      </c>
      <c r="Q5" s="29">
        <v>0</v>
      </c>
      <c r="R5" s="29">
        <f ca="1">ROUND('TUSD BE'!$AM$17+'TUSD BF'!$AM$17+'TUSD CVA'!$AM$17,2)</f>
        <v>1645.63</v>
      </c>
      <c r="S5" s="29">
        <f>ROUND('TE BE'!$AB$7+'TE BF'!$AB$7+'TE CVA'!$AB$7,2)</f>
        <v>77.959999999999994</v>
      </c>
      <c r="T5" s="29">
        <v>0</v>
      </c>
      <c r="U5" s="29">
        <f ca="1">ROUND('TUSD BE'!$AM$17,2)</f>
        <v>1673.7</v>
      </c>
      <c r="V5" s="29">
        <f>ROUND('TE BE'!$AB$7,2)</f>
        <v>196.78</v>
      </c>
    </row>
    <row r="6" spans="1:22" ht="11.25" customHeight="1" x14ac:dyDescent="0.3">
      <c r="A6" s="103"/>
      <c r="B6" s="103"/>
      <c r="C6" s="103"/>
      <c r="D6" s="31" t="s">
        <v>773</v>
      </c>
      <c r="E6" s="29">
        <f ca="1">ROUND('TUSD BE'!$AM$6+'TUSD BF'!$AM$6+'TUSD CVA'!$AM$6,2)</f>
        <v>46.05</v>
      </c>
      <c r="F6" s="29">
        <f ca="1">ROUND('TUSD BE'!$AM$7+'TUSD BF'!$AM$7+'TUSD CVA'!$AM$7,2)</f>
        <v>91.42</v>
      </c>
      <c r="G6" s="29">
        <f>ROUND('TE BE'!$AB$6+'TE BF'!$AB$6+'TE CVA'!$AB$6,2)</f>
        <v>77.959999999999994</v>
      </c>
      <c r="H6" s="29">
        <f ca="1">ROUND('TUSD BE'!$AM$6,2)</f>
        <v>46.21</v>
      </c>
      <c r="I6" s="29">
        <f ca="1">ROUND('TUSD BE'!$AM$7,2)</f>
        <v>100.06</v>
      </c>
      <c r="J6" s="29">
        <f>ROUND('TE BE'!$AB$6,2)</f>
        <v>196.78</v>
      </c>
      <c r="L6" s="107"/>
      <c r="M6" s="107"/>
      <c r="N6" s="107"/>
      <c r="O6" s="107"/>
      <c r="P6" s="31" t="s">
        <v>780</v>
      </c>
      <c r="Q6" s="29">
        <v>0</v>
      </c>
      <c r="R6" s="29">
        <f ca="1">ROUND('TUSD BE'!$AM$18+'TUSD BF'!$AM$18+'TUSD CVA'!$AM$18,2)</f>
        <v>1031.73</v>
      </c>
      <c r="S6" s="29">
        <f>ROUND('TE BE'!$AB$8+'TE BF'!$AB$8+'TE CVA'!$AB$8,2)</f>
        <v>77.959999999999994</v>
      </c>
      <c r="T6" s="29">
        <v>0</v>
      </c>
      <c r="U6" s="29">
        <f ca="1">ROUND('TUSD BE'!$AM$18,2)</f>
        <v>1055.1600000000001</v>
      </c>
      <c r="V6" s="29">
        <f>ROUND('TE BE'!$AB$8,2)</f>
        <v>196.78</v>
      </c>
    </row>
    <row r="7" spans="1:22" ht="11.25" customHeight="1" x14ac:dyDescent="0.3">
      <c r="A7" s="103"/>
      <c r="B7" s="102" t="s">
        <v>774</v>
      </c>
      <c r="C7" s="102" t="s">
        <v>25</v>
      </c>
      <c r="D7" s="31" t="s">
        <v>772</v>
      </c>
      <c r="E7" s="29">
        <f ca="1">ROUND('TUSD BE'!$AM$5+'TUSD BF'!$AM$5+'TUSD CVA'!$AM$5,2)</f>
        <v>145.79</v>
      </c>
      <c r="F7" s="29">
        <f ca="1">ROUND('TUSD BE'!$AM$8+'TUSD BF'!$AM$8+'TUSD CVA'!$AM$8,2)</f>
        <v>3.94</v>
      </c>
      <c r="G7" s="29">
        <v>0</v>
      </c>
      <c r="H7" s="29">
        <f ca="1">ROUND('TUSD BE'!$AM$5,2)</f>
        <v>146.66</v>
      </c>
      <c r="I7" s="29">
        <f ca="1">ROUND('TUSD BE'!$AM$8,2)</f>
        <v>8.48</v>
      </c>
      <c r="J7" s="29">
        <v>0</v>
      </c>
      <c r="L7" s="107"/>
      <c r="M7" s="108"/>
      <c r="N7" s="108"/>
      <c r="O7" s="108"/>
      <c r="P7" s="31" t="s">
        <v>773</v>
      </c>
      <c r="Q7" s="29">
        <v>0</v>
      </c>
      <c r="R7" s="29">
        <f ca="1">ROUND('TUSD BE'!$AM$19+'TUSD BF'!$AM$19+'TUSD CVA'!$AM$19,2)</f>
        <v>417.9</v>
      </c>
      <c r="S7" s="29">
        <f>ROUND('TE BE'!$AB$9+'TE BF'!$AB$9+'TE CVA'!$AB$9,2)</f>
        <v>77.959999999999994</v>
      </c>
      <c r="T7" s="29">
        <v>0</v>
      </c>
      <c r="U7" s="29">
        <f ca="1">ROUND('TUSD BE'!$AM$19,2)</f>
        <v>436.68</v>
      </c>
      <c r="V7" s="29">
        <f>ROUND('TE BE'!$AB$9,2)</f>
        <v>196.78</v>
      </c>
    </row>
    <row r="8" spans="1:22" ht="11.25" customHeight="1" x14ac:dyDescent="0.3">
      <c r="A8" s="103"/>
      <c r="B8" s="103"/>
      <c r="C8" s="103"/>
      <c r="D8" s="31" t="s">
        <v>773</v>
      </c>
      <c r="E8" s="29">
        <f ca="1">ROUND('TUSD BE'!$AM$6+'TUSD BF'!$AM$6+'TUSD CVA'!$AM$6,2)</f>
        <v>46.05</v>
      </c>
      <c r="F8" s="29">
        <f ca="1">ROUND('TUSD BE'!$AM$8+'TUSD BF'!$AM$8+'TUSD CVA'!$AM$8,2)</f>
        <v>3.94</v>
      </c>
      <c r="G8" s="29">
        <v>0</v>
      </c>
      <c r="H8" s="29">
        <f ca="1">ROUND('TUSD BE'!$AM$6,2)</f>
        <v>46.21</v>
      </c>
      <c r="I8" s="29">
        <f ca="1">ROUND('TUSD BE'!$AM$8,2)</f>
        <v>8.48</v>
      </c>
      <c r="J8" s="29">
        <v>0</v>
      </c>
      <c r="L8" s="107"/>
      <c r="M8" s="31" t="s">
        <v>781</v>
      </c>
      <c r="N8" s="31" t="s">
        <v>779</v>
      </c>
      <c r="O8" s="31" t="s">
        <v>779</v>
      </c>
      <c r="P8" s="31" t="s">
        <v>775</v>
      </c>
      <c r="Q8" s="29">
        <v>0</v>
      </c>
      <c r="R8" s="29">
        <f ca="1">ROUND('TUSD BE'!$AM$25+'TUSD BF'!$AM$25+'TUSD CVA'!$AM$25,2)</f>
        <v>679.25</v>
      </c>
      <c r="S8" s="29">
        <f>ROUND('TE BE'!$AB$15+'TE BF'!$AB$15+'TE CVA'!$AB$15,2)</f>
        <v>77.959999999999994</v>
      </c>
      <c r="T8" s="29">
        <v>0</v>
      </c>
      <c r="U8" s="29">
        <f ca="1">ROUND('TUSD BE'!$AM$25,2)</f>
        <v>700</v>
      </c>
      <c r="V8" s="29">
        <f>ROUND('TE BE'!$AB$15,2)</f>
        <v>196.78</v>
      </c>
    </row>
    <row r="9" spans="1:22" ht="11.25" customHeight="1" x14ac:dyDescent="0.3">
      <c r="A9" s="103"/>
      <c r="B9" s="102" t="s">
        <v>40</v>
      </c>
      <c r="C9" s="102" t="s">
        <v>25</v>
      </c>
      <c r="D9" s="31" t="s">
        <v>775</v>
      </c>
      <c r="E9" s="29">
        <f ca="1">ROUND('TUSD BE'!$AM$10+'TUSD BF'!$AM$10+'TUSD CVA'!$AM$10,2)</f>
        <v>46.05</v>
      </c>
      <c r="F9" s="29">
        <v>0</v>
      </c>
      <c r="G9" s="29">
        <v>0</v>
      </c>
      <c r="H9" s="29">
        <f ca="1">ROUND('TUSD BE'!$AM$10,2)</f>
        <v>46.21</v>
      </c>
      <c r="I9" s="29">
        <v>0</v>
      </c>
      <c r="J9" s="29">
        <v>0</v>
      </c>
      <c r="L9" s="107"/>
      <c r="M9" s="31" t="s">
        <v>783</v>
      </c>
      <c r="N9" s="31" t="s">
        <v>779</v>
      </c>
      <c r="O9" s="31" t="s">
        <v>779</v>
      </c>
      <c r="P9" s="31" t="s">
        <v>775</v>
      </c>
      <c r="Q9" s="29">
        <v>0</v>
      </c>
      <c r="R9" s="29">
        <f ca="1">ROUND('TUSD BE'!$AM$20+'TUSD BF'!$AM$20+'TUSD CVA'!$AM$20,2)</f>
        <v>679.25</v>
      </c>
      <c r="S9" s="29">
        <f>ROUND('TE BE'!$AB$10+'TE BF'!$AB$10+'TE CVA'!$AB$10,2)</f>
        <v>77.959999999999994</v>
      </c>
      <c r="T9" s="29">
        <v>0</v>
      </c>
      <c r="U9" s="29">
        <f ca="1">ROUND('TUSD BE'!$AM$20,2)</f>
        <v>700</v>
      </c>
      <c r="V9" s="29">
        <f>ROUND('TE BE'!$AB$10,2)</f>
        <v>196.78</v>
      </c>
    </row>
    <row r="10" spans="1:22" ht="11.25" customHeight="1" x14ac:dyDescent="0.3">
      <c r="A10" s="103"/>
      <c r="B10" s="103"/>
      <c r="C10" s="103"/>
      <c r="D10" s="31" t="s">
        <v>772</v>
      </c>
      <c r="E10" s="29">
        <v>0</v>
      </c>
      <c r="F10" s="29">
        <f ca="1">ROUND('TUSD BE'!$AM$11+'TUSD BF'!$AM$11+'TUSD CVA'!$AM$11,2)</f>
        <v>3597.96</v>
      </c>
      <c r="G10" s="29">
        <f>ROUND('TE BE'!$AB$5+'TE BF'!$AB$5+'TE CVA'!$AB$5,2)</f>
        <v>77.959999999999994</v>
      </c>
      <c r="H10" s="29">
        <v>0</v>
      </c>
      <c r="I10" s="29">
        <f ca="1">ROUND('TUSD BE'!$AM$11,2)</f>
        <v>3627.74</v>
      </c>
      <c r="J10" s="29">
        <f>ROUND('TE BE'!$AB$5,2)</f>
        <v>196.78</v>
      </c>
      <c r="L10" s="107"/>
      <c r="M10" s="31" t="s">
        <v>781</v>
      </c>
      <c r="N10" s="31" t="s">
        <v>779</v>
      </c>
      <c r="O10" s="31" t="s">
        <v>782</v>
      </c>
      <c r="P10" s="31" t="s">
        <v>775</v>
      </c>
      <c r="Q10" s="29">
        <v>0</v>
      </c>
      <c r="R10" s="29">
        <f ca="1">ROUND('TUSD BE'!$AM$26+'TUSD BF'!$AM$26+'TUSD CVA'!$AM$26,2)</f>
        <v>577.75</v>
      </c>
      <c r="S10" s="29">
        <f>ROUND('TE BE'!$AB$16+'TE BF'!$AB$16+'TE CVA'!$AB$16,2)</f>
        <v>77.959999999999994</v>
      </c>
      <c r="T10" s="29">
        <v>0</v>
      </c>
      <c r="U10" s="29">
        <f ca="1">ROUND('TUSD BE'!$AM$26,2)</f>
        <v>593.74</v>
      </c>
      <c r="V10" s="29">
        <f>ROUND('TE BE'!$AB$16,2)</f>
        <v>196.78</v>
      </c>
    </row>
    <row r="11" spans="1:22" ht="11.25" customHeight="1" x14ac:dyDescent="0.3">
      <c r="A11" s="103"/>
      <c r="B11" s="103"/>
      <c r="C11" s="103"/>
      <c r="D11" s="31" t="s">
        <v>773</v>
      </c>
      <c r="E11" s="29">
        <v>0</v>
      </c>
      <c r="F11" s="29">
        <f ca="1">ROUND('TUSD BE'!$AM$12+'TUSD BF'!$AM$12+'TUSD CVA'!$AM$12,2)</f>
        <v>91.42</v>
      </c>
      <c r="G11" s="29">
        <f>ROUND('TE BE'!$AB$6+'TE BF'!$AB$6+'TE CVA'!$AB$6,2)</f>
        <v>77.959999999999994</v>
      </c>
      <c r="H11" s="29">
        <v>0</v>
      </c>
      <c r="I11" s="29">
        <f ca="1">ROUND('TUSD BE'!$AM$12,2)</f>
        <v>100.06</v>
      </c>
      <c r="J11" s="29">
        <f>ROUND('TE BE'!$AB$6,2)</f>
        <v>196.78</v>
      </c>
      <c r="L11" s="108"/>
      <c r="M11" s="31" t="s">
        <v>783</v>
      </c>
      <c r="N11" s="31" t="s">
        <v>779</v>
      </c>
      <c r="O11" s="31" t="s">
        <v>782</v>
      </c>
      <c r="P11" s="31" t="s">
        <v>775</v>
      </c>
      <c r="Q11" s="29">
        <v>0</v>
      </c>
      <c r="R11" s="29">
        <f ca="1">ROUND('TUSD BE'!$AM$21+'TUSD BF'!$AM$21+'TUSD CVA'!$AM$21,2)</f>
        <v>577.75</v>
      </c>
      <c r="S11" s="29">
        <f>ROUND('TE BE'!$AB$11+'TE BF'!$AB$11+'TE CVA'!$AB$11,2)</f>
        <v>77.959999999999994</v>
      </c>
      <c r="T11" s="29">
        <v>0</v>
      </c>
      <c r="U11" s="29">
        <f ca="1">ROUND('TUSD BE'!$AM$21,2)</f>
        <v>593.74</v>
      </c>
      <c r="V11" s="29">
        <f>ROUND('TE BE'!$AB$11,2)</f>
        <v>196.78</v>
      </c>
    </row>
    <row r="12" spans="1:22" ht="11.25" customHeight="1" x14ac:dyDescent="0.3">
      <c r="A12" s="103"/>
      <c r="B12" s="102" t="s">
        <v>776</v>
      </c>
      <c r="C12" s="102" t="s">
        <v>25</v>
      </c>
      <c r="D12" s="31" t="s">
        <v>775</v>
      </c>
      <c r="E12" s="29">
        <f ca="1">ROUND('TUSD BE'!$AM$10+'TUSD BF'!$AM$10+'TUSD CVA'!$AM$10,2)</f>
        <v>46.05</v>
      </c>
      <c r="F12" s="29">
        <v>0</v>
      </c>
      <c r="G12" s="29">
        <v>0</v>
      </c>
      <c r="H12" s="29">
        <f ca="1">ROUND('TUSD BE'!$AM$10,2)</f>
        <v>46.21</v>
      </c>
      <c r="I12" s="29">
        <v>0</v>
      </c>
      <c r="J12" s="29">
        <v>0</v>
      </c>
      <c r="L12" s="106" t="s">
        <v>42</v>
      </c>
      <c r="M12" s="106" t="s">
        <v>778</v>
      </c>
      <c r="N12" s="106" t="s">
        <v>784</v>
      </c>
      <c r="O12" s="106" t="s">
        <v>785</v>
      </c>
      <c r="P12" s="31" t="s">
        <v>772</v>
      </c>
      <c r="Q12" s="29">
        <v>0</v>
      </c>
      <c r="R12" s="29">
        <f ca="1">ROUND(('TUSD BE'!$AM$30+'TUSD BF'!$AM$30+'TUSD CVA'!$AM$30)*(1-CUSTOS!$M$38),2)</f>
        <v>1662.44</v>
      </c>
      <c r="S12" s="29">
        <f>ROUND(('TE BE'!$AB$20+'TE BF'!$AB$20+'TE CVA'!$AB$20)*(1-CUSTOS!$M$38),2)</f>
        <v>72.5</v>
      </c>
      <c r="T12" s="29">
        <v>0</v>
      </c>
      <c r="U12" s="29">
        <f ca="1">ROUND('TUSD BE'!$AM$30*(1-CUSTOS!$M$38),2)</f>
        <v>1689.54</v>
      </c>
      <c r="V12" s="29">
        <f>ROUND('TE BE'!$AB$20*(1-CUSTOS!$M$38),2)</f>
        <v>183.01</v>
      </c>
    </row>
    <row r="13" spans="1:22" ht="11.25" customHeight="1" x14ac:dyDescent="0.3">
      <c r="A13" s="103"/>
      <c r="B13" s="103"/>
      <c r="C13" s="103"/>
      <c r="D13" s="31" t="s">
        <v>772</v>
      </c>
      <c r="E13" s="29">
        <v>0</v>
      </c>
      <c r="F13" s="29">
        <f ca="1">ROUND('TUSD BE'!$AM$13+'TUSD BF'!$AM$13+'TUSD CVA'!$AM$13,2)</f>
        <v>3510.48</v>
      </c>
      <c r="G13" s="29">
        <v>0</v>
      </c>
      <c r="H13" s="29">
        <v>0</v>
      </c>
      <c r="I13" s="29">
        <f ca="1">ROUND('TUSD BE'!$AM$13,2)</f>
        <v>3536.16</v>
      </c>
      <c r="J13" s="29">
        <v>0</v>
      </c>
      <c r="L13" s="107"/>
      <c r="M13" s="107"/>
      <c r="N13" s="107"/>
      <c r="O13" s="107"/>
      <c r="P13" s="31" t="s">
        <v>780</v>
      </c>
      <c r="Q13" s="29">
        <v>0</v>
      </c>
      <c r="R13" s="29">
        <f ca="1">ROUND(('TUSD BE'!$AM$31+'TUSD BF'!$AM$31+'TUSD CVA'!$AM$31)*(1-CUSTOS!$M$38),2)</f>
        <v>1038.69</v>
      </c>
      <c r="S13" s="29">
        <f>ROUND(('TE BE'!$AB$21+'TE BF'!$AB$21+'TE CVA'!$AB$21)*(1-CUSTOS!$M$38),2)</f>
        <v>72.5</v>
      </c>
      <c r="T13" s="29">
        <v>0</v>
      </c>
      <c r="U13" s="29">
        <f ca="1">ROUND('TUSD BE'!$AM$31*(1-CUSTOS!$M$38),2)</f>
        <v>1061.07</v>
      </c>
      <c r="V13" s="29">
        <f>ROUND('TE BE'!$AB$21*(1-CUSTOS!$M$38),2)</f>
        <v>183.01</v>
      </c>
    </row>
    <row r="14" spans="1:22" ht="11.25" customHeight="1" x14ac:dyDescent="0.3">
      <c r="A14" s="103"/>
      <c r="B14" s="103"/>
      <c r="C14" s="103"/>
      <c r="D14" s="31" t="s">
        <v>773</v>
      </c>
      <c r="E14" s="29">
        <v>0</v>
      </c>
      <c r="F14" s="29">
        <f ca="1">ROUND('TUSD BE'!$AM$14+'TUSD BF'!$AM$14+'TUSD CVA'!$AM$14,2)</f>
        <v>3.94</v>
      </c>
      <c r="G14" s="29">
        <v>0</v>
      </c>
      <c r="H14" s="29">
        <v>0</v>
      </c>
      <c r="I14" s="29">
        <f ca="1">ROUND('TUSD BE'!$AM$14,2)</f>
        <v>8.48</v>
      </c>
      <c r="J14" s="29">
        <v>0</v>
      </c>
      <c r="L14" s="107"/>
      <c r="M14" s="108"/>
      <c r="N14" s="108"/>
      <c r="O14" s="108"/>
      <c r="P14" s="31" t="s">
        <v>773</v>
      </c>
      <c r="Q14" s="29">
        <v>0</v>
      </c>
      <c r="R14" s="29">
        <f ca="1">ROUND(('TUSD BE'!$AM$32+'TUSD BF'!$AM$32+'TUSD CVA'!$AM$32)*(1-CUSTOS!$M$38),2)</f>
        <v>414.93</v>
      </c>
      <c r="S14" s="29">
        <f>ROUND(('TE BE'!$AB$22+'TE BF'!$AB$22+'TE CVA'!$AB$22)*(1-CUSTOS!$M$38),2)</f>
        <v>72.5</v>
      </c>
      <c r="T14" s="29">
        <v>0</v>
      </c>
      <c r="U14" s="29">
        <f ca="1">ROUND('TUSD BE'!$AM$32*(1-CUSTOS!$M$38),2)</f>
        <v>432.6</v>
      </c>
      <c r="V14" s="29">
        <f>ROUND('TE BE'!$AB$22*(1-CUSTOS!$M$38),2)</f>
        <v>183.01</v>
      </c>
    </row>
    <row r="15" spans="1:22" ht="11.25" customHeight="1" x14ac:dyDescent="0.3">
      <c r="A15" s="103"/>
      <c r="B15" s="31" t="s">
        <v>476</v>
      </c>
      <c r="C15" s="31" t="s">
        <v>25</v>
      </c>
      <c r="D15" s="31" t="s">
        <v>775</v>
      </c>
      <c r="E15" s="29">
        <f ca="1">ROUND('TUSD BE'!$AM$9+'TUSD BF'!$AM$9+'TUSD CVA'!$AM$9,2)</f>
        <v>13.06</v>
      </c>
      <c r="F15" s="29">
        <v>0</v>
      </c>
      <c r="G15" s="29">
        <v>0</v>
      </c>
      <c r="H15" s="29">
        <f ca="1">ROUND('TUSD BE'!$AM$9,2)</f>
        <v>13.26</v>
      </c>
      <c r="I15" s="29">
        <v>0</v>
      </c>
      <c r="J15" s="29">
        <v>0</v>
      </c>
      <c r="L15" s="107"/>
      <c r="M15" s="31" t="s">
        <v>781</v>
      </c>
      <c r="N15" s="31" t="s">
        <v>784</v>
      </c>
      <c r="O15" s="31" t="s">
        <v>785</v>
      </c>
      <c r="P15" s="31" t="s">
        <v>775</v>
      </c>
      <c r="Q15" s="29">
        <v>0</v>
      </c>
      <c r="R15" s="29">
        <f ca="1">ROUND(('TUSD BE'!$AM$42+'TUSD BF'!$AM$42+'TUSD CVA'!$AM$42)*(1-CUSTOS!$M$38),2)</f>
        <v>631.70000000000005</v>
      </c>
      <c r="S15" s="29">
        <f>ROUND(('TE BE'!$AB$32+'TE BF'!$AB$32+'TE CVA'!$AB$32)*(1-CUSTOS!$M$38),2)</f>
        <v>72.5</v>
      </c>
      <c r="T15" s="29">
        <v>0</v>
      </c>
      <c r="U15" s="29">
        <f ca="1">ROUND(('TUSD BE'!$AM$42)*(1-CUSTOS!$M$38),2)</f>
        <v>651</v>
      </c>
      <c r="V15" s="29">
        <f>ROUND(('TE BE'!$AB$32)*(1-CUSTOS!$M$38),2)</f>
        <v>183.01</v>
      </c>
    </row>
    <row r="16" spans="1:22" ht="11.25" customHeight="1" x14ac:dyDescent="0.3">
      <c r="L16" s="107"/>
      <c r="M16" s="31" t="s">
        <v>783</v>
      </c>
      <c r="N16" s="31" t="s">
        <v>784</v>
      </c>
      <c r="O16" s="31" t="s">
        <v>785</v>
      </c>
      <c r="P16" s="31" t="s">
        <v>775</v>
      </c>
      <c r="Q16" s="29">
        <v>0</v>
      </c>
      <c r="R16" s="29">
        <f ca="1">ROUND(('TUSD BE'!$AM$33+'TUSD BF'!$AM$33+'TUSD CVA'!$AM$33)*(1-CUSTOS!$M$38),2)</f>
        <v>631.70000000000005</v>
      </c>
      <c r="S16" s="29">
        <f>ROUND(('TE BE'!$AB$23+'TE BF'!$AB$23+'TE CVA'!$AB$23)*(1-CUSTOS!$M$38),2)</f>
        <v>72.5</v>
      </c>
      <c r="T16" s="29">
        <v>0</v>
      </c>
      <c r="U16" s="29">
        <f ca="1">ROUND(('TUSD BE'!$AM$33)*(1-CUSTOS!$M$38),2)</f>
        <v>651</v>
      </c>
      <c r="V16" s="29">
        <f>ROUND(('TE BE'!$AB$23)*(1-CUSTOS!$M$38),2)</f>
        <v>183.01</v>
      </c>
    </row>
    <row r="17" spans="12:22" ht="11.25" customHeight="1" x14ac:dyDescent="0.3">
      <c r="L17" s="107"/>
      <c r="M17" s="106" t="s">
        <v>778</v>
      </c>
      <c r="N17" s="106" t="s">
        <v>784</v>
      </c>
      <c r="O17" s="106" t="s">
        <v>786</v>
      </c>
      <c r="P17" s="31" t="s">
        <v>772</v>
      </c>
      <c r="Q17" s="29">
        <v>0</v>
      </c>
      <c r="R17" s="29">
        <f ca="1">ROUND(('TUSD BE'!$AM$34+'TUSD BF'!$AM$34+'TUSD CVA'!$AM$34)*(1-CUSTOS!$M$39),2)</f>
        <v>1680.32</v>
      </c>
      <c r="S17" s="29">
        <f>ROUND(('TE BE'!$AB$24+'TE BF'!$AB$24+'TE CVA'!$AB$24)*(1-CUSTOS!$M$39),2)</f>
        <v>73.28</v>
      </c>
      <c r="T17" s="29">
        <v>0</v>
      </c>
      <c r="U17" s="29">
        <f ca="1">ROUND('TUSD BE'!$AM$34*(1-CUSTOS!$M$39),2)</f>
        <v>1707.71</v>
      </c>
      <c r="V17" s="29">
        <f>ROUND('TE BE'!$AB$24*(1-CUSTOS!$M$39),2)</f>
        <v>184.98</v>
      </c>
    </row>
    <row r="18" spans="12:22" ht="11.25" customHeight="1" x14ac:dyDescent="0.3">
      <c r="L18" s="107"/>
      <c r="M18" s="107"/>
      <c r="N18" s="107"/>
      <c r="O18" s="107"/>
      <c r="P18" s="31" t="s">
        <v>780</v>
      </c>
      <c r="Q18" s="29">
        <v>0</v>
      </c>
      <c r="R18" s="29">
        <f ca="1">ROUND(('TUSD BE'!$AM$35+'TUSD BF'!$AM$35+'TUSD CVA'!$AM$35)*(1-CUSTOS!$M$39),2)</f>
        <v>1049.8599999999999</v>
      </c>
      <c r="S18" s="29">
        <f>ROUND(('TE BE'!$AB$25+'TE BF'!$AB$25+'TE CVA'!$AB$25)*(1-CUSTOS!$M$39),2)</f>
        <v>73.28</v>
      </c>
      <c r="T18" s="29">
        <v>0</v>
      </c>
      <c r="U18" s="29">
        <f ca="1">ROUND('TUSD BE'!$AM$35*(1-CUSTOS!$M$39),2)</f>
        <v>1072.48</v>
      </c>
      <c r="V18" s="29">
        <f>ROUND('TE BE'!$AB$25*(1-CUSTOS!$M$39),2)</f>
        <v>184.98</v>
      </c>
    </row>
    <row r="19" spans="12:22" ht="11.25" customHeight="1" x14ac:dyDescent="0.3">
      <c r="L19" s="107"/>
      <c r="M19" s="108"/>
      <c r="N19" s="108"/>
      <c r="O19" s="108"/>
      <c r="P19" s="31" t="s">
        <v>773</v>
      </c>
      <c r="Q19" s="29">
        <v>0</v>
      </c>
      <c r="R19" s="29">
        <f ca="1">ROUND(('TUSD BE'!$AM$36+'TUSD BF'!$AM$36+'TUSD CVA'!$AM$36)*(1-CUSTOS!$M$39),2)</f>
        <v>419.4</v>
      </c>
      <c r="S19" s="29">
        <f>ROUND(('TE BE'!$AB$26+'TE BF'!$AB$26+'TE CVA'!$AB$26)*(1-CUSTOS!$M$39),2)</f>
        <v>73.28</v>
      </c>
      <c r="T19" s="29">
        <v>0</v>
      </c>
      <c r="U19" s="29">
        <f ca="1">ROUND('TUSD BE'!$AM$36*(1-CUSTOS!$M$39),2)</f>
        <v>437.25</v>
      </c>
      <c r="V19" s="29">
        <f>ROUND('TE BE'!$AB$26*(1-CUSTOS!$M$39),2)</f>
        <v>184.98</v>
      </c>
    </row>
    <row r="20" spans="12:22" ht="11.25" customHeight="1" x14ac:dyDescent="0.3">
      <c r="L20" s="107"/>
      <c r="M20" s="31" t="s">
        <v>781</v>
      </c>
      <c r="N20" s="31" t="s">
        <v>784</v>
      </c>
      <c r="O20" s="31" t="s">
        <v>786</v>
      </c>
      <c r="P20" s="31" t="s">
        <v>775</v>
      </c>
      <c r="Q20" s="29">
        <v>0</v>
      </c>
      <c r="R20" s="29">
        <f ca="1">ROUND(('TUSD BE'!$AM$42+'TUSD BF'!$AM$42+'TUSD CVA'!$AM$42)*(1-CUSTOS!$M$39),2)</f>
        <v>638.49</v>
      </c>
      <c r="S20" s="29">
        <f>ROUND(('TE BE'!$AB$32+'TE BF'!$AB$32+'TE CVA'!$AB$32)*(1-CUSTOS!$M$39),2)</f>
        <v>73.28</v>
      </c>
      <c r="T20" s="29">
        <v>0</v>
      </c>
      <c r="U20" s="29">
        <f ca="1">ROUND(('TUSD BE'!$AM$42)*(1-CUSTOS!$M$39),2)</f>
        <v>658</v>
      </c>
      <c r="V20" s="29">
        <f>ROUND(('TE BE'!$AB$32)*(1-CUSTOS!$M$39),2)</f>
        <v>184.98</v>
      </c>
    </row>
    <row r="21" spans="12:22" ht="11.25" customHeight="1" x14ac:dyDescent="0.3">
      <c r="L21" s="107"/>
      <c r="M21" s="31" t="s">
        <v>783</v>
      </c>
      <c r="N21" s="31" t="s">
        <v>784</v>
      </c>
      <c r="O21" s="31" t="s">
        <v>786</v>
      </c>
      <c r="P21" s="31" t="s">
        <v>775</v>
      </c>
      <c r="Q21" s="29">
        <v>0</v>
      </c>
      <c r="R21" s="29">
        <f ca="1">ROUND(('TUSD BE'!$AM$33+'TUSD BF'!$AM$33+'TUSD CVA'!$AM$33)*(1-CUSTOS!$M$39),2)</f>
        <v>638.49</v>
      </c>
      <c r="S21" s="29">
        <f>ROUND(('TE BE'!$AB$23+'TE BF'!$AB$23+'TE CVA'!$AB$23)*(1-CUSTOS!$M$39),2)</f>
        <v>73.28</v>
      </c>
      <c r="T21" s="29">
        <v>0</v>
      </c>
      <c r="U21" s="29">
        <f ca="1">ROUND(('TUSD BE'!$AM$33)*(1-CUSTOS!$M$39),2)</f>
        <v>658</v>
      </c>
      <c r="V21" s="29">
        <f>ROUND(('TE BE'!$AB$23)*(1-CUSTOS!$M$39),2)</f>
        <v>184.98</v>
      </c>
    </row>
    <row r="22" spans="12:22" ht="11.25" customHeight="1" x14ac:dyDescent="0.3">
      <c r="L22" s="107"/>
      <c r="M22" s="106" t="s">
        <v>778</v>
      </c>
      <c r="N22" s="106" t="s">
        <v>784</v>
      </c>
      <c r="O22" s="106" t="s">
        <v>787</v>
      </c>
      <c r="P22" s="31" t="s">
        <v>772</v>
      </c>
      <c r="Q22" s="29">
        <v>0</v>
      </c>
      <c r="R22" s="29">
        <f ca="1">ROUND(('TUSD BE'!$AM$38+'TUSD BF'!$AM$38+'TUSD CVA'!$AM$38)*(1-CUSTOS!$M$40),2)</f>
        <v>1644.57</v>
      </c>
      <c r="S22" s="29">
        <f>ROUND(('TE BE'!$AB$28+'TE BF'!$AB$28+'TE CVA'!$AB$28)*(1-CUSTOS!$M$40),2)</f>
        <v>71.72</v>
      </c>
      <c r="T22" s="29">
        <v>0</v>
      </c>
      <c r="U22" s="29">
        <f ca="1">ROUND('TUSD BE'!$AM$38*(1-CUSTOS!$M$40),2)</f>
        <v>1671.38</v>
      </c>
      <c r="V22" s="29">
        <f>ROUND('TE BE'!$AB$28*(1-CUSTOS!$M$40),2)</f>
        <v>181.04</v>
      </c>
    </row>
    <row r="23" spans="12:22" ht="11.25" customHeight="1" x14ac:dyDescent="0.3">
      <c r="L23" s="107"/>
      <c r="M23" s="107"/>
      <c r="N23" s="107"/>
      <c r="O23" s="107"/>
      <c r="P23" s="31" t="s">
        <v>780</v>
      </c>
      <c r="Q23" s="29">
        <v>0</v>
      </c>
      <c r="R23" s="29">
        <f ca="1">ROUND(('TUSD BE'!$AM$39+'TUSD BF'!$AM$39+'TUSD CVA'!$AM$39)*(1-CUSTOS!$M$40),2)</f>
        <v>1027.52</v>
      </c>
      <c r="S23" s="29">
        <f>ROUND(('TE BE'!$AB$29+'TE BF'!$AB$29+'TE CVA'!$AB$29)*(1-CUSTOS!$M$40),2)</f>
        <v>71.72</v>
      </c>
      <c r="T23" s="29">
        <v>0</v>
      </c>
      <c r="U23" s="29">
        <f ca="1">ROUND('TUSD BE'!$AM$39*(1-CUSTOS!$M$40),2)</f>
        <v>1049.6600000000001</v>
      </c>
      <c r="V23" s="29">
        <f>ROUND('TE BE'!$AB$29*(1-CUSTOS!$M$40),2)</f>
        <v>181.04</v>
      </c>
    </row>
    <row r="24" spans="12:22" ht="11.25" customHeight="1" x14ac:dyDescent="0.3">
      <c r="L24" s="107"/>
      <c r="M24" s="108"/>
      <c r="N24" s="108"/>
      <c r="O24" s="108"/>
      <c r="P24" s="31" t="s">
        <v>773</v>
      </c>
      <c r="Q24" s="29">
        <v>0</v>
      </c>
      <c r="R24" s="29">
        <f ca="1">ROUND(('TUSD BE'!$AM$40+'TUSD BF'!$AM$40+'TUSD CVA'!$AM$40)*(1-CUSTOS!$M$40),2)</f>
        <v>410.47</v>
      </c>
      <c r="S24" s="29">
        <f>ROUND(('TE BE'!$AB$30+'TE BF'!$AB$30+'TE CVA'!$AB$30)*(1-CUSTOS!$M$40),2)</f>
        <v>71.72</v>
      </c>
      <c r="T24" s="29">
        <v>0</v>
      </c>
      <c r="U24" s="29">
        <f ca="1">ROUND('TUSD BE'!$AM$40*(1-CUSTOS!$M$40),2)</f>
        <v>427.95</v>
      </c>
      <c r="V24" s="29">
        <f>ROUND('TE BE'!$AB$30*(1-CUSTOS!$M$40),2)</f>
        <v>181.04</v>
      </c>
    </row>
    <row r="25" spans="12:22" ht="11.25" customHeight="1" x14ac:dyDescent="0.3">
      <c r="L25" s="107"/>
      <c r="M25" s="31" t="s">
        <v>781</v>
      </c>
      <c r="N25" s="31" t="s">
        <v>784</v>
      </c>
      <c r="O25" s="31" t="s">
        <v>787</v>
      </c>
      <c r="P25" s="31" t="s">
        <v>775</v>
      </c>
      <c r="Q25" s="29">
        <v>0</v>
      </c>
      <c r="R25" s="29">
        <f ca="1">ROUND(('TUSD BE'!$AM$42+'TUSD BF'!$AM$42+'TUSD CVA'!$AM$42)*(1-CUSTOS!$M$40),2)</f>
        <v>624.91</v>
      </c>
      <c r="S25" s="29">
        <f>ROUND(('TE BE'!$AB$32+'TE BF'!$AB$32+'TE CVA'!$AB$32)*(1-CUSTOS!$M$40),2)</f>
        <v>71.72</v>
      </c>
      <c r="T25" s="29">
        <v>0</v>
      </c>
      <c r="U25" s="29">
        <f ca="1">ROUND(('TUSD BE'!$AM$42)*(1-CUSTOS!$M$40),2)</f>
        <v>644</v>
      </c>
      <c r="V25" s="29">
        <f>ROUND(('TE BE'!$AB$32)*(1-CUSTOS!$M$40),2)</f>
        <v>181.04</v>
      </c>
    </row>
    <row r="26" spans="12:22" ht="11.25" customHeight="1" x14ac:dyDescent="0.3">
      <c r="L26" s="108"/>
      <c r="M26" s="31" t="s">
        <v>783</v>
      </c>
      <c r="N26" s="31" t="s">
        <v>784</v>
      </c>
      <c r="O26" s="31" t="s">
        <v>787</v>
      </c>
      <c r="P26" s="31" t="s">
        <v>775</v>
      </c>
      <c r="Q26" s="29">
        <v>0</v>
      </c>
      <c r="R26" s="29">
        <f ca="1">ROUND(('TUSD BE'!$AM$33+'TUSD BF'!$AM$33+'TUSD CVA'!$AM$33)*(1-CUSTOS!$M$40),2)</f>
        <v>624.91</v>
      </c>
      <c r="S26" s="29">
        <f>ROUND(('TE BE'!$AB$23+'TE BF'!$AB$23+'TE CVA'!$AB$23)*(1-CUSTOS!$M$40),2)</f>
        <v>71.72</v>
      </c>
      <c r="T26" s="29">
        <v>0</v>
      </c>
      <c r="U26" s="29">
        <f ca="1">ROUND(('TUSD BE'!$AM$33)*(1-CUSTOS!$M$40),2)</f>
        <v>644</v>
      </c>
      <c r="V26" s="29">
        <f>ROUND(('TE BE'!$AB$23)*(1-CUSTOS!$M$40),2)</f>
        <v>181.04</v>
      </c>
    </row>
    <row r="27" spans="12:22" ht="11.25" customHeight="1" x14ac:dyDescent="0.3">
      <c r="L27" s="106" t="s">
        <v>37</v>
      </c>
      <c r="M27" s="106" t="s">
        <v>778</v>
      </c>
      <c r="N27" s="106" t="s">
        <v>775</v>
      </c>
      <c r="O27" s="106" t="s">
        <v>775</v>
      </c>
      <c r="P27" s="31" t="s">
        <v>772</v>
      </c>
      <c r="Q27" s="29">
        <v>0</v>
      </c>
      <c r="R27" s="29">
        <f ca="1">ROUND(('TUSD BE'!$AM$45+'TUSD BF'!$AM$45+'TUSD CVA'!$AM$45)*(1-CUSTOS!$M$31),2)</f>
        <v>2071.85</v>
      </c>
      <c r="S27" s="29">
        <f>ROUND(('TE BE'!$AB$35+'TE BF'!$AB$35+'TE CVA'!$AB$35)*(1-CUSTOS!$M$31),2)</f>
        <v>77.959999999999994</v>
      </c>
      <c r="T27" s="29">
        <v>0</v>
      </c>
      <c r="U27" s="29">
        <f ca="1">ROUND('TUSD BE'!$AM$45*(1-CUSTOS!$M$31),2)</f>
        <v>2103.15</v>
      </c>
      <c r="V27" s="29">
        <f>ROUND('TE BE'!$AB$35*(1-CUSTOS!$M$31),2)</f>
        <v>196.78</v>
      </c>
    </row>
    <row r="28" spans="12:22" ht="11.25" customHeight="1" x14ac:dyDescent="0.3">
      <c r="L28" s="107"/>
      <c r="M28" s="107"/>
      <c r="N28" s="107"/>
      <c r="O28" s="107"/>
      <c r="P28" s="31" t="s">
        <v>780</v>
      </c>
      <c r="Q28" s="29">
        <v>0</v>
      </c>
      <c r="R28" s="29">
        <f ca="1">ROUND(('TUSD BE'!$AM$46+'TUSD BF'!$AM$46+'TUSD CVA'!$AM$46)*(1-CUSTOS!$M$31),2)</f>
        <v>1287.4100000000001</v>
      </c>
      <c r="S28" s="29">
        <f>ROUND(('TE BE'!$AB$36+'TE BF'!$AB$36+'TE CVA'!$AB$36)*(1-CUSTOS!$M$31),2)</f>
        <v>77.959999999999994</v>
      </c>
      <c r="T28" s="29">
        <v>0</v>
      </c>
      <c r="U28" s="29">
        <f ca="1">ROUND('TUSD BE'!$AM$46*(1-CUSTOS!$M$31),2)</f>
        <v>1312.77</v>
      </c>
      <c r="V28" s="29">
        <f>ROUND('TE BE'!$AB$36*(1-CUSTOS!$M$31),2)</f>
        <v>196.78</v>
      </c>
    </row>
    <row r="29" spans="12:22" ht="11.25" customHeight="1" x14ac:dyDescent="0.3">
      <c r="L29" s="107"/>
      <c r="M29" s="108"/>
      <c r="N29" s="108"/>
      <c r="O29" s="108"/>
      <c r="P29" s="31" t="s">
        <v>773</v>
      </c>
      <c r="Q29" s="29">
        <v>0</v>
      </c>
      <c r="R29" s="29">
        <f ca="1">ROUND(('TUSD BE'!$AM$47+'TUSD BF'!$AM$47+'TUSD CVA'!$AM$47)*(1-CUSTOS!$M$31),2)</f>
        <v>503.04</v>
      </c>
      <c r="S29" s="29">
        <f>ROUND(('TE BE'!$AB$37+'TE BF'!$AB$37+'TE CVA'!$AB$37)*(1-CUSTOS!$M$31),2)</f>
        <v>77.959999999999994</v>
      </c>
      <c r="T29" s="29">
        <v>0</v>
      </c>
      <c r="U29" s="29">
        <f ca="1">ROUND('TUSD BE'!$AM$47*(1-CUSTOS!$M$31),2)</f>
        <v>522.46</v>
      </c>
      <c r="V29" s="29">
        <f>ROUND('TE BE'!$AB$37*(1-CUSTOS!$M$31),2)</f>
        <v>196.78</v>
      </c>
    </row>
    <row r="30" spans="12:22" ht="11.25" customHeight="1" x14ac:dyDescent="0.3">
      <c r="L30" s="107"/>
      <c r="M30" s="31" t="s">
        <v>781</v>
      </c>
      <c r="N30" s="31" t="s">
        <v>775</v>
      </c>
      <c r="O30" s="31" t="s">
        <v>775</v>
      </c>
      <c r="P30" s="31" t="s">
        <v>775</v>
      </c>
      <c r="Q30" s="29">
        <v>0</v>
      </c>
      <c r="R30" s="29">
        <f ca="1">ROUND(('TUSD BE'!$AM$49+'TUSD BF'!$AM$49+'TUSD CVA'!$AM$49)*(1-CUSTOS!$M$31),2)</f>
        <v>679.25</v>
      </c>
      <c r="S30" s="29">
        <f>ROUND(('TE BE'!$AB$39+'TE BF'!$AB$39+'TE CVA'!$AB$39)*(1-CUSTOS!$M$31),2)</f>
        <v>77.959999999999994</v>
      </c>
      <c r="T30" s="29">
        <v>0</v>
      </c>
      <c r="U30" s="29">
        <f ca="1">ROUND(('TUSD BE'!$AM$49)*(1-CUSTOS!$M$31),2)</f>
        <v>700</v>
      </c>
      <c r="V30" s="29">
        <f>ROUND(('TE BE'!$AB$39)*(1-CUSTOS!$M$31),2)</f>
        <v>196.78</v>
      </c>
    </row>
    <row r="31" spans="12:22" ht="11.25" customHeight="1" x14ac:dyDescent="0.3">
      <c r="L31" s="108"/>
      <c r="M31" s="31" t="s">
        <v>783</v>
      </c>
      <c r="N31" s="31" t="s">
        <v>775</v>
      </c>
      <c r="O31" s="31" t="s">
        <v>775</v>
      </c>
      <c r="P31" s="31" t="s">
        <v>775</v>
      </c>
      <c r="Q31" s="29">
        <v>0</v>
      </c>
      <c r="R31" s="29">
        <f ca="1">ROUND(('TUSD BE'!$AM$48+'TUSD BF'!$AM$48+'TUSD CVA'!$AM$48)*(1-CUSTOS!$M$31),2)</f>
        <v>679.25</v>
      </c>
      <c r="S31" s="29">
        <f>ROUND(('TE BE'!$AB$38+'TE BF'!$AB$38+'TE CVA'!$AB$38)*(1-CUSTOS!$M$31),2)</f>
        <v>77.959999999999994</v>
      </c>
      <c r="T31" s="29">
        <v>0</v>
      </c>
      <c r="U31" s="29">
        <f ca="1">ROUND(('TUSD BE'!$AM$48)*(1-CUSTOS!$M$31),2)</f>
        <v>700</v>
      </c>
      <c r="V31" s="29">
        <f>ROUND(('TE BE'!$AB$38)*(1-CUSTOS!$M$31),2)</f>
        <v>196.78</v>
      </c>
    </row>
    <row r="32" spans="12:22" ht="11.25" customHeight="1" x14ac:dyDescent="0.3">
      <c r="L32" s="106" t="s">
        <v>45</v>
      </c>
      <c r="M32" s="106" t="s">
        <v>783</v>
      </c>
      <c r="N32" s="106" t="s">
        <v>788</v>
      </c>
      <c r="O32" s="31" t="s">
        <v>789</v>
      </c>
      <c r="P32" s="31" t="s">
        <v>775</v>
      </c>
      <c r="Q32" s="29">
        <v>0</v>
      </c>
      <c r="R32" s="29">
        <f ca="1">ROUND(('TUSD BE'!$AM$50+'TUSD BF'!$AM$50+'TUSD CVA'!$AM$50),2)</f>
        <v>373.59</v>
      </c>
      <c r="S32" s="29">
        <f>ROUND(('TE BE'!$AB$40+'TE BF'!$AB$40+'TE CVA'!$AB$40),2)</f>
        <v>42.88</v>
      </c>
      <c r="T32" s="29">
        <v>0</v>
      </c>
      <c r="U32" s="29">
        <f ca="1">ROUND(('TUSD BE'!$AM$50),2)</f>
        <v>385</v>
      </c>
      <c r="V32" s="29">
        <f>ROUND(('TE BE'!$AB$40),2)</f>
        <v>108.23</v>
      </c>
    </row>
    <row r="33" spans="12:22" ht="11.25" customHeight="1" x14ac:dyDescent="0.3">
      <c r="L33" s="108"/>
      <c r="M33" s="108"/>
      <c r="N33" s="108"/>
      <c r="O33" s="31" t="s">
        <v>790</v>
      </c>
      <c r="P33" s="31" t="s">
        <v>775</v>
      </c>
      <c r="Q33" s="29">
        <v>0</v>
      </c>
      <c r="R33" s="29">
        <f ca="1">ROUND(('TUSD BE'!$AM$51+'TUSD BF'!$AM$51+'TUSD CVA'!$AM$51),2)</f>
        <v>407.55</v>
      </c>
      <c r="S33" s="29">
        <f>ROUND(('TE BE'!$AB$41+'TE BF'!$AB$41+'TE CVA'!$AB$41),2)</f>
        <v>46.78</v>
      </c>
      <c r="T33" s="29">
        <v>0</v>
      </c>
      <c r="U33" s="29">
        <f ca="1">ROUND(('TUSD BE'!$AM$51),2)</f>
        <v>420</v>
      </c>
      <c r="V33" s="29">
        <f>ROUND(('TE BE'!$AB$41),2)</f>
        <v>118.07</v>
      </c>
    </row>
    <row r="34" spans="12:22" ht="11.25" customHeight="1" x14ac:dyDescent="0.3">
      <c r="L34" s="106" t="s">
        <v>477</v>
      </c>
      <c r="M34" s="106" t="s">
        <v>791</v>
      </c>
      <c r="N34" s="31" t="s">
        <v>478</v>
      </c>
      <c r="O34" s="31" t="s">
        <v>775</v>
      </c>
      <c r="P34" s="31" t="s">
        <v>775</v>
      </c>
      <c r="Q34" s="29">
        <f ca="1">ROUND(('TUSD BE'!$AM$15+'TUSD BF'!$AM$15+'TUSD CVA'!$AM$15),2)</f>
        <v>13.47</v>
      </c>
      <c r="R34" s="29">
        <v>0</v>
      </c>
      <c r="S34" s="29">
        <v>0</v>
      </c>
      <c r="T34" s="29">
        <f ca="1">ROUND(('TUSD BE'!$AM$15),2)</f>
        <v>13.68</v>
      </c>
      <c r="U34" s="29">
        <v>0</v>
      </c>
      <c r="V34" s="29">
        <v>0</v>
      </c>
    </row>
    <row r="35" spans="12:22" ht="11.25" customHeight="1" x14ac:dyDescent="0.3">
      <c r="L35" s="108"/>
      <c r="M35" s="108"/>
      <c r="N35" s="31" t="s">
        <v>479</v>
      </c>
      <c r="O35" s="31" t="s">
        <v>775</v>
      </c>
      <c r="P35" s="31" t="s">
        <v>775</v>
      </c>
      <c r="Q35" s="29">
        <f ca="1">ROUND(('TUSD BE'!$AM$16+'TUSD BF'!$AM$16+'TUSD CVA'!$AM$16),2)</f>
        <v>27.39</v>
      </c>
      <c r="R35" s="29">
        <v>0</v>
      </c>
      <c r="S35" s="29">
        <v>0</v>
      </c>
      <c r="T35" s="29">
        <f ca="1">ROUND(('TUSD BE'!$AM$16),2)</f>
        <v>27.81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AF9B-97CE-42E4-B37E-49FE6C5732E8}">
  <dimension ref="A1:AN587"/>
  <sheetViews>
    <sheetView showGridLines="0" topLeftCell="Z1" workbookViewId="0">
      <selection sqref="A1:O587 Q1:AJ13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6" width="12" style="4" bestFit="1" customWidth="1"/>
    <col min="7" max="8" width="9.5546875" style="4" bestFit="1" customWidth="1"/>
    <col min="9" max="9" width="7.88671875" style="5" bestFit="1" customWidth="1"/>
    <col min="10" max="10" width="9.5546875" style="6" bestFit="1" customWidth="1"/>
    <col min="11" max="11" width="10" style="6" bestFit="1" customWidth="1"/>
    <col min="12" max="12" width="8.77734375" style="6" bestFit="1" customWidth="1"/>
    <col min="13" max="13" width="13.109375" style="6" bestFit="1" customWidth="1"/>
    <col min="14" max="14" width="13.5546875" style="6" bestFit="1" customWidth="1"/>
    <col min="15" max="15" width="12.21875" style="6" bestFit="1" customWidth="1"/>
    <col min="16" max="16" width="7.109375" style="6" bestFit="1" customWidth="1"/>
    <col min="17" max="17" width="9" style="4" bestFit="1" customWidth="1"/>
    <col min="18" max="18" width="17.88671875" style="4" bestFit="1" customWidth="1"/>
    <col min="19" max="19" width="19.21875" style="4" bestFit="1" customWidth="1"/>
    <col min="20" max="20" width="17.109375" style="4" bestFit="1" customWidth="1"/>
    <col min="21" max="21" width="16.44140625" style="4" bestFit="1" customWidth="1"/>
    <col min="22" max="22" width="17.88671875" style="4" bestFit="1" customWidth="1"/>
    <col min="23" max="23" width="15.6640625" style="4" bestFit="1" customWidth="1"/>
    <col min="24" max="24" width="16.109375" style="4" bestFit="1" customWidth="1"/>
    <col min="25" max="25" width="17.5546875" style="4" bestFit="1" customWidth="1"/>
    <col min="26" max="26" width="15.33203125" style="4" bestFit="1" customWidth="1"/>
    <col min="27" max="27" width="16.109375" style="4" bestFit="1" customWidth="1"/>
    <col min="28" max="28" width="17.5546875" style="4" bestFit="1" customWidth="1"/>
    <col min="29" max="29" width="15.33203125" style="4" bestFit="1" customWidth="1"/>
    <col min="30" max="30" width="16.44140625" style="4" bestFit="1" customWidth="1"/>
    <col min="31" max="31" width="20.5546875" style="4" bestFit="1" customWidth="1"/>
    <col min="32" max="32" width="10.88671875" style="4" bestFit="1" customWidth="1"/>
    <col min="33" max="33" width="12.21875" style="4" bestFit="1" customWidth="1"/>
    <col min="34" max="34" width="10.109375" style="4" bestFit="1" customWidth="1"/>
    <col min="35" max="35" width="11.21875" style="4" bestFit="1" customWidth="1"/>
    <col min="36" max="36" width="15.33203125" style="4" bestFit="1" customWidth="1"/>
    <col min="37" max="37" width="8.88671875" style="4"/>
    <col min="38" max="38" width="8" style="4" bestFit="1" customWidth="1"/>
    <col min="39" max="39" width="5.109375" style="4" bestFit="1" customWidth="1"/>
    <col min="40" max="40" width="14" style="4" bestFit="1" customWidth="1"/>
    <col min="41" max="16384" width="8.88671875" style="4"/>
  </cols>
  <sheetData>
    <row r="1" spans="1:40" s="1" customFormat="1" ht="11.25" customHeigh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4" t="s">
        <v>8</v>
      </c>
      <c r="J1" s="30" t="s">
        <v>738</v>
      </c>
      <c r="K1" s="30" t="s">
        <v>739</v>
      </c>
      <c r="L1" s="30" t="s">
        <v>740</v>
      </c>
      <c r="M1" s="30" t="s">
        <v>741</v>
      </c>
      <c r="N1" s="30" t="s">
        <v>742</v>
      </c>
      <c r="O1" s="30" t="s">
        <v>743</v>
      </c>
      <c r="P1" s="7"/>
      <c r="Q1" s="100" t="s">
        <v>744</v>
      </c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34" t="s">
        <v>765</v>
      </c>
      <c r="AM1" s="34" t="s">
        <v>56</v>
      </c>
      <c r="AN1" s="34" t="s">
        <v>766</v>
      </c>
    </row>
    <row r="2" spans="1:40" ht="11.25" customHeight="1" x14ac:dyDescent="0.2">
      <c r="A2" s="35" t="s">
        <v>21</v>
      </c>
      <c r="B2" s="35" t="s">
        <v>39</v>
      </c>
      <c r="C2" s="35" t="s">
        <v>40</v>
      </c>
      <c r="D2" s="35" t="s">
        <v>41</v>
      </c>
      <c r="E2" s="35" t="s">
        <v>25</v>
      </c>
      <c r="F2" s="35" t="s">
        <v>25</v>
      </c>
      <c r="G2" s="35" t="s">
        <v>25</v>
      </c>
      <c r="H2" s="35" t="s">
        <v>35</v>
      </c>
      <c r="I2" s="55">
        <v>44440</v>
      </c>
      <c r="J2" s="56">
        <f>EFEITO!$J$2*EFEITO!$Y$2</f>
        <v>0</v>
      </c>
      <c r="K2" s="56">
        <f ca="1">EFEITO!$L$2*EFEITO!$Z$2</f>
        <v>27516.471055443206</v>
      </c>
      <c r="L2" s="56">
        <f>EFEITO!$N$2*EFEITO!$AA$2</f>
        <v>23464.298243452624</v>
      </c>
      <c r="M2" s="56">
        <f>$J$2-EFEITO!$K$2*EFEITO!$Y$2</f>
        <v>0</v>
      </c>
      <c r="N2" s="56">
        <f ca="1">$K$2-EFEITO!$M$2*EFEITO!$Z$2</f>
        <v>0</v>
      </c>
      <c r="O2" s="56">
        <f>$L$2-EFEITO!$O$2*EFEITO!$AA$2</f>
        <v>0</v>
      </c>
      <c r="P2" s="39"/>
      <c r="Q2" s="28" t="s">
        <v>457</v>
      </c>
      <c r="R2" s="28" t="s">
        <v>746</v>
      </c>
      <c r="S2" s="28" t="s">
        <v>747</v>
      </c>
      <c r="T2" s="28" t="s">
        <v>748</v>
      </c>
      <c r="U2" s="28" t="s">
        <v>749</v>
      </c>
      <c r="V2" s="28" t="s">
        <v>750</v>
      </c>
      <c r="W2" s="28" t="s">
        <v>751</v>
      </c>
      <c r="X2" s="57" t="s">
        <v>752</v>
      </c>
      <c r="Y2" s="57" t="s">
        <v>753</v>
      </c>
      <c r="Z2" s="57" t="s">
        <v>754</v>
      </c>
      <c r="AA2" s="57" t="s">
        <v>755</v>
      </c>
      <c r="AB2" s="57" t="s">
        <v>756</v>
      </c>
      <c r="AC2" s="57" t="s">
        <v>757</v>
      </c>
      <c r="AD2" s="57" t="s">
        <v>758</v>
      </c>
      <c r="AE2" s="57" t="s">
        <v>759</v>
      </c>
      <c r="AF2" s="57" t="s">
        <v>760</v>
      </c>
      <c r="AG2" s="57" t="s">
        <v>761</v>
      </c>
      <c r="AH2" s="57" t="s">
        <v>762</v>
      </c>
      <c r="AI2" s="57" t="s">
        <v>763</v>
      </c>
      <c r="AJ2" s="57" t="s">
        <v>764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39</v>
      </c>
      <c r="C3" s="35" t="s">
        <v>40</v>
      </c>
      <c r="D3" s="35" t="s">
        <v>41</v>
      </c>
      <c r="E3" s="35" t="s">
        <v>25</v>
      </c>
      <c r="F3" s="35" t="s">
        <v>25</v>
      </c>
      <c r="G3" s="35" t="s">
        <v>25</v>
      </c>
      <c r="H3" s="35" t="s">
        <v>35</v>
      </c>
      <c r="I3" s="55">
        <v>44470</v>
      </c>
      <c r="J3" s="56">
        <f>EFEITO!$J$3*EFEITO!$Y$3</f>
        <v>0</v>
      </c>
      <c r="K3" s="56">
        <f ca="1">EFEITO!$L$3*EFEITO!$Z$3</f>
        <v>28216.850425696706</v>
      </c>
      <c r="L3" s="56">
        <f>EFEITO!$N$3*EFEITO!$AA$3</f>
        <v>24061.537271454319</v>
      </c>
      <c r="M3" s="56">
        <f>$J$3-EFEITO!$K$3*EFEITO!$Y$3</f>
        <v>0</v>
      </c>
      <c r="N3" s="56">
        <f ca="1">$K$3-EFEITO!$M$3*EFEITO!$Z$3</f>
        <v>0</v>
      </c>
      <c r="O3" s="56">
        <f>$L$3-EFEITO!$O$3*EFEITO!$AA$3</f>
        <v>0</v>
      </c>
      <c r="P3" s="39"/>
      <c r="Q3" s="56" t="s">
        <v>745</v>
      </c>
      <c r="R3" s="56">
        <f>SUMIF($B$2:$B$587,$Q$3,$J$2:$J$587)</f>
        <v>0</v>
      </c>
      <c r="S3" s="56">
        <f>SUMIF($B$2:$B$587,$Q$3,$K$2:$K$587)</f>
        <v>0</v>
      </c>
      <c r="T3" s="56">
        <f>SUMIF($B$2:$B$587,$Q$3,$L$2:$L$587)</f>
        <v>0</v>
      </c>
      <c r="U3" s="56">
        <f>SUMIF($B$2:$B$587,$Q$3,$M$2:$M$587)</f>
        <v>0</v>
      </c>
      <c r="V3" s="56">
        <f>SUMIF($B$2:$B$587,$Q$3,$N$2:$N$587)</f>
        <v>0</v>
      </c>
      <c r="W3" s="56">
        <f>SUMIF($B$2:$B$587,$Q$3,$O$2:$O$587)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SUMIF(EFEITO!$B$2:$B$587,$Q$3,EFEITO!$AE$2:$AE$587)</f>
        <v>0</v>
      </c>
      <c r="AB3" s="36">
        <f>SUMIF(EFEITO!$B$2:$B$587,$Q$3,EFEITO!$AF$2:$AF$587)</f>
        <v>0</v>
      </c>
      <c r="AC3" s="36">
        <f>SUMIF(EFEITO!$B$2:$B$587,$Q$3,EFEITO!$AG$2:$AH$587)</f>
        <v>0</v>
      </c>
      <c r="AD3" s="36">
        <f>SUMIF(SUBSIDIO!$B$2:$B$587,$Q$3,SUBSIDIO!$AD$2:$AD$587)</f>
        <v>0</v>
      </c>
      <c r="AE3" s="36">
        <f>SUMIF(SUBSIDIO!$B$2:$B$587,$Q$3,SUBSIDIO!$AE$2:$AE$587)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39</v>
      </c>
      <c r="C4" s="35" t="s">
        <v>40</v>
      </c>
      <c r="D4" s="35" t="s">
        <v>41</v>
      </c>
      <c r="E4" s="35" t="s">
        <v>25</v>
      </c>
      <c r="F4" s="35" t="s">
        <v>25</v>
      </c>
      <c r="G4" s="35" t="s">
        <v>25</v>
      </c>
      <c r="H4" s="35" t="s">
        <v>35</v>
      </c>
      <c r="I4" s="55">
        <v>44501</v>
      </c>
      <c r="J4" s="56">
        <f>EFEITO!$J$4*EFEITO!$Y$4</f>
        <v>0</v>
      </c>
      <c r="K4" s="56">
        <f ca="1">EFEITO!$L$4*EFEITO!$Z$4</f>
        <v>28680.905468564055</v>
      </c>
      <c r="L4" s="56">
        <f>EFEITO!$N$4*EFEITO!$AA$4</f>
        <v>24457.253928044396</v>
      </c>
      <c r="M4" s="56">
        <f>$J$4-EFEITO!$K$4*EFEITO!$Y$4</f>
        <v>0</v>
      </c>
      <c r="N4" s="56">
        <f ca="1">$K$4-EFEITO!$M$4*EFEITO!$Z$4</f>
        <v>0</v>
      </c>
      <c r="O4" s="56">
        <f>$L$4-EFEITO!$O$4*EFEITO!$AA$4</f>
        <v>0</v>
      </c>
      <c r="P4" s="39"/>
      <c r="Q4" s="56" t="s">
        <v>625</v>
      </c>
      <c r="R4" s="56">
        <f>SUMIF($B$2:$B$587,$Q$4,$J$2:$J$587)</f>
        <v>0</v>
      </c>
      <c r="S4" s="56">
        <f>SUMIF($B$2:$B$587,$Q$4,$K$2:$K$587)</f>
        <v>0</v>
      </c>
      <c r="T4" s="56">
        <f>SUMIF($B$2:$B$587,$Q$4,$L$2:$L$587)</f>
        <v>0</v>
      </c>
      <c r="U4" s="56">
        <f>SUMIF($B$2:$B$587,$Q$4,$M$2:$M$587)</f>
        <v>0</v>
      </c>
      <c r="V4" s="56">
        <f>SUMIF($B$2:$B$587,$Q$4,$N$2:$N$587)</f>
        <v>0</v>
      </c>
      <c r="W4" s="56">
        <f>SUMIF($B$2:$B$587,$Q$4,$O$2:$O$587)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SUMIF(EFEITO!$B$2:$B$587,$Q$4,EFEITO!$AE$2:$AE$587)</f>
        <v>0</v>
      </c>
      <c r="AB4" s="36">
        <f>SUMIF(EFEITO!$B$2:$B$587,$Q$4,EFEITO!$AF$2:$AF$587)</f>
        <v>0</v>
      </c>
      <c r="AC4" s="36">
        <f>SUMIF(EFEITO!$B$2:$B$587,$Q$4,EFEITO!$AG$2:$AH$587)</f>
        <v>0</v>
      </c>
      <c r="AD4" s="36">
        <f>SUMIF(SUBSIDIO!$B$2:$B$587,$Q$4,SUBSIDIO!$AD$2:$AD$587)</f>
        <v>0</v>
      </c>
      <c r="AE4" s="36">
        <f>SUMIF(SUBSIDIO!$B$2:$B$587,$Q$4,SUBSIDIO!$AE$2:$AE$587)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39</v>
      </c>
      <c r="C5" s="35" t="s">
        <v>40</v>
      </c>
      <c r="D5" s="35" t="s">
        <v>41</v>
      </c>
      <c r="E5" s="35" t="s">
        <v>25</v>
      </c>
      <c r="F5" s="35" t="s">
        <v>25</v>
      </c>
      <c r="G5" s="35" t="s">
        <v>25</v>
      </c>
      <c r="H5" s="35" t="s">
        <v>35</v>
      </c>
      <c r="I5" s="55">
        <v>44531</v>
      </c>
      <c r="J5" s="56">
        <f>EFEITO!$J$5*EFEITO!$Y$5</f>
        <v>0</v>
      </c>
      <c r="K5" s="56">
        <f ca="1">EFEITO!$L$5*EFEITO!$Z$5</f>
        <v>32135.537454354337</v>
      </c>
      <c r="L5" s="56">
        <f>EFEITO!$N$5*EFEITO!$AA$5</f>
        <v>27403.144593770554</v>
      </c>
      <c r="M5" s="56">
        <f>$J$5-EFEITO!$K$5*EFEITO!$Y$5</f>
        <v>0</v>
      </c>
      <c r="N5" s="56">
        <f ca="1">$K$5-EFEITO!$M$5*EFEITO!$Z$5</f>
        <v>0</v>
      </c>
      <c r="O5" s="56">
        <f>$L$5-EFEITO!$O$5*EFEITO!$AA$5</f>
        <v>0</v>
      </c>
      <c r="P5" s="39"/>
      <c r="Q5" s="56" t="s">
        <v>626</v>
      </c>
      <c r="R5" s="56">
        <f>SUMIF($B$2:$B$587,$Q$5,$J$2:$J$587)</f>
        <v>0</v>
      </c>
      <c r="S5" s="56">
        <f>SUMIF($B$2:$B$587,$Q$5,$K$2:$K$587)</f>
        <v>0</v>
      </c>
      <c r="T5" s="56">
        <f>SUMIF($B$2:$B$587,$Q$5,$L$2:$L$587)</f>
        <v>0</v>
      </c>
      <c r="U5" s="56">
        <f>SUMIF($B$2:$B$587,$Q$5,$M$2:$M$587)</f>
        <v>0</v>
      </c>
      <c r="V5" s="56">
        <f>SUMIF($B$2:$B$587,$Q$5,$N$2:$N$587)</f>
        <v>0</v>
      </c>
      <c r="W5" s="56">
        <f>SUMIF($B$2:$B$587,$Q$5,$O$2:$O$587)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SUMIF(EFEITO!$B$2:$B$587,$Q$5,EFEITO!$AE$2:$AE$587)</f>
        <v>0</v>
      </c>
      <c r="AB5" s="36">
        <f>SUMIF(EFEITO!$B$2:$B$587,$Q$5,EFEITO!$AF$2:$AF$587)</f>
        <v>0</v>
      </c>
      <c r="AC5" s="36">
        <f>SUMIF(EFEITO!$B$2:$B$587,$Q$5,EFEITO!$AG$2:$AH$587)</f>
        <v>0</v>
      </c>
      <c r="AD5" s="36">
        <f>SUMIF(SUBSIDIO!$B$2:$B$587,$Q$5,SUBSIDIO!$AD$2:$AD$587)</f>
        <v>0</v>
      </c>
      <c r="AE5" s="36">
        <f>SUMIF(SUBSIDIO!$B$2:$B$587,$Q$5,SUBSIDIO!$AE$2:$AE$587)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39</v>
      </c>
      <c r="C6" s="35" t="s">
        <v>40</v>
      </c>
      <c r="D6" s="35" t="s">
        <v>41</v>
      </c>
      <c r="E6" s="35" t="s">
        <v>25</v>
      </c>
      <c r="F6" s="35" t="s">
        <v>25</v>
      </c>
      <c r="G6" s="35" t="s">
        <v>25</v>
      </c>
      <c r="H6" s="35" t="s">
        <v>35</v>
      </c>
      <c r="I6" s="55">
        <v>44562</v>
      </c>
      <c r="J6" s="56">
        <f>EFEITO!$J$6*EFEITO!$Y$6</f>
        <v>0</v>
      </c>
      <c r="K6" s="56">
        <f ca="1">EFEITO!$L$6*EFEITO!$Z$6</f>
        <v>36181.208812118108</v>
      </c>
      <c r="L6" s="56">
        <f>EFEITO!$N$6*EFEITO!$AA$6</f>
        <v>30853.036083936207</v>
      </c>
      <c r="M6" s="56">
        <f>$J$6-EFEITO!$K$6*EFEITO!$Y$6</f>
        <v>0</v>
      </c>
      <c r="N6" s="56">
        <f ca="1">$K$6-EFEITO!$M$6*EFEITO!$Z$6</f>
        <v>0</v>
      </c>
      <c r="O6" s="56">
        <f>$L$6-EFEITO!$O$6*EFEITO!$AA$6</f>
        <v>0</v>
      </c>
      <c r="P6" s="39"/>
      <c r="Q6" s="56" t="s">
        <v>627</v>
      </c>
      <c r="R6" s="56">
        <f>SUMIF($B$2:$B$587,$Q$6,$J$2:$J$587)</f>
        <v>0</v>
      </c>
      <c r="S6" s="56">
        <f>SUMIF($B$2:$B$587,$Q$6,$K$2:$K$587)</f>
        <v>0</v>
      </c>
      <c r="T6" s="56">
        <f>SUMIF($B$2:$B$587,$Q$6,$L$2:$L$587)</f>
        <v>0</v>
      </c>
      <c r="U6" s="56">
        <f>SUMIF($B$2:$B$587,$Q$6,$M$2:$M$587)</f>
        <v>0</v>
      </c>
      <c r="V6" s="56">
        <f>SUMIF($B$2:$B$587,$Q$6,$N$2:$N$587)</f>
        <v>0</v>
      </c>
      <c r="W6" s="56">
        <f>SUMIF($B$2:$B$587,$Q$6,$O$2:$O$587)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SUMIF(EFEITO!$B$2:$B$587,$Q$6,EFEITO!$AE$2:$AE$587)</f>
        <v>0</v>
      </c>
      <c r="AB6" s="36">
        <f>SUMIF(EFEITO!$B$2:$B$587,$Q$6,EFEITO!$AF$2:$AF$587)</f>
        <v>0</v>
      </c>
      <c r="AC6" s="36">
        <f>SUMIF(EFEITO!$B$2:$B$587,$Q$6,EFEITO!$AG$2:$AH$587)</f>
        <v>0</v>
      </c>
      <c r="AD6" s="36">
        <f>SUMIF(SUBSIDIO!$B$2:$B$587,$Q$6,SUBSIDIO!$AD$2:$AD$587)</f>
        <v>0</v>
      </c>
      <c r="AE6" s="36">
        <f>SUMIF(SUBSIDIO!$B$2:$B$587,$Q$6,SUBSIDIO!$AE$2:$AE$587)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39</v>
      </c>
      <c r="C7" s="35" t="s">
        <v>40</v>
      </c>
      <c r="D7" s="35" t="s">
        <v>41</v>
      </c>
      <c r="E7" s="35" t="s">
        <v>25</v>
      </c>
      <c r="F7" s="35" t="s">
        <v>25</v>
      </c>
      <c r="G7" s="35" t="s">
        <v>25</v>
      </c>
      <c r="H7" s="35" t="s">
        <v>35</v>
      </c>
      <c r="I7" s="55">
        <v>44593</v>
      </c>
      <c r="J7" s="56">
        <f>EFEITO!$J$7*EFEITO!$Y$7</f>
        <v>0</v>
      </c>
      <c r="K7" s="56">
        <f ca="1">EFEITO!$L$7*EFEITO!$Z$7</f>
        <v>32059.749111064928</v>
      </c>
      <c r="L7" s="56">
        <f>EFEITO!$N$7*EFEITO!$AA$7</f>
        <v>27338.517109863311</v>
      </c>
      <c r="M7" s="56">
        <f>$J$7-EFEITO!$K$7*EFEITO!$Y$7</f>
        <v>0</v>
      </c>
      <c r="N7" s="56">
        <f ca="1">$K$7-EFEITO!$M$7*EFEITO!$Z$7</f>
        <v>0</v>
      </c>
      <c r="O7" s="56">
        <f>$L$7-EFEITO!$O$7*EFEITO!$AA$7</f>
        <v>0</v>
      </c>
      <c r="P7" s="39"/>
      <c r="Q7" s="56" t="s">
        <v>39</v>
      </c>
      <c r="R7" s="56">
        <f ca="1">SUMIF($B$2:$B$587,$Q$7,$J$2:$J$587)</f>
        <v>2923008.0661586681</v>
      </c>
      <c r="S7" s="56">
        <f ca="1">SUMIF($B$2:$B$587,$Q$7,$K$2:$K$587)</f>
        <v>2506242.7745103561</v>
      </c>
      <c r="T7" s="56">
        <f>SUMIF($B$2:$B$587,$Q$7,$L$2:$L$587)</f>
        <v>658754.25809404999</v>
      </c>
      <c r="U7" s="56">
        <f ca="1">SUMIF($B$2:$B$587,$Q$7,$M$2:$M$587)</f>
        <v>586287.4946858827</v>
      </c>
      <c r="V7" s="56">
        <f ca="1">SUMIF($B$2:$B$587,$Q$7,$N$2:$N$587)</f>
        <v>226768.84246336829</v>
      </c>
      <c r="W7" s="56">
        <f>SUMIF($B$2:$B$587,$Q$7,$O$2:$O$587)</f>
        <v>5576.9909139691044</v>
      </c>
      <c r="X7" s="36">
        <f ca="1">$R$7-$U$7</f>
        <v>2336720.5714727854</v>
      </c>
      <c r="Y7" s="36">
        <f ca="1">$S$7-$V$7</f>
        <v>2279473.932046988</v>
      </c>
      <c r="Z7" s="36">
        <f>$T$7-$W$7</f>
        <v>653177.26718008087</v>
      </c>
      <c r="AA7" s="36">
        <f ca="1">SUMIF(EFEITO!$B$2:$B$587,$Q$7,EFEITO!$AE$2:$AE$587)</f>
        <v>2336720.5714727882</v>
      </c>
      <c r="AB7" s="36">
        <f ca="1">SUMIF(EFEITO!$B$2:$B$587,$Q$7,EFEITO!$AF$2:$AF$587)</f>
        <v>2279473.9320469885</v>
      </c>
      <c r="AC7" s="36">
        <f>SUMIF(EFEITO!$B$2:$B$587,$Q$7,EFEITO!$AG$2:$AH$587)</f>
        <v>653177.26718008087</v>
      </c>
      <c r="AD7" s="36">
        <f ca="1">SUMIF(SUBSIDIO!$B$2:$B$587,$Q$7,SUBSIDIO!$AD$2:$AD$587)</f>
        <v>586287.4946858827</v>
      </c>
      <c r="AE7" s="36">
        <f ca="1">SUMIF(SUBSIDIO!$B$2:$B$587,$Q$7,SUBSIDIO!$AE$2:$AE$587)</f>
        <v>232345.83337733743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39</v>
      </c>
      <c r="C8" s="35" t="s">
        <v>40</v>
      </c>
      <c r="D8" s="35" t="s">
        <v>41</v>
      </c>
      <c r="E8" s="35" t="s">
        <v>25</v>
      </c>
      <c r="F8" s="35" t="s">
        <v>25</v>
      </c>
      <c r="G8" s="35" t="s">
        <v>25</v>
      </c>
      <c r="H8" s="35" t="s">
        <v>35</v>
      </c>
      <c r="I8" s="55">
        <v>44621</v>
      </c>
      <c r="J8" s="56">
        <f>EFEITO!$J$8*EFEITO!$Y$8</f>
        <v>0</v>
      </c>
      <c r="K8" s="56">
        <f ca="1">EFEITO!$L$8*EFEITO!$Z$8</f>
        <v>30614.925254194241</v>
      </c>
      <c r="L8" s="56">
        <f>EFEITO!$N$8*EFEITO!$AA$8</f>
        <v>26106.463122323981</v>
      </c>
      <c r="M8" s="56">
        <f>$J$8-EFEITO!$K$8*EFEITO!$Y$8</f>
        <v>0</v>
      </c>
      <c r="N8" s="56">
        <f ca="1">$K$8-EFEITO!$M$8*EFEITO!$Z$8</f>
        <v>0</v>
      </c>
      <c r="O8" s="56">
        <f>$L$8-EFEITO!$O$8*EFEITO!$AA$8</f>
        <v>0</v>
      </c>
      <c r="P8" s="39"/>
      <c r="Q8" s="56" t="s">
        <v>628</v>
      </c>
      <c r="R8" s="56">
        <f>SUMIF($B$2:$B$587,$Q$8,$J$2:$J$587)</f>
        <v>0</v>
      </c>
      <c r="S8" s="56">
        <f>SUMIF($B$2:$B$587,$Q$8,$K$2:$K$587)</f>
        <v>0</v>
      </c>
      <c r="T8" s="56">
        <f>SUMIF($B$2:$B$587,$Q$8,$L$2:$L$587)</f>
        <v>0</v>
      </c>
      <c r="U8" s="56">
        <f>SUMIF($B$2:$B$587,$Q$8,$M$2:$M$587)</f>
        <v>0</v>
      </c>
      <c r="V8" s="56">
        <f>SUMIF($B$2:$B$587,$Q$8,$N$2:$N$587)</f>
        <v>0</v>
      </c>
      <c r="W8" s="56">
        <f>SUMIF($B$2:$B$587,$Q$8,$O$2:$O$587)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SUMIF(EFEITO!$B$2:$B$587,$Q$8,EFEITO!$AE$2:$AE$587)</f>
        <v>0</v>
      </c>
      <c r="AB8" s="36">
        <f>SUMIF(EFEITO!$B$2:$B$587,$Q$8,EFEITO!$AF$2:$AF$587)</f>
        <v>0</v>
      </c>
      <c r="AC8" s="36">
        <f>SUMIF(EFEITO!$B$2:$B$587,$Q$8,EFEITO!$AG$2:$AH$587)</f>
        <v>0</v>
      </c>
      <c r="AD8" s="36">
        <f>SUMIF(SUBSIDIO!$B$2:$B$587,$Q$8,SUBSIDIO!$AD$2:$AD$587)</f>
        <v>0</v>
      </c>
      <c r="AE8" s="36">
        <f>SUMIF(SUBSIDIO!$B$2:$B$587,$Q$8,SUBSIDIO!$AE$2:$AE$587)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28</v>
      </c>
      <c r="B9" s="35" t="s">
        <v>39</v>
      </c>
      <c r="C9" s="35" t="s">
        <v>40</v>
      </c>
      <c r="D9" s="35" t="s">
        <v>41</v>
      </c>
      <c r="E9" s="35" t="s">
        <v>25</v>
      </c>
      <c r="F9" s="35" t="s">
        <v>25</v>
      </c>
      <c r="G9" s="35" t="s">
        <v>25</v>
      </c>
      <c r="H9" s="35" t="s">
        <v>35</v>
      </c>
      <c r="I9" s="55">
        <v>44621</v>
      </c>
      <c r="J9" s="56">
        <f>EFEITO!$J$9*EFEITO!$Y$9</f>
        <v>0</v>
      </c>
      <c r="K9" s="56">
        <f ca="1">EFEITO!$L$9*EFEITO!$Z$9</f>
        <v>1253.2045956709319</v>
      </c>
      <c r="L9" s="56">
        <f>EFEITO!$N$9*EFEITO!$AA$9</f>
        <v>1068.6532562129294</v>
      </c>
      <c r="M9" s="56">
        <f>$J$9-EFEITO!$K$9*EFEITO!$Y$9</f>
        <v>0</v>
      </c>
      <c r="N9" s="56">
        <f ca="1">$K$9-EFEITO!$M$9*EFEITO!$Z$9</f>
        <v>0</v>
      </c>
      <c r="O9" s="56">
        <f>$L$9-EFEITO!$O$9*EFEITO!$AA$9</f>
        <v>0</v>
      </c>
      <c r="P9" s="39"/>
      <c r="Q9" s="56" t="s">
        <v>22</v>
      </c>
      <c r="R9" s="56">
        <f>SUMIF($B$2:$B$587,$Q$9,$J$2:$J$587)</f>
        <v>0</v>
      </c>
      <c r="S9" s="56">
        <f ca="1">SUMIF($B$2:$B$587,$Q$9,$K$2:$K$587)</f>
        <v>20521489.804925118</v>
      </c>
      <c r="T9" s="56">
        <f>SUMIF($B$2:$B$587,$Q$9,$L$2:$L$587)</f>
        <v>2361839.77623484</v>
      </c>
      <c r="U9" s="56">
        <f>SUMIF($B$2:$B$587,$Q$9,$M$2:$M$587)</f>
        <v>0</v>
      </c>
      <c r="V9" s="56">
        <f ca="1">SUMIF($B$2:$B$587,$Q$9,$N$2:$N$587)</f>
        <v>83106.513927259017</v>
      </c>
      <c r="W9" s="56">
        <f>SUMIF($B$2:$B$587,$Q$9,$O$2:$O$587)</f>
        <v>11214.002752105911</v>
      </c>
      <c r="X9" s="36">
        <f>$R$9-$U$9</f>
        <v>0</v>
      </c>
      <c r="Y9" s="36">
        <f ca="1">$S$9-$V$9</f>
        <v>20438383.290997859</v>
      </c>
      <c r="Z9" s="36">
        <f>$T$9-$W$9</f>
        <v>2350625.7734827343</v>
      </c>
      <c r="AA9" s="36">
        <f>SUMIF(EFEITO!$B$2:$B$587,$Q$9,EFEITO!$AE$2:$AE$587)</f>
        <v>0</v>
      </c>
      <c r="AB9" s="36">
        <f ca="1">SUMIF(EFEITO!$B$2:$B$587,$Q$9,EFEITO!$AF$2:$AF$587)</f>
        <v>20438383.290997848</v>
      </c>
      <c r="AC9" s="36">
        <f>SUMIF(EFEITO!$B$2:$B$587,$Q$9,EFEITO!$AG$2:$AH$587)</f>
        <v>2350625.7734827362</v>
      </c>
      <c r="AD9" s="36">
        <f>SUMIF(SUBSIDIO!$B$2:$B$587,$Q$9,SUBSIDIO!$AD$2:$AD$587)</f>
        <v>0</v>
      </c>
      <c r="AE9" s="36">
        <f ca="1">SUMIF(SUBSIDIO!$B$2:$B$587,$Q$9,SUBSIDIO!$AE$2:$AE$587)</f>
        <v>94320.516679364897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39</v>
      </c>
      <c r="C10" s="35" t="s">
        <v>40</v>
      </c>
      <c r="D10" s="35" t="s">
        <v>41</v>
      </c>
      <c r="E10" s="35" t="s">
        <v>25</v>
      </c>
      <c r="F10" s="35" t="s">
        <v>25</v>
      </c>
      <c r="G10" s="35" t="s">
        <v>25</v>
      </c>
      <c r="H10" s="35" t="s">
        <v>35</v>
      </c>
      <c r="I10" s="55">
        <v>44652</v>
      </c>
      <c r="J10" s="56">
        <f>EFEITO!$J$10*EFEITO!$Y$10</f>
        <v>0</v>
      </c>
      <c r="K10" s="56">
        <f ca="1">EFEITO!$L$10*EFEITO!$Z$10</f>
        <v>27696.114112817973</v>
      </c>
      <c r="L10" s="56">
        <f>EFEITO!$N$10*EFEITO!$AA$10</f>
        <v>23617.486429071119</v>
      </c>
      <c r="M10" s="56">
        <f>$J$10-EFEITO!$K$10*EFEITO!$Y$10</f>
        <v>0</v>
      </c>
      <c r="N10" s="56">
        <f ca="1">$K$10-EFEITO!$M$10*EFEITO!$Z$10</f>
        <v>0</v>
      </c>
      <c r="O10" s="56">
        <f>$L$10-EFEITO!$O$10*EFEITO!$AA$10</f>
        <v>0</v>
      </c>
      <c r="P10" s="39"/>
      <c r="Q10" s="56" t="s">
        <v>42</v>
      </c>
      <c r="R10" s="56">
        <f>SUMIF($B$2:$B$587,$Q$10,$J$2:$J$587)</f>
        <v>0</v>
      </c>
      <c r="S10" s="56">
        <f ca="1">SUMIF($B$2:$B$587,$Q$10,$K$2:$K$587)</f>
        <v>348845.77851718146</v>
      </c>
      <c r="T10" s="56">
        <f>SUMIF($B$2:$B$587,$Q$10,$L$2:$L$587)</f>
        <v>40037.700760090724</v>
      </c>
      <c r="U10" s="56">
        <f>SUMIF($B$2:$B$587,$Q$10,$M$2:$M$587)</f>
        <v>0</v>
      </c>
      <c r="V10" s="56">
        <f ca="1">SUMIF($B$2:$B$587,$Q$10,$N$2:$N$587)</f>
        <v>24419.204496202732</v>
      </c>
      <c r="W10" s="56">
        <f>SUMIF($B$2:$B$587,$Q$10,$O$2:$O$587)</f>
        <v>2802.6390532063529</v>
      </c>
      <c r="X10" s="36">
        <f>$R$10-$U$10</f>
        <v>0</v>
      </c>
      <c r="Y10" s="36">
        <f ca="1">$S$10-$V$10</f>
        <v>324426.5740209787</v>
      </c>
      <c r="Z10" s="36">
        <f>$T$10-$W$10</f>
        <v>37235.061706884371</v>
      </c>
      <c r="AA10" s="36">
        <f>SUMIF(EFEITO!$B$2:$B$587,$Q$10,EFEITO!$AE$2:$AE$587)</f>
        <v>0</v>
      </c>
      <c r="AB10" s="36">
        <f ca="1">SUMIF(EFEITO!$B$2:$B$587,$Q$10,EFEITO!$AF$2:$AF$587)</f>
        <v>324426.57402097876</v>
      </c>
      <c r="AC10" s="36">
        <f>SUMIF(EFEITO!$B$2:$B$587,$Q$10,EFEITO!$AG$2:$AH$587)</f>
        <v>37235.061706884379</v>
      </c>
      <c r="AD10" s="36">
        <f>SUMIF(SUBSIDIO!$B$2:$B$587,$Q$10,SUBSIDIO!$AD$2:$AD$587)</f>
        <v>0</v>
      </c>
      <c r="AE10" s="36">
        <f ca="1">SUMIF(SUBSIDIO!$B$2:$B$587,$Q$10,SUBSIDIO!$AE$2:$AE$587)</f>
        <v>27221.843549409059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28</v>
      </c>
      <c r="B11" s="35" t="s">
        <v>39</v>
      </c>
      <c r="C11" s="35" t="s">
        <v>40</v>
      </c>
      <c r="D11" s="35" t="s">
        <v>41</v>
      </c>
      <c r="E11" s="35" t="s">
        <v>25</v>
      </c>
      <c r="F11" s="35" t="s">
        <v>25</v>
      </c>
      <c r="G11" s="35" t="s">
        <v>25</v>
      </c>
      <c r="H11" s="35" t="s">
        <v>35</v>
      </c>
      <c r="I11" s="55">
        <v>44652</v>
      </c>
      <c r="J11" s="56">
        <f>EFEITO!$J$11*EFEITO!$Y$11</f>
        <v>0</v>
      </c>
      <c r="K11" s="56">
        <f ca="1">EFEITO!$L$11*EFEITO!$Z$11</f>
        <v>903.3348854555353</v>
      </c>
      <c r="L11" s="56">
        <f>EFEITO!$N$11*EFEITO!$AA$11</f>
        <v>770.30659648671974</v>
      </c>
      <c r="M11" s="56">
        <f>$J$11-EFEITO!$K$11*EFEITO!$Y$11</f>
        <v>0</v>
      </c>
      <c r="N11" s="56">
        <f ca="1">$K$11-EFEITO!$M$11*EFEITO!$Z$11</f>
        <v>0</v>
      </c>
      <c r="O11" s="56">
        <f>$L$11-EFEITO!$O$11*EFEITO!$AA$11</f>
        <v>0</v>
      </c>
      <c r="P11" s="39"/>
      <c r="Q11" s="56" t="s">
        <v>37</v>
      </c>
      <c r="R11" s="56">
        <f>SUMIF($B$2:$B$587,$Q$11,$J$2:$J$587)</f>
        <v>0</v>
      </c>
      <c r="S11" s="56">
        <f ca="1">SUMIF($B$2:$B$587,$Q$11,$K$2:$K$587)</f>
        <v>9508912.2408254594</v>
      </c>
      <c r="T11" s="56">
        <f>SUMIF($B$2:$B$587,$Q$11,$L$2:$L$587)</f>
        <v>1094362.5214697437</v>
      </c>
      <c r="U11" s="56">
        <f>SUMIF($B$2:$B$587,$Q$11,$M$2:$M$587)</f>
        <v>0</v>
      </c>
      <c r="V11" s="56">
        <f ca="1">SUMIF($B$2:$B$587,$Q$11,$N$2:$N$587)</f>
        <v>6042.9931384746451</v>
      </c>
      <c r="W11" s="56">
        <f>SUMIF($B$2:$B$587,$Q$11,$O$2:$O$587)</f>
        <v>693.56594195280695</v>
      </c>
      <c r="X11" s="36">
        <f>$R$11-$U$11</f>
        <v>0</v>
      </c>
      <c r="Y11" s="36">
        <f ca="1">$S$11-$V$11</f>
        <v>9502869.247686984</v>
      </c>
      <c r="Z11" s="36">
        <f>$T$11-$W$11</f>
        <v>1093668.9555277908</v>
      </c>
      <c r="AA11" s="36">
        <f>SUMIF(EFEITO!$B$2:$B$587,$Q$11,EFEITO!$AE$2:$AE$587)</f>
        <v>0</v>
      </c>
      <c r="AB11" s="36">
        <f ca="1">SUMIF(EFEITO!$B$2:$B$587,$Q$11,EFEITO!$AF$2:$AF$587)</f>
        <v>9502869.2476869859</v>
      </c>
      <c r="AC11" s="36">
        <f>SUMIF(EFEITO!$B$2:$B$587,$Q$11,EFEITO!$AG$2:$AH$587)</f>
        <v>1093668.9555277913</v>
      </c>
      <c r="AD11" s="36">
        <f>SUMIF(SUBSIDIO!$B$2:$B$587,$Q$11,SUBSIDIO!$AD$2:$AD$587)</f>
        <v>0</v>
      </c>
      <c r="AE11" s="36">
        <f ca="1">SUMIF(SUBSIDIO!$B$2:$B$587,$Q$11,SUBSIDIO!$AE$2:$AE$587)</f>
        <v>6736.5590804274434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39</v>
      </c>
      <c r="C12" s="35" t="s">
        <v>40</v>
      </c>
      <c r="D12" s="35" t="s">
        <v>41</v>
      </c>
      <c r="E12" s="35" t="s">
        <v>25</v>
      </c>
      <c r="F12" s="35" t="s">
        <v>25</v>
      </c>
      <c r="G12" s="35" t="s">
        <v>25</v>
      </c>
      <c r="H12" s="35" t="s">
        <v>35</v>
      </c>
      <c r="I12" s="55">
        <v>44682</v>
      </c>
      <c r="J12" s="56">
        <f>EFEITO!$J$12*EFEITO!$Y$12</f>
        <v>0</v>
      </c>
      <c r="K12" s="56">
        <f ca="1">EFEITO!$L$12*EFEITO!$Z$12</f>
        <v>28085.386447831606</v>
      </c>
      <c r="L12" s="56">
        <f>EFEITO!$N$12*EFEITO!$AA$12</f>
        <v>23949.433143759965</v>
      </c>
      <c r="M12" s="56">
        <f>$J$12-EFEITO!$K$12*EFEITO!$Y$12</f>
        <v>0</v>
      </c>
      <c r="N12" s="56">
        <f ca="1">$K$12-EFEITO!$M$12*EFEITO!$Z$12</f>
        <v>0</v>
      </c>
      <c r="O12" s="56">
        <f>$L$12-EFEITO!$O$12*EFEITO!$AA$12</f>
        <v>0</v>
      </c>
      <c r="P12" s="39"/>
      <c r="Q12" s="56" t="s">
        <v>45</v>
      </c>
      <c r="R12" s="56">
        <f>SUMIF($B$2:$B$587,$Q$12,$J$2:$J$587)</f>
        <v>0</v>
      </c>
      <c r="S12" s="56">
        <f ca="1">SUMIF($B$2:$B$587,$Q$12,$K$2:$K$587)</f>
        <v>1551668.5061676309</v>
      </c>
      <c r="T12" s="56">
        <f>SUMIF($B$2:$B$587,$Q$12,$L$2:$L$587)</f>
        <v>178087.97799666304</v>
      </c>
      <c r="U12" s="56">
        <f>SUMIF($B$2:$B$587,$Q$12,$M$2:$M$587)</f>
        <v>0</v>
      </c>
      <c r="V12" s="56">
        <f ca="1">SUMIF($B$2:$B$587,$Q$12,$N$2:$N$587)</f>
        <v>0</v>
      </c>
      <c r="W12" s="56">
        <f>SUMIF($B$2:$B$587,$Q$12,$O$2:$O$587)</f>
        <v>0</v>
      </c>
      <c r="X12" s="36">
        <f>$R$12-$U$12</f>
        <v>0</v>
      </c>
      <c r="Y12" s="36">
        <f ca="1">$S$12-$V$12</f>
        <v>1551668.5061676309</v>
      </c>
      <c r="Z12" s="36">
        <f>$T$12-$W$12</f>
        <v>178087.97799666304</v>
      </c>
      <c r="AA12" s="36">
        <f>SUMIF(EFEITO!$B$2:$B$587,$Q$12,EFEITO!$AE$2:$AE$587)</f>
        <v>0</v>
      </c>
      <c r="AB12" s="36">
        <f ca="1">SUMIF(EFEITO!$B$2:$B$587,$Q$12,EFEITO!$AF$2:$AF$587)</f>
        <v>1551668.5061676309</v>
      </c>
      <c r="AC12" s="36">
        <f>SUMIF(EFEITO!$B$2:$B$587,$Q$12,EFEITO!$AG$2:$AH$587)</f>
        <v>178087.97799666304</v>
      </c>
      <c r="AD12" s="36">
        <f>SUMIF(SUBSIDIO!$B$2:$B$587,$Q$12,SUBSIDIO!$AD$2:$AD$587)</f>
        <v>0</v>
      </c>
      <c r="AE12" s="36">
        <f>SUMIF(SUBSIDIO!$B$2:$B$587,$Q$12,SUBSIDIO!$AE$2:$AE$587)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28</v>
      </c>
      <c r="B13" s="35" t="s">
        <v>39</v>
      </c>
      <c r="C13" s="35" t="s">
        <v>40</v>
      </c>
      <c r="D13" s="35" t="s">
        <v>41</v>
      </c>
      <c r="E13" s="35" t="s">
        <v>25</v>
      </c>
      <c r="F13" s="35" t="s">
        <v>25</v>
      </c>
      <c r="G13" s="35" t="s">
        <v>25</v>
      </c>
      <c r="H13" s="35" t="s">
        <v>35</v>
      </c>
      <c r="I13" s="55">
        <v>44682</v>
      </c>
      <c r="J13" s="56">
        <f>EFEITO!$J$13*EFEITO!$Y$13</f>
        <v>0</v>
      </c>
      <c r="K13" s="56">
        <f ca="1">EFEITO!$L$13*EFEITO!$Z$13</f>
        <v>1051.4375587110728</v>
      </c>
      <c r="L13" s="56">
        <f>EFEITO!$N$13*EFEITO!$AA$13</f>
        <v>896.59914646227742</v>
      </c>
      <c r="M13" s="56">
        <f>$J$13-EFEITO!$K$13*EFEITO!$Y$13</f>
        <v>0</v>
      </c>
      <c r="N13" s="56">
        <f ca="1">$K$13-EFEITO!$M$13*EFEITO!$Z$13</f>
        <v>0</v>
      </c>
      <c r="O13" s="56">
        <f>$L$13-EFEITO!$O$13*EFEITO!$AA$13</f>
        <v>0</v>
      </c>
      <c r="P13" s="39"/>
      <c r="Q13" s="56" t="s">
        <v>477</v>
      </c>
      <c r="R13" s="56">
        <f>SUMIF($B$2:$B$587,$Q$13,$J$2:$J$587)</f>
        <v>0</v>
      </c>
      <c r="S13" s="56">
        <f>SUMIF($B$2:$B$587,$Q$13,$K$2:$K$587)</f>
        <v>0</v>
      </c>
      <c r="T13" s="56">
        <f>SUMIF($B$2:$B$587,$Q$13,$L$2:$L$587)</f>
        <v>0</v>
      </c>
      <c r="U13" s="56">
        <f>SUMIF($B$2:$B$587,$Q$13,$M$2:$M$587)</f>
        <v>0</v>
      </c>
      <c r="V13" s="56">
        <f>SUMIF($B$2:$B$587,$Q$13,$N$2:$N$587)</f>
        <v>0</v>
      </c>
      <c r="W13" s="56">
        <f>SUMIF($B$2:$B$587,$Q$13,$O$2:$O$587)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SUMIF(EFEITO!$B$2:$B$587,$Q$13,EFEITO!$AE$2:$AE$587)</f>
        <v>0</v>
      </c>
      <c r="AB13" s="36">
        <f>SUMIF(EFEITO!$B$2:$B$587,$Q$13,EFEITO!$AF$2:$AF$587)</f>
        <v>0</v>
      </c>
      <c r="AC13" s="36">
        <f>SUMIF(EFEITO!$B$2:$B$587,$Q$13,EFEITO!$AG$2:$AH$587)</f>
        <v>0</v>
      </c>
      <c r="AD13" s="36">
        <f>SUMIF(SUBSIDIO!$B$2:$B$587,$Q$13,SUBSIDIO!$AD$2:$AD$587)</f>
        <v>0</v>
      </c>
      <c r="AE13" s="36">
        <f>SUMIF(SUBSIDIO!$B$2:$B$587,$Q$13,SUBSIDIO!$AE$2:$AE$587)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39</v>
      </c>
      <c r="C14" s="35" t="s">
        <v>40</v>
      </c>
      <c r="D14" s="35" t="s">
        <v>41</v>
      </c>
      <c r="E14" s="35" t="s">
        <v>25</v>
      </c>
      <c r="F14" s="35" t="s">
        <v>25</v>
      </c>
      <c r="G14" s="35" t="s">
        <v>25</v>
      </c>
      <c r="H14" s="35" t="s">
        <v>35</v>
      </c>
      <c r="I14" s="55">
        <v>44713</v>
      </c>
      <c r="J14" s="56">
        <f>EFEITO!$J$14*EFEITO!$Y$14</f>
        <v>0</v>
      </c>
      <c r="K14" s="56">
        <f ca="1">EFEITO!$L$14*EFEITO!$Z$14</f>
        <v>26543.290217909129</v>
      </c>
      <c r="L14" s="56">
        <f>EFEITO!$N$14*EFEITO!$AA$14</f>
        <v>22634.431456730512</v>
      </c>
      <c r="M14" s="56">
        <f>$J$14-EFEITO!$K$14*EFEITO!$Y$14</f>
        <v>0</v>
      </c>
      <c r="N14" s="56">
        <f ca="1">$K$14-EFEITO!$M$14*EFEITO!$Z$14</f>
        <v>0</v>
      </c>
      <c r="O14" s="56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35" t="s">
        <v>28</v>
      </c>
      <c r="B15" s="35" t="s">
        <v>39</v>
      </c>
      <c r="C15" s="35" t="s">
        <v>40</v>
      </c>
      <c r="D15" s="35" t="s">
        <v>41</v>
      </c>
      <c r="E15" s="35" t="s">
        <v>25</v>
      </c>
      <c r="F15" s="35" t="s">
        <v>25</v>
      </c>
      <c r="G15" s="35" t="s">
        <v>25</v>
      </c>
      <c r="H15" s="35" t="s">
        <v>35</v>
      </c>
      <c r="I15" s="55">
        <v>44713</v>
      </c>
      <c r="J15" s="56">
        <f>EFEITO!$J$15*EFEITO!$Y$15</f>
        <v>0</v>
      </c>
      <c r="K15" s="56">
        <f ca="1">EFEITO!$L$15*EFEITO!$Z$15</f>
        <v>1439.4299940792837</v>
      </c>
      <c r="L15" s="56">
        <f>EFEITO!$N$15*EFEITO!$AA$15</f>
        <v>1227.4544440525658</v>
      </c>
      <c r="M15" s="56">
        <f>$J$15-EFEITO!$K$15*EFEITO!$Y$15</f>
        <v>0</v>
      </c>
      <c r="N15" s="56">
        <f ca="1">$K$15-EFEITO!$M$15*EFEITO!$Z$15</f>
        <v>0</v>
      </c>
      <c r="O15" s="56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35" t="s">
        <v>21</v>
      </c>
      <c r="B16" s="35" t="s">
        <v>39</v>
      </c>
      <c r="C16" s="35" t="s">
        <v>40</v>
      </c>
      <c r="D16" s="35" t="s">
        <v>41</v>
      </c>
      <c r="E16" s="35" t="s">
        <v>25</v>
      </c>
      <c r="F16" s="35" t="s">
        <v>25</v>
      </c>
      <c r="G16" s="35" t="s">
        <v>25</v>
      </c>
      <c r="H16" s="35" t="s">
        <v>35</v>
      </c>
      <c r="I16" s="55">
        <v>44743</v>
      </c>
      <c r="J16" s="56">
        <f>EFEITO!$J$16*EFEITO!$Y$16</f>
        <v>0</v>
      </c>
      <c r="K16" s="56">
        <f ca="1">EFEITO!$L$16*EFEITO!$Z$16</f>
        <v>28504.187896093095</v>
      </c>
      <c r="L16" s="56">
        <f>EFEITO!$N$16*EFEITO!$AA$16</f>
        <v>24306.560410079735</v>
      </c>
      <c r="M16" s="56">
        <f>$J$16-EFEITO!$K$16*EFEITO!$Y$16</f>
        <v>0</v>
      </c>
      <c r="N16" s="56">
        <f ca="1">$K$16-EFEITO!$M$16*EFEITO!$Z$16</f>
        <v>0</v>
      </c>
      <c r="O16" s="56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35" t="s">
        <v>28</v>
      </c>
      <c r="B17" s="35" t="s">
        <v>39</v>
      </c>
      <c r="C17" s="35" t="s">
        <v>40</v>
      </c>
      <c r="D17" s="35" t="s">
        <v>41</v>
      </c>
      <c r="E17" s="35" t="s">
        <v>25</v>
      </c>
      <c r="F17" s="35" t="s">
        <v>25</v>
      </c>
      <c r="G17" s="35" t="s">
        <v>25</v>
      </c>
      <c r="H17" s="35" t="s">
        <v>35</v>
      </c>
      <c r="I17" s="55">
        <v>44743</v>
      </c>
      <c r="J17" s="56">
        <f>EFEITO!$J$17*EFEITO!$Y$17</f>
        <v>0</v>
      </c>
      <c r="K17" s="56">
        <f ca="1">EFEITO!$L$17*EFEITO!$Z$17</f>
        <v>1393.9021352636926</v>
      </c>
      <c r="L17" s="56">
        <f>EFEITO!$N$17*EFEITO!$AA$17</f>
        <v>1188.6311786897093</v>
      </c>
      <c r="M17" s="56">
        <f>$J$17-EFEITO!$K$17*EFEITO!$Y$17</f>
        <v>0</v>
      </c>
      <c r="N17" s="56">
        <f ca="1">$K$17-EFEITO!$M$17*EFEITO!$Z$17</f>
        <v>0</v>
      </c>
      <c r="O17" s="56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35" t="s">
        <v>21</v>
      </c>
      <c r="B18" s="35" t="s">
        <v>39</v>
      </c>
      <c r="C18" s="35" t="s">
        <v>40</v>
      </c>
      <c r="D18" s="35" t="s">
        <v>41</v>
      </c>
      <c r="E18" s="35" t="s">
        <v>25</v>
      </c>
      <c r="F18" s="35" t="s">
        <v>25</v>
      </c>
      <c r="G18" s="35" t="s">
        <v>25</v>
      </c>
      <c r="H18" s="35" t="s">
        <v>35</v>
      </c>
      <c r="I18" s="55">
        <v>44774</v>
      </c>
      <c r="J18" s="56">
        <f>EFEITO!$J$18*EFEITO!$Y$18</f>
        <v>0</v>
      </c>
      <c r="K18" s="56">
        <f ca="1">EFEITO!$L$18*EFEITO!$Z$18</f>
        <v>28630.989382392745</v>
      </c>
      <c r="L18" s="56">
        <f>EFEITO!$N$18*EFEITO!$AA$18</f>
        <v>24414.688661200784</v>
      </c>
      <c r="M18" s="56">
        <f>$J$18-EFEITO!$K$18*EFEITO!$Y$18</f>
        <v>0</v>
      </c>
      <c r="N18" s="56">
        <f ca="1">$K$18-EFEITO!$M$18*EFEITO!$Z$18</f>
        <v>0</v>
      </c>
      <c r="O18" s="56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35" t="s">
        <v>28</v>
      </c>
      <c r="B19" s="35" t="s">
        <v>39</v>
      </c>
      <c r="C19" s="35" t="s">
        <v>40</v>
      </c>
      <c r="D19" s="35" t="s">
        <v>41</v>
      </c>
      <c r="E19" s="35" t="s">
        <v>25</v>
      </c>
      <c r="F19" s="35" t="s">
        <v>25</v>
      </c>
      <c r="G19" s="35" t="s">
        <v>25</v>
      </c>
      <c r="H19" s="35" t="s">
        <v>35</v>
      </c>
      <c r="I19" s="55">
        <v>44774</v>
      </c>
      <c r="J19" s="56">
        <f>EFEITO!$J$19*EFEITO!$Y$19</f>
        <v>0</v>
      </c>
      <c r="K19" s="56">
        <f ca="1">EFEITO!$L$19*EFEITO!$Z$19</f>
        <v>1132.9854504048628</v>
      </c>
      <c r="L19" s="56">
        <f>EFEITO!$N$19*EFEITO!$AA$19</f>
        <v>966.13800731301671</v>
      </c>
      <c r="M19" s="56">
        <f>$J$19-EFEITO!$K$19*EFEITO!$Y$19</f>
        <v>0</v>
      </c>
      <c r="N19" s="56">
        <f ca="1">$K$19-EFEITO!$M$19*EFEITO!$Z$19</f>
        <v>0</v>
      </c>
      <c r="O19" s="56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35" t="s">
        <v>21</v>
      </c>
      <c r="B20" s="35" t="s">
        <v>39</v>
      </c>
      <c r="C20" s="35" t="s">
        <v>40</v>
      </c>
      <c r="D20" s="35" t="s">
        <v>41</v>
      </c>
      <c r="E20" s="35" t="s">
        <v>25</v>
      </c>
      <c r="F20" s="35" t="s">
        <v>25</v>
      </c>
      <c r="G20" s="35" t="s">
        <v>25</v>
      </c>
      <c r="H20" s="35" t="s">
        <v>25</v>
      </c>
      <c r="I20" s="55">
        <v>44440</v>
      </c>
      <c r="J20" s="56">
        <f ca="1">EFEITO!$J$20*EFEITO!$Y$20</f>
        <v>57608.240894281167</v>
      </c>
      <c r="K20" s="56">
        <f>EFEITO!$L$20*EFEITO!$Z$20</f>
        <v>0</v>
      </c>
      <c r="L20" s="56">
        <f>EFEITO!$N$20*EFEITO!$AA$20</f>
        <v>0</v>
      </c>
      <c r="M20" s="56">
        <f ca="1">$J$20-EFEITO!$K$20*EFEITO!$Y$20</f>
        <v>0</v>
      </c>
      <c r="N20" s="56">
        <f>$K$20-EFEITO!$M$20*EFEITO!$Z$20</f>
        <v>0</v>
      </c>
      <c r="O20" s="56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35" t="s">
        <v>21</v>
      </c>
      <c r="B21" s="35" t="s">
        <v>39</v>
      </c>
      <c r="C21" s="35" t="s">
        <v>40</v>
      </c>
      <c r="D21" s="35" t="s">
        <v>41</v>
      </c>
      <c r="E21" s="35" t="s">
        <v>25</v>
      </c>
      <c r="F21" s="35" t="s">
        <v>25</v>
      </c>
      <c r="G21" s="35" t="s">
        <v>25</v>
      </c>
      <c r="H21" s="35" t="s">
        <v>25</v>
      </c>
      <c r="I21" s="55">
        <v>44470</v>
      </c>
      <c r="J21" s="56">
        <f ca="1">EFEITO!$J$21*EFEITO!$Y$21</f>
        <v>57331.942376802603</v>
      </c>
      <c r="K21" s="56">
        <f>EFEITO!$L$21*EFEITO!$Z$21</f>
        <v>0</v>
      </c>
      <c r="L21" s="56">
        <f>EFEITO!$N$21*EFEITO!$AA$21</f>
        <v>0</v>
      </c>
      <c r="M21" s="56">
        <f ca="1">$J$21-EFEITO!$K$21*EFEITO!$Y$21</f>
        <v>0</v>
      </c>
      <c r="N21" s="56">
        <f>$K$21-EFEITO!$M$21*EFEITO!$Z$21</f>
        <v>0</v>
      </c>
      <c r="O21" s="56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35" t="s">
        <v>21</v>
      </c>
      <c r="B22" s="35" t="s">
        <v>39</v>
      </c>
      <c r="C22" s="35" t="s">
        <v>40</v>
      </c>
      <c r="D22" s="35" t="s">
        <v>41</v>
      </c>
      <c r="E22" s="35" t="s">
        <v>25</v>
      </c>
      <c r="F22" s="35" t="s">
        <v>25</v>
      </c>
      <c r="G22" s="35" t="s">
        <v>25</v>
      </c>
      <c r="H22" s="35" t="s">
        <v>25</v>
      </c>
      <c r="I22" s="55">
        <v>44501</v>
      </c>
      <c r="J22" s="56">
        <f ca="1">EFEITO!$J$22*EFEITO!$Y$22</f>
        <v>60877.773351110875</v>
      </c>
      <c r="K22" s="56">
        <f>EFEITO!$L$22*EFEITO!$Z$22</f>
        <v>0</v>
      </c>
      <c r="L22" s="56">
        <f>EFEITO!$N$22*EFEITO!$AA$22</f>
        <v>0</v>
      </c>
      <c r="M22" s="56">
        <f ca="1">$J$22-EFEITO!$K$22*EFEITO!$Y$22</f>
        <v>0</v>
      </c>
      <c r="N22" s="56">
        <f>$K$22-EFEITO!$M$22*EFEITO!$Z$22</f>
        <v>0</v>
      </c>
      <c r="O22" s="56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35" t="s">
        <v>21</v>
      </c>
      <c r="B23" s="35" t="s">
        <v>39</v>
      </c>
      <c r="C23" s="35" t="s">
        <v>40</v>
      </c>
      <c r="D23" s="35" t="s">
        <v>41</v>
      </c>
      <c r="E23" s="35" t="s">
        <v>25</v>
      </c>
      <c r="F23" s="35" t="s">
        <v>25</v>
      </c>
      <c r="G23" s="35" t="s">
        <v>25</v>
      </c>
      <c r="H23" s="35" t="s">
        <v>25</v>
      </c>
      <c r="I23" s="55">
        <v>44531</v>
      </c>
      <c r="J23" s="56">
        <f ca="1">EFEITO!$J$23*EFEITO!$Y$23</f>
        <v>64285.45506667986</v>
      </c>
      <c r="K23" s="56">
        <f>EFEITO!$L$23*EFEITO!$Z$23</f>
        <v>0</v>
      </c>
      <c r="L23" s="56">
        <f>EFEITO!$N$23*EFEITO!$AA$23</f>
        <v>0</v>
      </c>
      <c r="M23" s="56">
        <f ca="1">$J$23-EFEITO!$K$23*EFEITO!$Y$23</f>
        <v>0</v>
      </c>
      <c r="N23" s="56">
        <f>$K$23-EFEITO!$M$23*EFEITO!$Z$23</f>
        <v>0</v>
      </c>
      <c r="O23" s="56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35" t="s">
        <v>21</v>
      </c>
      <c r="B24" s="35" t="s">
        <v>39</v>
      </c>
      <c r="C24" s="35" t="s">
        <v>40</v>
      </c>
      <c r="D24" s="35" t="s">
        <v>41</v>
      </c>
      <c r="E24" s="35" t="s">
        <v>25</v>
      </c>
      <c r="F24" s="35" t="s">
        <v>25</v>
      </c>
      <c r="G24" s="35" t="s">
        <v>25</v>
      </c>
      <c r="H24" s="35" t="s">
        <v>25</v>
      </c>
      <c r="I24" s="55">
        <v>44562</v>
      </c>
      <c r="J24" s="56">
        <f ca="1">EFEITO!$J$24*EFEITO!$Y$24</f>
        <v>65206.450124941752</v>
      </c>
      <c r="K24" s="56">
        <f>EFEITO!$L$24*EFEITO!$Z$24</f>
        <v>0</v>
      </c>
      <c r="L24" s="56">
        <f>EFEITO!$N$24*EFEITO!$AA$24</f>
        <v>0</v>
      </c>
      <c r="M24" s="56">
        <f ca="1">$J$24-EFEITO!$K$24*EFEITO!$Y$24</f>
        <v>0</v>
      </c>
      <c r="N24" s="56">
        <f>$K$24-EFEITO!$M$24*EFEITO!$Z$24</f>
        <v>0</v>
      </c>
      <c r="O24" s="56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35" t="s">
        <v>21</v>
      </c>
      <c r="B25" s="35" t="s">
        <v>39</v>
      </c>
      <c r="C25" s="35" t="s">
        <v>40</v>
      </c>
      <c r="D25" s="35" t="s">
        <v>41</v>
      </c>
      <c r="E25" s="35" t="s">
        <v>25</v>
      </c>
      <c r="F25" s="35" t="s">
        <v>25</v>
      </c>
      <c r="G25" s="35" t="s">
        <v>25</v>
      </c>
      <c r="H25" s="35" t="s">
        <v>25</v>
      </c>
      <c r="I25" s="55">
        <v>44593</v>
      </c>
      <c r="J25" s="56">
        <f ca="1">EFEITO!$J$25*EFEITO!$Y$25</f>
        <v>64515.703831245337</v>
      </c>
      <c r="K25" s="56">
        <f>EFEITO!$L$25*EFEITO!$Z$25</f>
        <v>0</v>
      </c>
      <c r="L25" s="56">
        <f>EFEITO!$N$25*EFEITO!$AA$25</f>
        <v>0</v>
      </c>
      <c r="M25" s="56">
        <f ca="1">$J$25-EFEITO!$K$25*EFEITO!$Y$25</f>
        <v>0</v>
      </c>
      <c r="N25" s="56">
        <f>$K$25-EFEITO!$M$25*EFEITO!$Z$25</f>
        <v>0</v>
      </c>
      <c r="O25" s="56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35" t="s">
        <v>21</v>
      </c>
      <c r="B26" s="35" t="s">
        <v>39</v>
      </c>
      <c r="C26" s="35" t="s">
        <v>40</v>
      </c>
      <c r="D26" s="35" t="s">
        <v>41</v>
      </c>
      <c r="E26" s="35" t="s">
        <v>25</v>
      </c>
      <c r="F26" s="35" t="s">
        <v>25</v>
      </c>
      <c r="G26" s="35" t="s">
        <v>25</v>
      </c>
      <c r="H26" s="35" t="s">
        <v>25</v>
      </c>
      <c r="I26" s="55">
        <v>44621</v>
      </c>
      <c r="J26" s="56">
        <f ca="1">EFEITO!$J$26*EFEITO!$Y$26</f>
        <v>62121.116679764425</v>
      </c>
      <c r="K26" s="56">
        <f>EFEITO!$L$26*EFEITO!$Z$26</f>
        <v>0</v>
      </c>
      <c r="L26" s="56">
        <f>EFEITO!$N$26*EFEITO!$AA$26</f>
        <v>0</v>
      </c>
      <c r="M26" s="56">
        <f ca="1">$J$26-EFEITO!$K$26*EFEITO!$Y$26</f>
        <v>0</v>
      </c>
      <c r="N26" s="56">
        <f>$K$26-EFEITO!$M$26*EFEITO!$Z$26</f>
        <v>0</v>
      </c>
      <c r="O26" s="56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35" t="s">
        <v>28</v>
      </c>
      <c r="B27" s="35" t="s">
        <v>39</v>
      </c>
      <c r="C27" s="35" t="s">
        <v>40</v>
      </c>
      <c r="D27" s="35" t="s">
        <v>41</v>
      </c>
      <c r="E27" s="35" t="s">
        <v>25</v>
      </c>
      <c r="F27" s="35" t="s">
        <v>25</v>
      </c>
      <c r="G27" s="35" t="s">
        <v>25</v>
      </c>
      <c r="H27" s="35" t="s">
        <v>25</v>
      </c>
      <c r="I27" s="55">
        <v>44621</v>
      </c>
      <c r="J27" s="56">
        <f ca="1">EFEITO!$J$27*EFEITO!$Y$27</f>
        <v>3315.5822097428008</v>
      </c>
      <c r="K27" s="56">
        <f>EFEITO!$L$27*EFEITO!$Z$27</f>
        <v>0</v>
      </c>
      <c r="L27" s="56">
        <f>EFEITO!$N$27*EFEITO!$AA$27</f>
        <v>0</v>
      </c>
      <c r="M27" s="56">
        <f ca="1">$J$27-EFEITO!$K$27*EFEITO!$Y$27</f>
        <v>0</v>
      </c>
      <c r="N27" s="56">
        <f>$K$27-EFEITO!$M$27*EFEITO!$Z$27</f>
        <v>0</v>
      </c>
      <c r="O27" s="56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35" t="s">
        <v>21</v>
      </c>
      <c r="B28" s="35" t="s">
        <v>39</v>
      </c>
      <c r="C28" s="35" t="s">
        <v>40</v>
      </c>
      <c r="D28" s="35" t="s">
        <v>41</v>
      </c>
      <c r="E28" s="35" t="s">
        <v>25</v>
      </c>
      <c r="F28" s="35" t="s">
        <v>25</v>
      </c>
      <c r="G28" s="35" t="s">
        <v>25</v>
      </c>
      <c r="H28" s="35" t="s">
        <v>25</v>
      </c>
      <c r="I28" s="55">
        <v>44652</v>
      </c>
      <c r="J28" s="56">
        <f ca="1">EFEITO!$J$28*EFEITO!$Y$28</f>
        <v>56917.494600584752</v>
      </c>
      <c r="K28" s="56">
        <f>EFEITO!$L$28*EFEITO!$Z$28</f>
        <v>0</v>
      </c>
      <c r="L28" s="56">
        <f>EFEITO!$N$28*EFEITO!$AA$28</f>
        <v>0</v>
      </c>
      <c r="M28" s="56">
        <f ca="1">$J$28-EFEITO!$K$28*EFEITO!$Y$28</f>
        <v>0</v>
      </c>
      <c r="N28" s="56">
        <f>$K$28-EFEITO!$M$28*EFEITO!$Z$28</f>
        <v>0</v>
      </c>
      <c r="O28" s="56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35" t="s">
        <v>28</v>
      </c>
      <c r="B29" s="35" t="s">
        <v>39</v>
      </c>
      <c r="C29" s="35" t="s">
        <v>40</v>
      </c>
      <c r="D29" s="35" t="s">
        <v>41</v>
      </c>
      <c r="E29" s="35" t="s">
        <v>25</v>
      </c>
      <c r="F29" s="35" t="s">
        <v>25</v>
      </c>
      <c r="G29" s="35" t="s">
        <v>25</v>
      </c>
      <c r="H29" s="35" t="s">
        <v>25</v>
      </c>
      <c r="I29" s="55">
        <v>44652</v>
      </c>
      <c r="J29" s="56">
        <f ca="1">EFEITO!$J$29*EFEITO!$Y$29</f>
        <v>3223.4827039166121</v>
      </c>
      <c r="K29" s="56">
        <f>EFEITO!$L$29*EFEITO!$Z$29</f>
        <v>0</v>
      </c>
      <c r="L29" s="56">
        <f>EFEITO!$N$29*EFEITO!$AA$29</f>
        <v>0</v>
      </c>
      <c r="M29" s="56">
        <f ca="1">$J$29-EFEITO!$K$29*EFEITO!$Y$29</f>
        <v>0</v>
      </c>
      <c r="N29" s="56">
        <f>$K$29-EFEITO!$M$29*EFEITO!$Z$29</f>
        <v>0</v>
      </c>
      <c r="O29" s="56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35" t="s">
        <v>21</v>
      </c>
      <c r="B30" s="35" t="s">
        <v>39</v>
      </c>
      <c r="C30" s="35" t="s">
        <v>40</v>
      </c>
      <c r="D30" s="35" t="s">
        <v>41</v>
      </c>
      <c r="E30" s="35" t="s">
        <v>25</v>
      </c>
      <c r="F30" s="35" t="s">
        <v>25</v>
      </c>
      <c r="G30" s="35" t="s">
        <v>25</v>
      </c>
      <c r="H30" s="35" t="s">
        <v>25</v>
      </c>
      <c r="I30" s="55">
        <v>44682</v>
      </c>
      <c r="J30" s="56">
        <f ca="1">EFEITO!$J$30*EFEITO!$Y$30</f>
        <v>56641.196083106181</v>
      </c>
      <c r="K30" s="56">
        <f>EFEITO!$L$30*EFEITO!$Z$30</f>
        <v>0</v>
      </c>
      <c r="L30" s="56">
        <f>EFEITO!$N$30*EFEITO!$AA$30</f>
        <v>0</v>
      </c>
      <c r="M30" s="56">
        <f ca="1">$J$30-EFEITO!$K$30*EFEITO!$Y$30</f>
        <v>0</v>
      </c>
      <c r="N30" s="56">
        <f>$K$30-EFEITO!$M$30*EFEITO!$Z$30</f>
        <v>0</v>
      </c>
      <c r="O30" s="56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35" t="s">
        <v>28</v>
      </c>
      <c r="B31" s="35" t="s">
        <v>39</v>
      </c>
      <c r="C31" s="35" t="s">
        <v>40</v>
      </c>
      <c r="D31" s="35" t="s">
        <v>41</v>
      </c>
      <c r="E31" s="35" t="s">
        <v>25</v>
      </c>
      <c r="F31" s="35" t="s">
        <v>25</v>
      </c>
      <c r="G31" s="35" t="s">
        <v>25</v>
      </c>
      <c r="H31" s="35" t="s">
        <v>25</v>
      </c>
      <c r="I31" s="55">
        <v>44682</v>
      </c>
      <c r="J31" s="56">
        <f ca="1">EFEITO!$J$31*EFEITO!$Y$31</f>
        <v>3591.8807272213676</v>
      </c>
      <c r="K31" s="56">
        <f>EFEITO!$L$31*EFEITO!$Z$31</f>
        <v>0</v>
      </c>
      <c r="L31" s="56">
        <f>EFEITO!$N$31*EFEITO!$AA$31</f>
        <v>0</v>
      </c>
      <c r="M31" s="56">
        <f ca="1">$J$31-EFEITO!$K$31*EFEITO!$Y$31</f>
        <v>0</v>
      </c>
      <c r="N31" s="56">
        <f>$K$31-EFEITO!$M$31*EFEITO!$Z$31</f>
        <v>0</v>
      </c>
      <c r="O31" s="56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35" t="s">
        <v>21</v>
      </c>
      <c r="B32" s="35" t="s">
        <v>39</v>
      </c>
      <c r="C32" s="35" t="s">
        <v>40</v>
      </c>
      <c r="D32" s="35" t="s">
        <v>41</v>
      </c>
      <c r="E32" s="35" t="s">
        <v>25</v>
      </c>
      <c r="F32" s="35" t="s">
        <v>25</v>
      </c>
      <c r="G32" s="35" t="s">
        <v>25</v>
      </c>
      <c r="H32" s="35" t="s">
        <v>25</v>
      </c>
      <c r="I32" s="55">
        <v>44713</v>
      </c>
      <c r="J32" s="56">
        <f ca="1">EFEITO!$J$32*EFEITO!$Y$32</f>
        <v>56595.146330193093</v>
      </c>
      <c r="K32" s="56">
        <f>EFEITO!$L$32*EFEITO!$Z$32</f>
        <v>0</v>
      </c>
      <c r="L32" s="56">
        <f>EFEITO!$N$32*EFEITO!$AA$32</f>
        <v>0</v>
      </c>
      <c r="M32" s="56">
        <f ca="1">$J$32-EFEITO!$K$32*EFEITO!$Y$32</f>
        <v>0</v>
      </c>
      <c r="N32" s="56">
        <f>$K$32-EFEITO!$M$32*EFEITO!$Z$32</f>
        <v>0</v>
      </c>
      <c r="O32" s="56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35" t="s">
        <v>28</v>
      </c>
      <c r="B33" s="35" t="s">
        <v>39</v>
      </c>
      <c r="C33" s="35" t="s">
        <v>40</v>
      </c>
      <c r="D33" s="35" t="s">
        <v>41</v>
      </c>
      <c r="E33" s="35" t="s">
        <v>25</v>
      </c>
      <c r="F33" s="35" t="s">
        <v>25</v>
      </c>
      <c r="G33" s="35" t="s">
        <v>25</v>
      </c>
      <c r="H33" s="35" t="s">
        <v>25</v>
      </c>
      <c r="I33" s="55">
        <v>44713</v>
      </c>
      <c r="J33" s="56">
        <f ca="1">EFEITO!$J$33*EFEITO!$Y$33</f>
        <v>3407.6817155689901</v>
      </c>
      <c r="K33" s="56">
        <f>EFEITO!$L$33*EFEITO!$Z$33</f>
        <v>0</v>
      </c>
      <c r="L33" s="56">
        <f>EFEITO!$N$33*EFEITO!$AA$33</f>
        <v>0</v>
      </c>
      <c r="M33" s="56">
        <f ca="1">$J$33-EFEITO!$K$33*EFEITO!$Y$33</f>
        <v>0</v>
      </c>
      <c r="N33" s="56">
        <f>$K$33-EFEITO!$M$33*EFEITO!$Z$33</f>
        <v>0</v>
      </c>
      <c r="O33" s="56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35" t="s">
        <v>21</v>
      </c>
      <c r="B34" s="35" t="s">
        <v>39</v>
      </c>
      <c r="C34" s="35" t="s">
        <v>40</v>
      </c>
      <c r="D34" s="35" t="s">
        <v>41</v>
      </c>
      <c r="E34" s="35" t="s">
        <v>25</v>
      </c>
      <c r="F34" s="35" t="s">
        <v>25</v>
      </c>
      <c r="G34" s="35" t="s">
        <v>25</v>
      </c>
      <c r="H34" s="35" t="s">
        <v>25</v>
      </c>
      <c r="I34" s="55">
        <v>44743</v>
      </c>
      <c r="J34" s="56">
        <f ca="1">EFEITO!$J$34*EFEITO!$Y$34</f>
        <v>56733.295588932371</v>
      </c>
      <c r="K34" s="56">
        <f>EFEITO!$L$34*EFEITO!$Z$34</f>
        <v>0</v>
      </c>
      <c r="L34" s="56">
        <f>EFEITO!$N$34*EFEITO!$AA$34</f>
        <v>0</v>
      </c>
      <c r="M34" s="56">
        <f ca="1">$J$34-EFEITO!$K$34*EFEITO!$Y$34</f>
        <v>0</v>
      </c>
      <c r="N34" s="56">
        <f>$K$34-EFEITO!$M$34*EFEITO!$Z$34</f>
        <v>0</v>
      </c>
      <c r="O34" s="56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35" t="s">
        <v>28</v>
      </c>
      <c r="B35" s="35" t="s">
        <v>39</v>
      </c>
      <c r="C35" s="35" t="s">
        <v>40</v>
      </c>
      <c r="D35" s="35" t="s">
        <v>41</v>
      </c>
      <c r="E35" s="35" t="s">
        <v>25</v>
      </c>
      <c r="F35" s="35" t="s">
        <v>25</v>
      </c>
      <c r="G35" s="35" t="s">
        <v>25</v>
      </c>
      <c r="H35" s="35" t="s">
        <v>25</v>
      </c>
      <c r="I35" s="55">
        <v>44743</v>
      </c>
      <c r="J35" s="56">
        <f ca="1">EFEITO!$J$35*EFEITO!$Y$35</f>
        <v>4190.5275150915959</v>
      </c>
      <c r="K35" s="56">
        <f>EFEITO!$L$35*EFEITO!$Z$35</f>
        <v>0</v>
      </c>
      <c r="L35" s="56">
        <f>EFEITO!$N$35*EFEITO!$AA$35</f>
        <v>0</v>
      </c>
      <c r="M35" s="56">
        <f ca="1">$J$35-EFEITO!$K$35*EFEITO!$Y$35</f>
        <v>0</v>
      </c>
      <c r="N35" s="56">
        <f>$K$35-EFEITO!$M$35*EFEITO!$Z$35</f>
        <v>0</v>
      </c>
      <c r="O35" s="56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35" t="s">
        <v>21</v>
      </c>
      <c r="B36" s="35" t="s">
        <v>39</v>
      </c>
      <c r="C36" s="35" t="s">
        <v>40</v>
      </c>
      <c r="D36" s="35" t="s">
        <v>41</v>
      </c>
      <c r="E36" s="35" t="s">
        <v>25</v>
      </c>
      <c r="F36" s="35" t="s">
        <v>25</v>
      </c>
      <c r="G36" s="35" t="s">
        <v>25</v>
      </c>
      <c r="H36" s="35" t="s">
        <v>25</v>
      </c>
      <c r="I36" s="55">
        <v>44774</v>
      </c>
      <c r="J36" s="56">
        <f ca="1">EFEITO!$J$36*EFEITO!$Y$36</f>
        <v>56549.096577279997</v>
      </c>
      <c r="K36" s="56">
        <f>EFEITO!$L$36*EFEITO!$Z$36</f>
        <v>0</v>
      </c>
      <c r="L36" s="56">
        <f>EFEITO!$N$36*EFEITO!$AA$36</f>
        <v>0</v>
      </c>
      <c r="M36" s="56">
        <f ca="1">$J$36-EFEITO!$K$36*EFEITO!$Y$36</f>
        <v>0</v>
      </c>
      <c r="N36" s="56">
        <f>$K$36-EFEITO!$M$36*EFEITO!$Z$36</f>
        <v>0</v>
      </c>
      <c r="O36" s="56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35" t="s">
        <v>28</v>
      </c>
      <c r="B37" s="35" t="s">
        <v>39</v>
      </c>
      <c r="C37" s="35" t="s">
        <v>40</v>
      </c>
      <c r="D37" s="35" t="s">
        <v>41</v>
      </c>
      <c r="E37" s="35" t="s">
        <v>25</v>
      </c>
      <c r="F37" s="35" t="s">
        <v>25</v>
      </c>
      <c r="G37" s="35" t="s">
        <v>25</v>
      </c>
      <c r="H37" s="35" t="s">
        <v>25</v>
      </c>
      <c r="I37" s="55">
        <v>44774</v>
      </c>
      <c r="J37" s="56">
        <f ca="1">EFEITO!$J$37*EFEITO!$Y$37</f>
        <v>3453.7314684820844</v>
      </c>
      <c r="K37" s="56">
        <f>EFEITO!$L$37*EFEITO!$Z$37</f>
        <v>0</v>
      </c>
      <c r="L37" s="56">
        <f>EFEITO!$N$37*EFEITO!$AA$37</f>
        <v>0</v>
      </c>
      <c r="M37" s="56">
        <f ca="1">$J$37-EFEITO!$K$37*EFEITO!$Y$37</f>
        <v>0</v>
      </c>
      <c r="N37" s="56">
        <f>$K$37-EFEITO!$M$37*EFEITO!$Z$37</f>
        <v>0</v>
      </c>
      <c r="O37" s="56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35" t="s">
        <v>21</v>
      </c>
      <c r="B38" s="35" t="s">
        <v>39</v>
      </c>
      <c r="C38" s="35" t="s">
        <v>40</v>
      </c>
      <c r="D38" s="35" t="s">
        <v>41</v>
      </c>
      <c r="E38" s="35" t="s">
        <v>25</v>
      </c>
      <c r="F38" s="35" t="s">
        <v>25</v>
      </c>
      <c r="G38" s="35" t="s">
        <v>25</v>
      </c>
      <c r="H38" s="35" t="s">
        <v>34</v>
      </c>
      <c r="I38" s="55">
        <v>44440</v>
      </c>
      <c r="J38" s="56">
        <f>EFEITO!$J$38*EFEITO!$Y$38</f>
        <v>0</v>
      </c>
      <c r="K38" s="56">
        <f ca="1">EFEITO!$L$38*EFEITO!$Z$38</f>
        <v>26754.434236010089</v>
      </c>
      <c r="L38" s="56">
        <f>EFEITO!$N$38*EFEITO!$AA$38</f>
        <v>579.69839606064647</v>
      </c>
      <c r="M38" s="56">
        <f>$J$38-EFEITO!$K$38*EFEITO!$Y$38</f>
        <v>0</v>
      </c>
      <c r="N38" s="56">
        <f ca="1">$K$38-EFEITO!$M$38*EFEITO!$Z$38</f>
        <v>0</v>
      </c>
      <c r="O38" s="56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35" t="s">
        <v>21</v>
      </c>
      <c r="B39" s="35" t="s">
        <v>39</v>
      </c>
      <c r="C39" s="35" t="s">
        <v>40</v>
      </c>
      <c r="D39" s="35" t="s">
        <v>41</v>
      </c>
      <c r="E39" s="35" t="s">
        <v>25</v>
      </c>
      <c r="F39" s="35" t="s">
        <v>25</v>
      </c>
      <c r="G39" s="35" t="s">
        <v>25</v>
      </c>
      <c r="H39" s="35" t="s">
        <v>34</v>
      </c>
      <c r="I39" s="55">
        <v>44470</v>
      </c>
      <c r="J39" s="56">
        <f>EFEITO!$J$39*EFEITO!$Y$39</f>
        <v>0</v>
      </c>
      <c r="K39" s="56">
        <f ca="1">EFEITO!$L$39*EFEITO!$Z$39</f>
        <v>27538.789623779077</v>
      </c>
      <c r="L39" s="56">
        <f>EFEITO!$N$39*EFEITO!$AA$39</f>
        <v>596.69331945241913</v>
      </c>
      <c r="M39" s="56">
        <f>$J$39-EFEITO!$K$39*EFEITO!$Y$39</f>
        <v>0</v>
      </c>
      <c r="N39" s="56">
        <f ca="1">$K$39-EFEITO!$M$39*EFEITO!$Z$39</f>
        <v>0</v>
      </c>
      <c r="O39" s="56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35" t="s">
        <v>21</v>
      </c>
      <c r="B40" s="35" t="s">
        <v>39</v>
      </c>
      <c r="C40" s="35" t="s">
        <v>40</v>
      </c>
      <c r="D40" s="35" t="s">
        <v>41</v>
      </c>
      <c r="E40" s="35" t="s">
        <v>25</v>
      </c>
      <c r="F40" s="35" t="s">
        <v>25</v>
      </c>
      <c r="G40" s="35" t="s">
        <v>25</v>
      </c>
      <c r="H40" s="35" t="s">
        <v>34</v>
      </c>
      <c r="I40" s="55">
        <v>44501</v>
      </c>
      <c r="J40" s="56">
        <f>EFEITO!$J$40*EFEITO!$Y$40</f>
        <v>0</v>
      </c>
      <c r="K40" s="56">
        <f ca="1">EFEITO!$L$40*EFEITO!$Z$40</f>
        <v>40714.52095410035</v>
      </c>
      <c r="L40" s="56">
        <f>EFEITO!$N$40*EFEITO!$AA$40</f>
        <v>882.17684908852561</v>
      </c>
      <c r="M40" s="56">
        <f>$J$40-EFEITO!$K$40*EFEITO!$Y$40</f>
        <v>0</v>
      </c>
      <c r="N40" s="56">
        <f ca="1">$K$40-EFEITO!$M$40*EFEITO!$Z$40</f>
        <v>0</v>
      </c>
      <c r="O40" s="56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35" t="s">
        <v>21</v>
      </c>
      <c r="B41" s="35" t="s">
        <v>39</v>
      </c>
      <c r="C41" s="35" t="s">
        <v>40</v>
      </c>
      <c r="D41" s="35" t="s">
        <v>41</v>
      </c>
      <c r="E41" s="35" t="s">
        <v>25</v>
      </c>
      <c r="F41" s="35" t="s">
        <v>25</v>
      </c>
      <c r="G41" s="35" t="s">
        <v>25</v>
      </c>
      <c r="H41" s="35" t="s">
        <v>34</v>
      </c>
      <c r="I41" s="55">
        <v>44531</v>
      </c>
      <c r="J41" s="56">
        <f>EFEITO!$J$41*EFEITO!$Y$41</f>
        <v>0</v>
      </c>
      <c r="K41" s="56">
        <f ca="1">EFEITO!$L$41*EFEITO!$Z$41</f>
        <v>51321.308491453456</v>
      </c>
      <c r="L41" s="56">
        <f>EFEITO!$N$41*EFEITO!$AA$41</f>
        <v>1111.9981066983676</v>
      </c>
      <c r="M41" s="56">
        <f>$J$41-EFEITO!$K$41*EFEITO!$Y$41</f>
        <v>0</v>
      </c>
      <c r="N41" s="56">
        <f ca="1">$K$41-EFEITO!$M$41*EFEITO!$Z$41</f>
        <v>0</v>
      </c>
      <c r="O41" s="56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35" t="s">
        <v>21</v>
      </c>
      <c r="B42" s="35" t="s">
        <v>39</v>
      </c>
      <c r="C42" s="35" t="s">
        <v>40</v>
      </c>
      <c r="D42" s="35" t="s">
        <v>41</v>
      </c>
      <c r="E42" s="35" t="s">
        <v>25</v>
      </c>
      <c r="F42" s="35" t="s">
        <v>25</v>
      </c>
      <c r="G42" s="35" t="s">
        <v>25</v>
      </c>
      <c r="H42" s="35" t="s">
        <v>34</v>
      </c>
      <c r="I42" s="55">
        <v>44562</v>
      </c>
      <c r="J42" s="56">
        <f>EFEITO!$J$42*EFEITO!$Y$42</f>
        <v>0</v>
      </c>
      <c r="K42" s="56">
        <f ca="1">EFEITO!$L$42*EFEITO!$Z$42</f>
        <v>39645.926687277461</v>
      </c>
      <c r="L42" s="56">
        <f>EFEITO!$N$42*EFEITO!$AA$42</f>
        <v>859.02321492633996</v>
      </c>
      <c r="M42" s="56">
        <f>$J$42-EFEITO!$K$42*EFEITO!$Y$42</f>
        <v>0</v>
      </c>
      <c r="N42" s="56">
        <f ca="1">$K$42-EFEITO!$M$42*EFEITO!$Z$42</f>
        <v>0</v>
      </c>
      <c r="O42" s="56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35" t="s">
        <v>21</v>
      </c>
      <c r="B43" s="35" t="s">
        <v>39</v>
      </c>
      <c r="C43" s="35" t="s">
        <v>40</v>
      </c>
      <c r="D43" s="35" t="s">
        <v>41</v>
      </c>
      <c r="E43" s="35" t="s">
        <v>25</v>
      </c>
      <c r="F43" s="35" t="s">
        <v>25</v>
      </c>
      <c r="G43" s="35" t="s">
        <v>25</v>
      </c>
      <c r="H43" s="35" t="s">
        <v>34</v>
      </c>
      <c r="I43" s="55">
        <v>44593</v>
      </c>
      <c r="J43" s="56">
        <f>EFEITO!$J$43*EFEITO!$Y$43</f>
        <v>0</v>
      </c>
      <c r="K43" s="56">
        <f ca="1">EFEITO!$L$43*EFEITO!$Z$43</f>
        <v>35713.35586694946</v>
      </c>
      <c r="L43" s="56">
        <f>EFEITO!$N$43*EFEITO!$AA$43</f>
        <v>773.81472287492966</v>
      </c>
      <c r="M43" s="56">
        <f>$J$43-EFEITO!$K$43*EFEITO!$Y$43</f>
        <v>0</v>
      </c>
      <c r="N43" s="56">
        <f ca="1">$K$43-EFEITO!$M$43*EFEITO!$Z$43</f>
        <v>0</v>
      </c>
      <c r="O43" s="56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35" t="s">
        <v>21</v>
      </c>
      <c r="B44" s="35" t="s">
        <v>39</v>
      </c>
      <c r="C44" s="35" t="s">
        <v>40</v>
      </c>
      <c r="D44" s="35" t="s">
        <v>41</v>
      </c>
      <c r="E44" s="35" t="s">
        <v>25</v>
      </c>
      <c r="F44" s="35" t="s">
        <v>25</v>
      </c>
      <c r="G44" s="35" t="s">
        <v>25</v>
      </c>
      <c r="H44" s="35" t="s">
        <v>34</v>
      </c>
      <c r="I44" s="55">
        <v>44621</v>
      </c>
      <c r="J44" s="56">
        <f>EFEITO!$J$44*EFEITO!$Y$44</f>
        <v>0</v>
      </c>
      <c r="K44" s="56">
        <f ca="1">EFEITO!$L$44*EFEITO!$Z$44</f>
        <v>24466.131361601481</v>
      </c>
      <c r="L44" s="56">
        <f>EFEITO!$N$44*EFEITO!$AA$44</f>
        <v>530.11687644061271</v>
      </c>
      <c r="M44" s="56">
        <f>$J$44-EFEITO!$K$44*EFEITO!$Y$44</f>
        <v>0</v>
      </c>
      <c r="N44" s="56">
        <f ca="1">$K$44-EFEITO!$M$44*EFEITO!$Z$44</f>
        <v>0</v>
      </c>
      <c r="O44" s="56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35" t="s">
        <v>28</v>
      </c>
      <c r="B45" s="35" t="s">
        <v>39</v>
      </c>
      <c r="C45" s="35" t="s">
        <v>40</v>
      </c>
      <c r="D45" s="35" t="s">
        <v>41</v>
      </c>
      <c r="E45" s="35" t="s">
        <v>25</v>
      </c>
      <c r="F45" s="35" t="s">
        <v>25</v>
      </c>
      <c r="G45" s="35" t="s">
        <v>25</v>
      </c>
      <c r="H45" s="35" t="s">
        <v>34</v>
      </c>
      <c r="I45" s="55">
        <v>44621</v>
      </c>
      <c r="J45" s="56">
        <f>EFEITO!$J$45*EFEITO!$Y$45</f>
        <v>0</v>
      </c>
      <c r="K45" s="56">
        <f ca="1">EFEITO!$L$45*EFEITO!$Z$45</f>
        <v>9120.8298531852579</v>
      </c>
      <c r="L45" s="56">
        <f>EFEITO!$N$45*EFEITO!$AA$45</f>
        <v>197.62445320249313</v>
      </c>
      <c r="M45" s="56">
        <f>$J$45-EFEITO!$K$45*EFEITO!$Y$45</f>
        <v>0</v>
      </c>
      <c r="N45" s="56">
        <f ca="1">$K$45-EFEITO!$M$45*EFEITO!$Z$45</f>
        <v>0</v>
      </c>
      <c r="O45" s="56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35" t="s">
        <v>21</v>
      </c>
      <c r="B46" s="35" t="s">
        <v>39</v>
      </c>
      <c r="C46" s="35" t="s">
        <v>40</v>
      </c>
      <c r="D46" s="35" t="s">
        <v>41</v>
      </c>
      <c r="E46" s="35" t="s">
        <v>25</v>
      </c>
      <c r="F46" s="35" t="s">
        <v>25</v>
      </c>
      <c r="G46" s="35" t="s">
        <v>25</v>
      </c>
      <c r="H46" s="35" t="s">
        <v>34</v>
      </c>
      <c r="I46" s="55">
        <v>44652</v>
      </c>
      <c r="J46" s="56">
        <f>EFEITO!$J$46*EFEITO!$Y$46</f>
        <v>0</v>
      </c>
      <c r="K46" s="56">
        <f ca="1">EFEITO!$L$46*EFEITO!$Z$46</f>
        <v>36004.790666992063</v>
      </c>
      <c r="L46" s="56">
        <f>EFEITO!$N$46*EFEITO!$AA$46</f>
        <v>780.12935037370755</v>
      </c>
      <c r="M46" s="56">
        <f>$J$46-EFEITO!$K$46*EFEITO!$Y$46</f>
        <v>0</v>
      </c>
      <c r="N46" s="56">
        <f ca="1">$K$46-EFEITO!$M$46*EFEITO!$Z$46</f>
        <v>0</v>
      </c>
      <c r="O46" s="56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35" t="s">
        <v>28</v>
      </c>
      <c r="B47" s="35" t="s">
        <v>39</v>
      </c>
      <c r="C47" s="35" t="s">
        <v>40</v>
      </c>
      <c r="D47" s="35" t="s">
        <v>41</v>
      </c>
      <c r="E47" s="35" t="s">
        <v>25</v>
      </c>
      <c r="F47" s="35" t="s">
        <v>25</v>
      </c>
      <c r="G47" s="35" t="s">
        <v>25</v>
      </c>
      <c r="H47" s="35" t="s">
        <v>34</v>
      </c>
      <c r="I47" s="55">
        <v>44652</v>
      </c>
      <c r="J47" s="56">
        <f>EFEITO!$J$47*EFEITO!$Y$47</f>
        <v>0</v>
      </c>
      <c r="K47" s="56">
        <f ca="1">EFEITO!$L$47*EFEITO!$Z$47</f>
        <v>9376.2850482843314</v>
      </c>
      <c r="L47" s="56">
        <f>EFEITO!$N$47*EFEITO!$AA$47</f>
        <v>203.15949705944658</v>
      </c>
      <c r="M47" s="56">
        <f>$J$47-EFEITO!$K$47*EFEITO!$Y$47</f>
        <v>0</v>
      </c>
      <c r="N47" s="56">
        <f ca="1">$K$47-EFEITO!$M$47*EFEITO!$Z$47</f>
        <v>0</v>
      </c>
      <c r="O47" s="56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35" t="s">
        <v>21</v>
      </c>
      <c r="B48" s="35" t="s">
        <v>39</v>
      </c>
      <c r="C48" s="35" t="s">
        <v>40</v>
      </c>
      <c r="D48" s="35" t="s">
        <v>41</v>
      </c>
      <c r="E48" s="35" t="s">
        <v>25</v>
      </c>
      <c r="F48" s="35" t="s">
        <v>25</v>
      </c>
      <c r="G48" s="35" t="s">
        <v>25</v>
      </c>
      <c r="H48" s="35" t="s">
        <v>34</v>
      </c>
      <c r="I48" s="55">
        <v>44682</v>
      </c>
      <c r="J48" s="56">
        <f>EFEITO!$J$48*EFEITO!$Y$48</f>
        <v>0</v>
      </c>
      <c r="K48" s="56">
        <f ca="1">EFEITO!$L$48*EFEITO!$Z$48</f>
        <v>39807.83490952335</v>
      </c>
      <c r="L48" s="56">
        <f>EFEITO!$N$48*EFEITO!$AA$48</f>
        <v>862.53134131454988</v>
      </c>
      <c r="M48" s="56">
        <f>$J$48-EFEITO!$K$48*EFEITO!$Y$48</f>
        <v>0</v>
      </c>
      <c r="N48" s="56">
        <f ca="1">$K$48-EFEITO!$M$48*EFEITO!$Z$48</f>
        <v>0</v>
      </c>
      <c r="O48" s="56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35" t="s">
        <v>28</v>
      </c>
      <c r="B49" s="35" t="s">
        <v>39</v>
      </c>
      <c r="C49" s="35" t="s">
        <v>40</v>
      </c>
      <c r="D49" s="35" t="s">
        <v>41</v>
      </c>
      <c r="E49" s="35" t="s">
        <v>25</v>
      </c>
      <c r="F49" s="35" t="s">
        <v>25</v>
      </c>
      <c r="G49" s="35" t="s">
        <v>25</v>
      </c>
      <c r="H49" s="35" t="s">
        <v>34</v>
      </c>
      <c r="I49" s="55">
        <v>44682</v>
      </c>
      <c r="J49" s="56">
        <f>EFEITO!$J$49*EFEITO!$Y$49</f>
        <v>0</v>
      </c>
      <c r="K49" s="56">
        <f ca="1">EFEITO!$L$49*EFEITO!$Z$49</f>
        <v>11664.587922692941</v>
      </c>
      <c r="L49" s="56">
        <f>EFEITO!$N$49*EFEITO!$AA$49</f>
        <v>252.74101667948037</v>
      </c>
      <c r="M49" s="56">
        <f>$J$49-EFEITO!$K$49*EFEITO!$Y$49</f>
        <v>0</v>
      </c>
      <c r="N49" s="56">
        <f ca="1">$K$49-EFEITO!$M$49*EFEITO!$Z$49</f>
        <v>0</v>
      </c>
      <c r="O49" s="56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35" t="s">
        <v>21</v>
      </c>
      <c r="B50" s="35" t="s">
        <v>39</v>
      </c>
      <c r="C50" s="35" t="s">
        <v>40</v>
      </c>
      <c r="D50" s="35" t="s">
        <v>41</v>
      </c>
      <c r="E50" s="35" t="s">
        <v>25</v>
      </c>
      <c r="F50" s="35" t="s">
        <v>25</v>
      </c>
      <c r="G50" s="35" t="s">
        <v>25</v>
      </c>
      <c r="H50" s="35" t="s">
        <v>34</v>
      </c>
      <c r="I50" s="55">
        <v>44713</v>
      </c>
      <c r="J50" s="56">
        <f>EFEITO!$J$50*EFEITO!$Y$50</f>
        <v>0</v>
      </c>
      <c r="K50" s="56">
        <f ca="1">EFEITO!$L$50*EFEITO!$Z$50</f>
        <v>34338.934958106554</v>
      </c>
      <c r="L50" s="56">
        <f>EFEITO!$N$50*EFEITO!$AA$50</f>
        <v>744.03462775723654</v>
      </c>
      <c r="M50" s="56">
        <f>$J$50-EFEITO!$K$50*EFEITO!$Y$50</f>
        <v>0</v>
      </c>
      <c r="N50" s="56">
        <f ca="1">$K$50-EFEITO!$M$50*EFEITO!$Z$50</f>
        <v>0</v>
      </c>
      <c r="O50" s="56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35" t="s">
        <v>28</v>
      </c>
      <c r="B51" s="35" t="s">
        <v>39</v>
      </c>
      <c r="C51" s="35" t="s">
        <v>40</v>
      </c>
      <c r="D51" s="35" t="s">
        <v>41</v>
      </c>
      <c r="E51" s="35" t="s">
        <v>25</v>
      </c>
      <c r="F51" s="35" t="s">
        <v>25</v>
      </c>
      <c r="G51" s="35" t="s">
        <v>25</v>
      </c>
      <c r="H51" s="35" t="s">
        <v>34</v>
      </c>
      <c r="I51" s="55">
        <v>44713</v>
      </c>
      <c r="J51" s="56">
        <f>EFEITO!$J$51*EFEITO!$Y$51</f>
        <v>0</v>
      </c>
      <c r="K51" s="56">
        <f ca="1">EFEITO!$L$51*EFEITO!$Z$51</f>
        <v>11567.442989345405</v>
      </c>
      <c r="L51" s="56">
        <f>EFEITO!$N$51*EFEITO!$AA$51</f>
        <v>250.63614084655438</v>
      </c>
      <c r="M51" s="56">
        <f>$J$51-EFEITO!$K$51*EFEITO!$Y$51</f>
        <v>0</v>
      </c>
      <c r="N51" s="56">
        <f ca="1">$K$51-EFEITO!$M$51*EFEITO!$Z$51</f>
        <v>0</v>
      </c>
      <c r="O51" s="56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35" t="s">
        <v>21</v>
      </c>
      <c r="B52" s="35" t="s">
        <v>39</v>
      </c>
      <c r="C52" s="35" t="s">
        <v>40</v>
      </c>
      <c r="D52" s="35" t="s">
        <v>41</v>
      </c>
      <c r="E52" s="35" t="s">
        <v>25</v>
      </c>
      <c r="F52" s="35" t="s">
        <v>25</v>
      </c>
      <c r="G52" s="35" t="s">
        <v>25</v>
      </c>
      <c r="H52" s="35" t="s">
        <v>34</v>
      </c>
      <c r="I52" s="55">
        <v>44743</v>
      </c>
      <c r="J52" s="56">
        <f>EFEITO!$J$52*EFEITO!$Y$52</f>
        <v>0</v>
      </c>
      <c r="K52" s="56">
        <f ca="1">EFEITO!$L$52*EFEITO!$Z$52</f>
        <v>30312.817164925367</v>
      </c>
      <c r="L52" s="56">
        <f>EFEITO!$N$52*EFEITO!$AA$52</f>
        <v>656.79921823708275</v>
      </c>
      <c r="M52" s="56">
        <f>$J$52-EFEITO!$K$52*EFEITO!$Y$52</f>
        <v>0</v>
      </c>
      <c r="N52" s="56">
        <f ca="1">$K$52-EFEITO!$M$52*EFEITO!$Z$52</f>
        <v>0</v>
      </c>
      <c r="O52" s="56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35" t="s">
        <v>28</v>
      </c>
      <c r="B53" s="35" t="s">
        <v>39</v>
      </c>
      <c r="C53" s="35" t="s">
        <v>40</v>
      </c>
      <c r="D53" s="35" t="s">
        <v>41</v>
      </c>
      <c r="E53" s="35" t="s">
        <v>25</v>
      </c>
      <c r="F53" s="35" t="s">
        <v>25</v>
      </c>
      <c r="G53" s="35" t="s">
        <v>25</v>
      </c>
      <c r="H53" s="35" t="s">
        <v>34</v>
      </c>
      <c r="I53" s="55">
        <v>44743</v>
      </c>
      <c r="J53" s="56">
        <f>EFEITO!$J$53*EFEITO!$Y$53</f>
        <v>0</v>
      </c>
      <c r="K53" s="56">
        <f ca="1">EFEITO!$L$53*EFEITO!$Z$53</f>
        <v>13197.319093287388</v>
      </c>
      <c r="L53" s="56">
        <f>EFEITO!$N$53*EFEITO!$AA$53</f>
        <v>285.95127982120113</v>
      </c>
      <c r="M53" s="56">
        <f>$J$53-EFEITO!$K$53*EFEITO!$Y$53</f>
        <v>0</v>
      </c>
      <c r="N53" s="56">
        <f ca="1">$K$53-EFEITO!$M$53*EFEITO!$Z$53</f>
        <v>0</v>
      </c>
      <c r="O53" s="56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35" t="s">
        <v>21</v>
      </c>
      <c r="B54" s="35" t="s">
        <v>39</v>
      </c>
      <c r="C54" s="35" t="s">
        <v>40</v>
      </c>
      <c r="D54" s="35" t="s">
        <v>41</v>
      </c>
      <c r="E54" s="35" t="s">
        <v>25</v>
      </c>
      <c r="F54" s="35" t="s">
        <v>25</v>
      </c>
      <c r="G54" s="35" t="s">
        <v>25</v>
      </c>
      <c r="H54" s="35" t="s">
        <v>34</v>
      </c>
      <c r="I54" s="55">
        <v>44774</v>
      </c>
      <c r="J54" s="56">
        <f>EFEITO!$J$54*EFEITO!$Y$54</f>
        <v>0</v>
      </c>
      <c r="K54" s="56">
        <f ca="1">EFEITO!$L$54*EFEITO!$Z$54</f>
        <v>27578.367189216962</v>
      </c>
      <c r="L54" s="56">
        <f>EFEITO!$N$54*EFEITO!$AA$54</f>
        <v>597.55086145842597</v>
      </c>
      <c r="M54" s="56">
        <f>$J$54-EFEITO!$K$54*EFEITO!$Y$54</f>
        <v>0</v>
      </c>
      <c r="N54" s="56">
        <f ca="1">$K$54-EFEITO!$M$54*EFEITO!$Z$54</f>
        <v>0</v>
      </c>
      <c r="O54" s="56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35" t="s">
        <v>28</v>
      </c>
      <c r="B55" s="35" t="s">
        <v>39</v>
      </c>
      <c r="C55" s="35" t="s">
        <v>40</v>
      </c>
      <c r="D55" s="35" t="s">
        <v>41</v>
      </c>
      <c r="E55" s="35" t="s">
        <v>25</v>
      </c>
      <c r="F55" s="35" t="s">
        <v>25</v>
      </c>
      <c r="G55" s="35" t="s">
        <v>25</v>
      </c>
      <c r="H55" s="35" t="s">
        <v>34</v>
      </c>
      <c r="I55" s="55">
        <v>44774</v>
      </c>
      <c r="J55" s="56">
        <f>EFEITO!$J$55*EFEITO!$Y$55</f>
        <v>0</v>
      </c>
      <c r="K55" s="56">
        <f ca="1">EFEITO!$L$55*EFEITO!$Z$55</f>
        <v>13654.260076070239</v>
      </c>
      <c r="L55" s="56">
        <f>EFEITO!$N$55*EFEITO!$AA$55</f>
        <v>295.85199207237139</v>
      </c>
      <c r="M55" s="56">
        <f>$J$55-EFEITO!$K$55*EFEITO!$Y$55</f>
        <v>0</v>
      </c>
      <c r="N55" s="56">
        <f ca="1">$K$55-EFEITO!$M$55*EFEITO!$Z$55</f>
        <v>0</v>
      </c>
      <c r="O55" s="56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35" t="s">
        <v>21</v>
      </c>
      <c r="B56" s="35" t="s">
        <v>39</v>
      </c>
      <c r="C56" s="35" t="s">
        <v>40</v>
      </c>
      <c r="D56" s="35" t="s">
        <v>38</v>
      </c>
      <c r="E56" s="35" t="s">
        <v>25</v>
      </c>
      <c r="F56" s="35" t="s">
        <v>51</v>
      </c>
      <c r="G56" s="35" t="s">
        <v>25</v>
      </c>
      <c r="H56" s="35" t="s">
        <v>35</v>
      </c>
      <c r="I56" s="55">
        <v>44440</v>
      </c>
      <c r="J56" s="56">
        <f>EFEITO!$J$56*EFEITO!$Y$56</f>
        <v>0</v>
      </c>
      <c r="K56" s="56">
        <f ca="1">EFEITO!$L$56*EFEITO!$Z$56</f>
        <v>10300.449503519398</v>
      </c>
      <c r="L56" s="56">
        <f>EFEITO!$N$56*EFEITO!$AA$56</f>
        <v>0</v>
      </c>
      <c r="M56" s="56">
        <f>$J$56-EFEITO!$K$56*EFEITO!$Y$56</f>
        <v>0</v>
      </c>
      <c r="N56" s="56">
        <f ca="1">$K$56-EFEITO!$M$56*EFEITO!$Z$56</f>
        <v>5150.2247517596988</v>
      </c>
      <c r="O56" s="56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35" t="s">
        <v>27</v>
      </c>
      <c r="B57" s="35" t="s">
        <v>39</v>
      </c>
      <c r="C57" s="35" t="s">
        <v>40</v>
      </c>
      <c r="D57" s="35" t="s">
        <v>38</v>
      </c>
      <c r="E57" s="35" t="s">
        <v>25</v>
      </c>
      <c r="F57" s="35" t="s">
        <v>51</v>
      </c>
      <c r="G57" s="35" t="s">
        <v>25</v>
      </c>
      <c r="H57" s="35" t="s">
        <v>35</v>
      </c>
      <c r="I57" s="55">
        <v>44440</v>
      </c>
      <c r="J57" s="56">
        <f>EFEITO!$J$57*EFEITO!$Y$57</f>
        <v>0</v>
      </c>
      <c r="K57" s="56">
        <f ca="1">EFEITO!$L$57*EFEITO!$Z$57</f>
        <v>10300.449503519398</v>
      </c>
      <c r="L57" s="56">
        <f>EFEITO!$N$57*EFEITO!$AA$57</f>
        <v>0</v>
      </c>
      <c r="M57" s="56">
        <f>$J$57-EFEITO!$K$57*EFEITO!$Y$57</f>
        <v>0</v>
      </c>
      <c r="N57" s="56">
        <f ca="1">$K$57-EFEITO!$M$57*EFEITO!$Z$57</f>
        <v>5150.2247517596988</v>
      </c>
      <c r="O57" s="56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35" t="s">
        <v>21</v>
      </c>
      <c r="B58" s="35" t="s">
        <v>39</v>
      </c>
      <c r="C58" s="35" t="s">
        <v>40</v>
      </c>
      <c r="D58" s="35" t="s">
        <v>38</v>
      </c>
      <c r="E58" s="35" t="s">
        <v>25</v>
      </c>
      <c r="F58" s="35" t="s">
        <v>51</v>
      </c>
      <c r="G58" s="35" t="s">
        <v>25</v>
      </c>
      <c r="H58" s="35" t="s">
        <v>35</v>
      </c>
      <c r="I58" s="55">
        <v>44470</v>
      </c>
      <c r="J58" s="56">
        <f>EFEITO!$J$58*EFEITO!$Y$58</f>
        <v>0</v>
      </c>
      <c r="K58" s="56">
        <f ca="1">EFEITO!$L$58*EFEITO!$Z$58</f>
        <v>12478.015907392022</v>
      </c>
      <c r="L58" s="56">
        <f>EFEITO!$N$58*EFEITO!$AA$58</f>
        <v>0</v>
      </c>
      <c r="M58" s="56">
        <f>$J$58-EFEITO!$K$58*EFEITO!$Y$58</f>
        <v>0</v>
      </c>
      <c r="N58" s="56">
        <f ca="1">$K$58-EFEITO!$M$58*EFEITO!$Z$58</f>
        <v>6239.0079536960111</v>
      </c>
      <c r="O58" s="56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35" t="s">
        <v>27</v>
      </c>
      <c r="B59" s="35" t="s">
        <v>39</v>
      </c>
      <c r="C59" s="35" t="s">
        <v>40</v>
      </c>
      <c r="D59" s="35" t="s">
        <v>38</v>
      </c>
      <c r="E59" s="35" t="s">
        <v>25</v>
      </c>
      <c r="F59" s="35" t="s">
        <v>51</v>
      </c>
      <c r="G59" s="35" t="s">
        <v>25</v>
      </c>
      <c r="H59" s="35" t="s">
        <v>35</v>
      </c>
      <c r="I59" s="55">
        <v>44470</v>
      </c>
      <c r="J59" s="56">
        <f>EFEITO!$J$59*EFEITO!$Y$59</f>
        <v>0</v>
      </c>
      <c r="K59" s="56">
        <f ca="1">EFEITO!$L$59*EFEITO!$Z$59</f>
        <v>12478.015907392022</v>
      </c>
      <c r="L59" s="56">
        <f>EFEITO!$N$59*EFEITO!$AA$59</f>
        <v>0</v>
      </c>
      <c r="M59" s="56">
        <f>$J$59-EFEITO!$K$59*EFEITO!$Y$59</f>
        <v>0</v>
      </c>
      <c r="N59" s="56">
        <f ca="1">$K$59-EFEITO!$M$59*EFEITO!$Z$59</f>
        <v>6239.0079536960111</v>
      </c>
      <c r="O59" s="56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35" t="s">
        <v>21</v>
      </c>
      <c r="B60" s="35" t="s">
        <v>39</v>
      </c>
      <c r="C60" s="35" t="s">
        <v>40</v>
      </c>
      <c r="D60" s="35" t="s">
        <v>38</v>
      </c>
      <c r="E60" s="35" t="s">
        <v>25</v>
      </c>
      <c r="F60" s="35" t="s">
        <v>51</v>
      </c>
      <c r="G60" s="35" t="s">
        <v>25</v>
      </c>
      <c r="H60" s="35" t="s">
        <v>35</v>
      </c>
      <c r="I60" s="55">
        <v>44501</v>
      </c>
      <c r="J60" s="56">
        <f>EFEITO!$J$60*EFEITO!$Y$60</f>
        <v>0</v>
      </c>
      <c r="K60" s="56">
        <f ca="1">EFEITO!$L$60*EFEITO!$Z$60</f>
        <v>11810.548242306415</v>
      </c>
      <c r="L60" s="56">
        <f>EFEITO!$N$60*EFEITO!$AA$60</f>
        <v>0</v>
      </c>
      <c r="M60" s="56">
        <f>$J$60-EFEITO!$K$60*EFEITO!$Y$60</f>
        <v>0</v>
      </c>
      <c r="N60" s="56">
        <f ca="1">$K$60-EFEITO!$M$60*EFEITO!$Z$60</f>
        <v>5905.2741211532075</v>
      </c>
      <c r="O60" s="56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35" t="s">
        <v>27</v>
      </c>
      <c r="B61" s="35" t="s">
        <v>39</v>
      </c>
      <c r="C61" s="35" t="s">
        <v>40</v>
      </c>
      <c r="D61" s="35" t="s">
        <v>38</v>
      </c>
      <c r="E61" s="35" t="s">
        <v>25</v>
      </c>
      <c r="F61" s="35" t="s">
        <v>51</v>
      </c>
      <c r="G61" s="35" t="s">
        <v>25</v>
      </c>
      <c r="H61" s="35" t="s">
        <v>35</v>
      </c>
      <c r="I61" s="55">
        <v>44501</v>
      </c>
      <c r="J61" s="56">
        <f>EFEITO!$J$61*EFEITO!$Y$61</f>
        <v>0</v>
      </c>
      <c r="K61" s="56">
        <f ca="1">EFEITO!$L$61*EFEITO!$Z$61</f>
        <v>11810.548242306415</v>
      </c>
      <c r="L61" s="56">
        <f>EFEITO!$N$61*EFEITO!$AA$61</f>
        <v>0</v>
      </c>
      <c r="M61" s="56">
        <f>$J$61-EFEITO!$K$61*EFEITO!$Y$61</f>
        <v>0</v>
      </c>
      <c r="N61" s="56">
        <f ca="1">$K$61-EFEITO!$M$61*EFEITO!$Z$61</f>
        <v>5905.2741211532075</v>
      </c>
      <c r="O61" s="56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35" t="s">
        <v>21</v>
      </c>
      <c r="B62" s="35" t="s">
        <v>39</v>
      </c>
      <c r="C62" s="35" t="s">
        <v>40</v>
      </c>
      <c r="D62" s="35" t="s">
        <v>38</v>
      </c>
      <c r="E62" s="35" t="s">
        <v>25</v>
      </c>
      <c r="F62" s="35" t="s">
        <v>51</v>
      </c>
      <c r="G62" s="35" t="s">
        <v>25</v>
      </c>
      <c r="H62" s="35" t="s">
        <v>35</v>
      </c>
      <c r="I62" s="55">
        <v>44531</v>
      </c>
      <c r="J62" s="56">
        <f>EFEITO!$J$62*EFEITO!$Y$62</f>
        <v>0</v>
      </c>
      <c r="K62" s="56">
        <f ca="1">EFEITO!$L$62*EFEITO!$Z$62</f>
        <v>12092.67469271789</v>
      </c>
      <c r="L62" s="56">
        <f>EFEITO!$N$62*EFEITO!$AA$62</f>
        <v>0</v>
      </c>
      <c r="M62" s="56">
        <f>$J$62-EFEITO!$K$62*EFEITO!$Y$62</f>
        <v>0</v>
      </c>
      <c r="N62" s="56">
        <f ca="1">$K$62-EFEITO!$M$62*EFEITO!$Z$62</f>
        <v>6046.3373463589451</v>
      </c>
      <c r="O62" s="56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35" t="s">
        <v>27</v>
      </c>
      <c r="B63" s="35" t="s">
        <v>39</v>
      </c>
      <c r="C63" s="35" t="s">
        <v>40</v>
      </c>
      <c r="D63" s="35" t="s">
        <v>38</v>
      </c>
      <c r="E63" s="35" t="s">
        <v>25</v>
      </c>
      <c r="F63" s="35" t="s">
        <v>51</v>
      </c>
      <c r="G63" s="35" t="s">
        <v>25</v>
      </c>
      <c r="H63" s="35" t="s">
        <v>35</v>
      </c>
      <c r="I63" s="55">
        <v>44531</v>
      </c>
      <c r="J63" s="56">
        <f>EFEITO!$J$63*EFEITO!$Y$63</f>
        <v>0</v>
      </c>
      <c r="K63" s="56">
        <f ca="1">EFEITO!$L$63*EFEITO!$Z$63</f>
        <v>12092.67469271789</v>
      </c>
      <c r="L63" s="56">
        <f>EFEITO!$N$63*EFEITO!$AA$63</f>
        <v>0</v>
      </c>
      <c r="M63" s="56">
        <f>$J$63-EFEITO!$K$63*EFEITO!$Y$63</f>
        <v>0</v>
      </c>
      <c r="N63" s="56">
        <f ca="1">$K$63-EFEITO!$M$63*EFEITO!$Z$63</f>
        <v>6046.3373463589451</v>
      </c>
      <c r="O63" s="56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35" t="s">
        <v>21</v>
      </c>
      <c r="B64" s="35" t="s">
        <v>39</v>
      </c>
      <c r="C64" s="35" t="s">
        <v>40</v>
      </c>
      <c r="D64" s="35" t="s">
        <v>38</v>
      </c>
      <c r="E64" s="35" t="s">
        <v>25</v>
      </c>
      <c r="F64" s="35" t="s">
        <v>51</v>
      </c>
      <c r="G64" s="35" t="s">
        <v>25</v>
      </c>
      <c r="H64" s="35" t="s">
        <v>35</v>
      </c>
      <c r="I64" s="55">
        <v>44562</v>
      </c>
      <c r="J64" s="56">
        <f>EFEITO!$J$64*EFEITO!$Y$64</f>
        <v>0</v>
      </c>
      <c r="K64" s="56">
        <f ca="1">EFEITO!$L$64*EFEITO!$Z$64</f>
        <v>13757.549867197273</v>
      </c>
      <c r="L64" s="56">
        <f>EFEITO!$N$64*EFEITO!$AA$64</f>
        <v>0</v>
      </c>
      <c r="M64" s="56">
        <f>$J$64-EFEITO!$K$64*EFEITO!$Y$64</f>
        <v>0</v>
      </c>
      <c r="N64" s="56">
        <f ca="1">$K$64-EFEITO!$M$64*EFEITO!$Z$64</f>
        <v>6878.7749335986364</v>
      </c>
      <c r="O64" s="56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35" t="s">
        <v>27</v>
      </c>
      <c r="B65" s="35" t="s">
        <v>39</v>
      </c>
      <c r="C65" s="35" t="s">
        <v>40</v>
      </c>
      <c r="D65" s="35" t="s">
        <v>38</v>
      </c>
      <c r="E65" s="35" t="s">
        <v>25</v>
      </c>
      <c r="F65" s="35" t="s">
        <v>51</v>
      </c>
      <c r="G65" s="35" t="s">
        <v>25</v>
      </c>
      <c r="H65" s="35" t="s">
        <v>35</v>
      </c>
      <c r="I65" s="55">
        <v>44562</v>
      </c>
      <c r="J65" s="56">
        <f>EFEITO!$J$65*EFEITO!$Y$65</f>
        <v>0</v>
      </c>
      <c r="K65" s="56">
        <f ca="1">EFEITO!$L$65*EFEITO!$Z$65</f>
        <v>13757.549867197273</v>
      </c>
      <c r="L65" s="56">
        <f>EFEITO!$N$65*EFEITO!$AA$65</f>
        <v>0</v>
      </c>
      <c r="M65" s="56">
        <f>$J$65-EFEITO!$K$65*EFEITO!$Y$65</f>
        <v>0</v>
      </c>
      <c r="N65" s="56">
        <f ca="1">$K$65-EFEITO!$M$65*EFEITO!$Z$65</f>
        <v>6878.7749335986364</v>
      </c>
      <c r="O65" s="56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35" t="s">
        <v>21</v>
      </c>
      <c r="B66" s="35" t="s">
        <v>39</v>
      </c>
      <c r="C66" s="35" t="s">
        <v>40</v>
      </c>
      <c r="D66" s="35" t="s">
        <v>38</v>
      </c>
      <c r="E66" s="35" t="s">
        <v>25</v>
      </c>
      <c r="F66" s="35" t="s">
        <v>51</v>
      </c>
      <c r="G66" s="35" t="s">
        <v>25</v>
      </c>
      <c r="H66" s="35" t="s">
        <v>35</v>
      </c>
      <c r="I66" s="55">
        <v>44593</v>
      </c>
      <c r="J66" s="56">
        <f>EFEITO!$J$66*EFEITO!$Y$66</f>
        <v>0</v>
      </c>
      <c r="K66" s="56">
        <f ca="1">EFEITO!$L$66*EFEITO!$Z$66</f>
        <v>9655.3800822286121</v>
      </c>
      <c r="L66" s="56">
        <f>EFEITO!$N$66*EFEITO!$AA$66</f>
        <v>0</v>
      </c>
      <c r="M66" s="56">
        <f>$J$66-EFEITO!$K$66*EFEITO!$Y$66</f>
        <v>0</v>
      </c>
      <c r="N66" s="56">
        <f ca="1">$K$66-EFEITO!$M$66*EFEITO!$Z$66</f>
        <v>4827.690041114306</v>
      </c>
      <c r="O66" s="56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35" t="s">
        <v>27</v>
      </c>
      <c r="B67" s="35" t="s">
        <v>39</v>
      </c>
      <c r="C67" s="35" t="s">
        <v>40</v>
      </c>
      <c r="D67" s="35" t="s">
        <v>38</v>
      </c>
      <c r="E67" s="35" t="s">
        <v>25</v>
      </c>
      <c r="F67" s="35" t="s">
        <v>51</v>
      </c>
      <c r="G67" s="35" t="s">
        <v>25</v>
      </c>
      <c r="H67" s="35" t="s">
        <v>35</v>
      </c>
      <c r="I67" s="55">
        <v>44593</v>
      </c>
      <c r="J67" s="56">
        <f>EFEITO!$J$67*EFEITO!$Y$67</f>
        <v>0</v>
      </c>
      <c r="K67" s="56">
        <f ca="1">EFEITO!$L$67*EFEITO!$Z$67</f>
        <v>9655.3800822286121</v>
      </c>
      <c r="L67" s="56">
        <f>EFEITO!$N$67*EFEITO!$AA$67</f>
        <v>0</v>
      </c>
      <c r="M67" s="56">
        <f>$J$67-EFEITO!$K$67*EFEITO!$Y$67</f>
        <v>0</v>
      </c>
      <c r="N67" s="56">
        <f ca="1">$K$67-EFEITO!$M$67*EFEITO!$Z$67</f>
        <v>4827.690041114306</v>
      </c>
      <c r="O67" s="56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35" t="s">
        <v>21</v>
      </c>
      <c r="B68" s="35" t="s">
        <v>39</v>
      </c>
      <c r="C68" s="35" t="s">
        <v>40</v>
      </c>
      <c r="D68" s="35" t="s">
        <v>38</v>
      </c>
      <c r="E68" s="35" t="s">
        <v>25</v>
      </c>
      <c r="F68" s="35" t="s">
        <v>51</v>
      </c>
      <c r="G68" s="35" t="s">
        <v>25</v>
      </c>
      <c r="H68" s="35" t="s">
        <v>35</v>
      </c>
      <c r="I68" s="55">
        <v>44621</v>
      </c>
      <c r="J68" s="56">
        <f>EFEITO!$J$68*EFEITO!$Y$68</f>
        <v>0</v>
      </c>
      <c r="K68" s="56">
        <f ca="1">EFEITO!$L$68*EFEITO!$Z$68</f>
        <v>12341.158066735514</v>
      </c>
      <c r="L68" s="56">
        <f>EFEITO!$N$68*EFEITO!$AA$68</f>
        <v>0</v>
      </c>
      <c r="M68" s="56">
        <f>$J$68-EFEITO!$K$68*EFEITO!$Y$68</f>
        <v>0</v>
      </c>
      <c r="N68" s="56">
        <f ca="1">$K$68-EFEITO!$M$68*EFEITO!$Z$68</f>
        <v>6170.5790333677569</v>
      </c>
      <c r="O68" s="56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35" t="s">
        <v>27</v>
      </c>
      <c r="B69" s="35" t="s">
        <v>39</v>
      </c>
      <c r="C69" s="35" t="s">
        <v>40</v>
      </c>
      <c r="D69" s="35" t="s">
        <v>38</v>
      </c>
      <c r="E69" s="35" t="s">
        <v>25</v>
      </c>
      <c r="F69" s="35" t="s">
        <v>51</v>
      </c>
      <c r="G69" s="35" t="s">
        <v>25</v>
      </c>
      <c r="H69" s="35" t="s">
        <v>35</v>
      </c>
      <c r="I69" s="55">
        <v>44621</v>
      </c>
      <c r="J69" s="56">
        <f>EFEITO!$J$69*EFEITO!$Y$69</f>
        <v>0</v>
      </c>
      <c r="K69" s="56">
        <f ca="1">EFEITO!$L$69*EFEITO!$Z$69</f>
        <v>12341.158066735514</v>
      </c>
      <c r="L69" s="56">
        <f>EFEITO!$N$69*EFEITO!$AA$69</f>
        <v>0</v>
      </c>
      <c r="M69" s="56">
        <f>$J$69-EFEITO!$K$69*EFEITO!$Y$69</f>
        <v>0</v>
      </c>
      <c r="N69" s="56">
        <f ca="1">$K$69-EFEITO!$M$69*EFEITO!$Z$69</f>
        <v>6170.5790333677569</v>
      </c>
      <c r="O69" s="56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35" t="s">
        <v>21</v>
      </c>
      <c r="B70" s="35" t="s">
        <v>39</v>
      </c>
      <c r="C70" s="35" t="s">
        <v>40</v>
      </c>
      <c r="D70" s="35" t="s">
        <v>38</v>
      </c>
      <c r="E70" s="35" t="s">
        <v>25</v>
      </c>
      <c r="F70" s="35" t="s">
        <v>51</v>
      </c>
      <c r="G70" s="35" t="s">
        <v>25</v>
      </c>
      <c r="H70" s="35" t="s">
        <v>35</v>
      </c>
      <c r="I70" s="55">
        <v>44652</v>
      </c>
      <c r="J70" s="56">
        <f>EFEITO!$J$70*EFEITO!$Y$70</f>
        <v>0</v>
      </c>
      <c r="K70" s="56">
        <f ca="1">EFEITO!$L$70*EFEITO!$Z$70</f>
        <v>11147.651647383018</v>
      </c>
      <c r="L70" s="56">
        <f>EFEITO!$N$70*EFEITO!$AA$70</f>
        <v>0</v>
      </c>
      <c r="M70" s="56">
        <f>$J$70-EFEITO!$K$70*EFEITO!$Y$70</f>
        <v>0</v>
      </c>
      <c r="N70" s="56">
        <f ca="1">$K$70-EFEITO!$M$70*EFEITO!$Z$70</f>
        <v>5573.825823691509</v>
      </c>
      <c r="O70" s="56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35" t="s">
        <v>27</v>
      </c>
      <c r="B71" s="35" t="s">
        <v>39</v>
      </c>
      <c r="C71" s="35" t="s">
        <v>40</v>
      </c>
      <c r="D71" s="35" t="s">
        <v>38</v>
      </c>
      <c r="E71" s="35" t="s">
        <v>25</v>
      </c>
      <c r="F71" s="35" t="s">
        <v>51</v>
      </c>
      <c r="G71" s="35" t="s">
        <v>25</v>
      </c>
      <c r="H71" s="35" t="s">
        <v>35</v>
      </c>
      <c r="I71" s="55">
        <v>44652</v>
      </c>
      <c r="J71" s="56">
        <f>EFEITO!$J$71*EFEITO!$Y$71</f>
        <v>0</v>
      </c>
      <c r="K71" s="56">
        <f ca="1">EFEITO!$L$71*EFEITO!$Z$71</f>
        <v>11147.651647383018</v>
      </c>
      <c r="L71" s="56">
        <f>EFEITO!$N$71*EFEITO!$AA$71</f>
        <v>0</v>
      </c>
      <c r="M71" s="56">
        <f>$J$71-EFEITO!$K$71*EFEITO!$Y$71</f>
        <v>0</v>
      </c>
      <c r="N71" s="56">
        <f ca="1">$K$71-EFEITO!$M$71*EFEITO!$Z$71</f>
        <v>5573.825823691509</v>
      </c>
      <c r="O71" s="56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35" t="s">
        <v>21</v>
      </c>
      <c r="B72" s="35" t="s">
        <v>39</v>
      </c>
      <c r="C72" s="35" t="s">
        <v>40</v>
      </c>
      <c r="D72" s="35" t="s">
        <v>38</v>
      </c>
      <c r="E72" s="35" t="s">
        <v>25</v>
      </c>
      <c r="F72" s="35" t="s">
        <v>51</v>
      </c>
      <c r="G72" s="35" t="s">
        <v>25</v>
      </c>
      <c r="H72" s="35" t="s">
        <v>35</v>
      </c>
      <c r="I72" s="55">
        <v>44682</v>
      </c>
      <c r="J72" s="56">
        <f>EFEITO!$J$72*EFEITO!$Y$72</f>
        <v>0</v>
      </c>
      <c r="K72" s="56">
        <f ca="1">EFEITO!$L$72*EFEITO!$Z$72</f>
        <v>12295.264522306948</v>
      </c>
      <c r="L72" s="56">
        <f>EFEITO!$N$72*EFEITO!$AA$72</f>
        <v>0</v>
      </c>
      <c r="M72" s="56">
        <f>$J$72-EFEITO!$K$72*EFEITO!$Y$72</f>
        <v>0</v>
      </c>
      <c r="N72" s="56">
        <f ca="1">$K$72-EFEITO!$M$72*EFEITO!$Z$72</f>
        <v>6147.6322611534742</v>
      </c>
      <c r="O72" s="56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35" t="s">
        <v>27</v>
      </c>
      <c r="B73" s="35" t="s">
        <v>39</v>
      </c>
      <c r="C73" s="35" t="s">
        <v>40</v>
      </c>
      <c r="D73" s="35" t="s">
        <v>38</v>
      </c>
      <c r="E73" s="35" t="s">
        <v>25</v>
      </c>
      <c r="F73" s="35" t="s">
        <v>51</v>
      </c>
      <c r="G73" s="35" t="s">
        <v>25</v>
      </c>
      <c r="H73" s="35" t="s">
        <v>35</v>
      </c>
      <c r="I73" s="55">
        <v>44682</v>
      </c>
      <c r="J73" s="56">
        <f>EFEITO!$J$73*EFEITO!$Y$73</f>
        <v>0</v>
      </c>
      <c r="K73" s="56">
        <f ca="1">EFEITO!$L$73*EFEITO!$Z$73</f>
        <v>12295.264522306948</v>
      </c>
      <c r="L73" s="56">
        <f>EFEITO!$N$73*EFEITO!$AA$73</f>
        <v>0</v>
      </c>
      <c r="M73" s="56">
        <f>$J$73-EFEITO!$K$73*EFEITO!$Y$73</f>
        <v>0</v>
      </c>
      <c r="N73" s="56">
        <f ca="1">$K$73-EFEITO!$M$73*EFEITO!$Z$73</f>
        <v>6147.6322611534742</v>
      </c>
      <c r="O73" s="56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35" t="s">
        <v>21</v>
      </c>
      <c r="B74" s="35" t="s">
        <v>39</v>
      </c>
      <c r="C74" s="35" t="s">
        <v>40</v>
      </c>
      <c r="D74" s="35" t="s">
        <v>38</v>
      </c>
      <c r="E74" s="35" t="s">
        <v>25</v>
      </c>
      <c r="F74" s="35" t="s">
        <v>51</v>
      </c>
      <c r="G74" s="35" t="s">
        <v>25</v>
      </c>
      <c r="H74" s="35" t="s">
        <v>35</v>
      </c>
      <c r="I74" s="55">
        <v>44713</v>
      </c>
      <c r="J74" s="56">
        <f>EFEITO!$J$74*EFEITO!$Y$74</f>
        <v>0</v>
      </c>
      <c r="K74" s="56">
        <f ca="1">EFEITO!$L$74*EFEITO!$Z$74</f>
        <v>12318.394137327719</v>
      </c>
      <c r="L74" s="56">
        <f>EFEITO!$N$74*EFEITO!$AA$74</f>
        <v>0</v>
      </c>
      <c r="M74" s="56">
        <f>$J$74-EFEITO!$K$74*EFEITO!$Y$74</f>
        <v>0</v>
      </c>
      <c r="N74" s="56">
        <f ca="1">$K$74-EFEITO!$M$74*EFEITO!$Z$74</f>
        <v>6159.1970686638597</v>
      </c>
      <c r="O74" s="56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35" t="s">
        <v>27</v>
      </c>
      <c r="B75" s="35" t="s">
        <v>39</v>
      </c>
      <c r="C75" s="35" t="s">
        <v>40</v>
      </c>
      <c r="D75" s="35" t="s">
        <v>38</v>
      </c>
      <c r="E75" s="35" t="s">
        <v>25</v>
      </c>
      <c r="F75" s="35" t="s">
        <v>51</v>
      </c>
      <c r="G75" s="35" t="s">
        <v>25</v>
      </c>
      <c r="H75" s="35" t="s">
        <v>35</v>
      </c>
      <c r="I75" s="55">
        <v>44713</v>
      </c>
      <c r="J75" s="56">
        <f>EFEITO!$J$75*EFEITO!$Y$75</f>
        <v>0</v>
      </c>
      <c r="K75" s="56">
        <f ca="1">EFEITO!$L$75*EFEITO!$Z$75</f>
        <v>12318.394137327719</v>
      </c>
      <c r="L75" s="56">
        <f>EFEITO!$N$75*EFEITO!$AA$75</f>
        <v>0</v>
      </c>
      <c r="M75" s="56">
        <f>$J$75-EFEITO!$K$75*EFEITO!$Y$75</f>
        <v>0</v>
      </c>
      <c r="N75" s="56">
        <f ca="1">$K$75-EFEITO!$M$75*EFEITO!$Z$75</f>
        <v>6159.1970686638597</v>
      </c>
      <c r="O75" s="56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35" t="s">
        <v>21</v>
      </c>
      <c r="B76" s="35" t="s">
        <v>39</v>
      </c>
      <c r="C76" s="35" t="s">
        <v>40</v>
      </c>
      <c r="D76" s="35" t="s">
        <v>38</v>
      </c>
      <c r="E76" s="35" t="s">
        <v>25</v>
      </c>
      <c r="F76" s="35" t="s">
        <v>51</v>
      </c>
      <c r="G76" s="35" t="s">
        <v>25</v>
      </c>
      <c r="H76" s="35" t="s">
        <v>35</v>
      </c>
      <c r="I76" s="55">
        <v>44743</v>
      </c>
      <c r="J76" s="56">
        <f>EFEITO!$J$76*EFEITO!$Y$76</f>
        <v>0</v>
      </c>
      <c r="K76" s="56">
        <f ca="1">EFEITO!$L$76*EFEITO!$Z$76</f>
        <v>14953.250400227626</v>
      </c>
      <c r="L76" s="56">
        <f>EFEITO!$N$76*EFEITO!$AA$76</f>
        <v>0</v>
      </c>
      <c r="M76" s="56">
        <f>$J$76-EFEITO!$K$76*EFEITO!$Y$76</f>
        <v>0</v>
      </c>
      <c r="N76" s="56">
        <f ca="1">$K$76-EFEITO!$M$76*EFEITO!$Z$76</f>
        <v>7476.6252001138128</v>
      </c>
      <c r="O76" s="56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35" t="s">
        <v>27</v>
      </c>
      <c r="B77" s="35" t="s">
        <v>39</v>
      </c>
      <c r="C77" s="35" t="s">
        <v>40</v>
      </c>
      <c r="D77" s="35" t="s">
        <v>38</v>
      </c>
      <c r="E77" s="35" t="s">
        <v>25</v>
      </c>
      <c r="F77" s="35" t="s">
        <v>51</v>
      </c>
      <c r="G77" s="35" t="s">
        <v>25</v>
      </c>
      <c r="H77" s="35" t="s">
        <v>35</v>
      </c>
      <c r="I77" s="55">
        <v>44743</v>
      </c>
      <c r="J77" s="56">
        <f>EFEITO!$J$77*EFEITO!$Y$77</f>
        <v>0</v>
      </c>
      <c r="K77" s="56">
        <f ca="1">EFEITO!$L$77*EFEITO!$Z$77</f>
        <v>14953.250400227626</v>
      </c>
      <c r="L77" s="56">
        <f>EFEITO!$N$77*EFEITO!$AA$77</f>
        <v>0</v>
      </c>
      <c r="M77" s="56">
        <f>$J$77-EFEITO!$K$77*EFEITO!$Y$77</f>
        <v>0</v>
      </c>
      <c r="N77" s="56">
        <f ca="1">$K$77-EFEITO!$M$77*EFEITO!$Z$77</f>
        <v>7476.6252001138128</v>
      </c>
      <c r="O77" s="56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35" t="s">
        <v>21</v>
      </c>
      <c r="B78" s="35" t="s">
        <v>39</v>
      </c>
      <c r="C78" s="35" t="s">
        <v>40</v>
      </c>
      <c r="D78" s="35" t="s">
        <v>38</v>
      </c>
      <c r="E78" s="35" t="s">
        <v>25</v>
      </c>
      <c r="F78" s="35" t="s">
        <v>51</v>
      </c>
      <c r="G78" s="35" t="s">
        <v>25</v>
      </c>
      <c r="H78" s="35" t="s">
        <v>35</v>
      </c>
      <c r="I78" s="55">
        <v>44774</v>
      </c>
      <c r="J78" s="56">
        <f>EFEITO!$J$78*EFEITO!$Y$78</f>
        <v>0</v>
      </c>
      <c r="K78" s="56">
        <f ca="1">EFEITO!$L$78*EFEITO!$Z$78</f>
        <v>14217.308104112148</v>
      </c>
      <c r="L78" s="56">
        <f>EFEITO!$N$78*EFEITO!$AA$78</f>
        <v>0</v>
      </c>
      <c r="M78" s="56">
        <f>$J$78-EFEITO!$K$78*EFEITO!$Y$78</f>
        <v>0</v>
      </c>
      <c r="N78" s="56">
        <f ca="1">$K$78-EFEITO!$M$78*EFEITO!$Z$78</f>
        <v>6896.8161613048032</v>
      </c>
      <c r="O78" s="56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35" t="s">
        <v>27</v>
      </c>
      <c r="B79" s="35" t="s">
        <v>39</v>
      </c>
      <c r="C79" s="35" t="s">
        <v>40</v>
      </c>
      <c r="D79" s="35" t="s">
        <v>38</v>
      </c>
      <c r="E79" s="35" t="s">
        <v>25</v>
      </c>
      <c r="F79" s="35" t="s">
        <v>51</v>
      </c>
      <c r="G79" s="35" t="s">
        <v>25</v>
      </c>
      <c r="H79" s="35" t="s">
        <v>35</v>
      </c>
      <c r="I79" s="55">
        <v>44774</v>
      </c>
      <c r="J79" s="56">
        <f>EFEITO!$J$79*EFEITO!$Y$79</f>
        <v>0</v>
      </c>
      <c r="K79" s="56">
        <f ca="1">EFEITO!$L$79*EFEITO!$Z$79</f>
        <v>14217.308104112148</v>
      </c>
      <c r="L79" s="56">
        <f>EFEITO!$N$79*EFEITO!$AA$79</f>
        <v>0</v>
      </c>
      <c r="M79" s="56">
        <f>$J$79-EFEITO!$K$79*EFEITO!$Y$79</f>
        <v>0</v>
      </c>
      <c r="N79" s="56">
        <f ca="1">$K$79-EFEITO!$M$79*EFEITO!$Z$79</f>
        <v>6896.8161613048032</v>
      </c>
      <c r="O79" s="56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35" t="s">
        <v>21</v>
      </c>
      <c r="B80" s="35" t="s">
        <v>39</v>
      </c>
      <c r="C80" s="35" t="s">
        <v>40</v>
      </c>
      <c r="D80" s="35" t="s">
        <v>38</v>
      </c>
      <c r="E80" s="35" t="s">
        <v>25</v>
      </c>
      <c r="F80" s="35" t="s">
        <v>51</v>
      </c>
      <c r="G80" s="35" t="s">
        <v>25</v>
      </c>
      <c r="H80" s="35" t="s">
        <v>25</v>
      </c>
      <c r="I80" s="55">
        <v>44440</v>
      </c>
      <c r="J80" s="56">
        <f ca="1">EFEITO!$J$80*EFEITO!$Y$80</f>
        <v>48352.240558749181</v>
      </c>
      <c r="K80" s="56">
        <f>EFEITO!$L$80*EFEITO!$Z$80</f>
        <v>0</v>
      </c>
      <c r="L80" s="56">
        <f>EFEITO!$N$80*EFEITO!$AA$80</f>
        <v>0</v>
      </c>
      <c r="M80" s="56">
        <f ca="1">$J$80-EFEITO!$K$80*EFEITO!$Y$80</f>
        <v>24176.120279374591</v>
      </c>
      <c r="N80" s="56">
        <f>$K$80-EFEITO!$M$80*EFEITO!$Z$80</f>
        <v>0</v>
      </c>
      <c r="O80" s="56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35" t="s">
        <v>27</v>
      </c>
      <c r="B81" s="35" t="s">
        <v>39</v>
      </c>
      <c r="C81" s="35" t="s">
        <v>40</v>
      </c>
      <c r="D81" s="35" t="s">
        <v>38</v>
      </c>
      <c r="E81" s="35" t="s">
        <v>25</v>
      </c>
      <c r="F81" s="35" t="s">
        <v>51</v>
      </c>
      <c r="G81" s="35" t="s">
        <v>25</v>
      </c>
      <c r="H81" s="35" t="s">
        <v>25</v>
      </c>
      <c r="I81" s="55">
        <v>44440</v>
      </c>
      <c r="J81" s="56">
        <f ca="1">EFEITO!$J$81*EFEITO!$Y$81</f>
        <v>48352.240558749181</v>
      </c>
      <c r="K81" s="56">
        <f>EFEITO!$L$81*EFEITO!$Z$81</f>
        <v>0</v>
      </c>
      <c r="L81" s="56">
        <f>EFEITO!$N$81*EFEITO!$AA$81</f>
        <v>0</v>
      </c>
      <c r="M81" s="56">
        <f ca="1">$J$81-EFEITO!$K$81*EFEITO!$Y$81</f>
        <v>24176.120279374591</v>
      </c>
      <c r="N81" s="56">
        <f>$K$81-EFEITO!$M$81*EFEITO!$Z$81</f>
        <v>0</v>
      </c>
      <c r="O81" s="56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35" t="s">
        <v>21</v>
      </c>
      <c r="B82" s="35" t="s">
        <v>39</v>
      </c>
      <c r="C82" s="35" t="s">
        <v>40</v>
      </c>
      <c r="D82" s="35" t="s">
        <v>38</v>
      </c>
      <c r="E82" s="35" t="s">
        <v>25</v>
      </c>
      <c r="F82" s="35" t="s">
        <v>51</v>
      </c>
      <c r="G82" s="35" t="s">
        <v>25</v>
      </c>
      <c r="H82" s="35" t="s">
        <v>25</v>
      </c>
      <c r="I82" s="55">
        <v>44470</v>
      </c>
      <c r="J82" s="56">
        <f ca="1">EFEITO!$J$82*EFEITO!$Y$82</f>
        <v>48352.240558749181</v>
      </c>
      <c r="K82" s="56">
        <f>EFEITO!$L$82*EFEITO!$Z$82</f>
        <v>0</v>
      </c>
      <c r="L82" s="56">
        <f>EFEITO!$N$82*EFEITO!$AA$82</f>
        <v>0</v>
      </c>
      <c r="M82" s="56">
        <f ca="1">$J$82-EFEITO!$K$82*EFEITO!$Y$82</f>
        <v>24176.120279374591</v>
      </c>
      <c r="N82" s="56">
        <f>$K$82-EFEITO!$M$82*EFEITO!$Z$82</f>
        <v>0</v>
      </c>
      <c r="O82" s="56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35" t="s">
        <v>27</v>
      </c>
      <c r="B83" s="35" t="s">
        <v>39</v>
      </c>
      <c r="C83" s="35" t="s">
        <v>40</v>
      </c>
      <c r="D83" s="35" t="s">
        <v>38</v>
      </c>
      <c r="E83" s="35" t="s">
        <v>25</v>
      </c>
      <c r="F83" s="35" t="s">
        <v>51</v>
      </c>
      <c r="G83" s="35" t="s">
        <v>25</v>
      </c>
      <c r="H83" s="35" t="s">
        <v>25</v>
      </c>
      <c r="I83" s="55">
        <v>44470</v>
      </c>
      <c r="J83" s="56">
        <f ca="1">EFEITO!$J$83*EFEITO!$Y$83</f>
        <v>48352.240558749181</v>
      </c>
      <c r="K83" s="56">
        <f>EFEITO!$L$83*EFEITO!$Z$83</f>
        <v>0</v>
      </c>
      <c r="L83" s="56">
        <f>EFEITO!$N$83*EFEITO!$AA$83</f>
        <v>0</v>
      </c>
      <c r="M83" s="56">
        <f ca="1">$J$83-EFEITO!$K$83*EFEITO!$Y$83</f>
        <v>24176.120279374591</v>
      </c>
      <c r="N83" s="56">
        <f>$K$83-EFEITO!$M$83*EFEITO!$Z$83</f>
        <v>0</v>
      </c>
      <c r="O83" s="56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35" t="s">
        <v>21</v>
      </c>
      <c r="B84" s="35" t="s">
        <v>39</v>
      </c>
      <c r="C84" s="35" t="s">
        <v>40</v>
      </c>
      <c r="D84" s="35" t="s">
        <v>38</v>
      </c>
      <c r="E84" s="35" t="s">
        <v>25</v>
      </c>
      <c r="F84" s="35" t="s">
        <v>51</v>
      </c>
      <c r="G84" s="35" t="s">
        <v>25</v>
      </c>
      <c r="H84" s="35" t="s">
        <v>25</v>
      </c>
      <c r="I84" s="55">
        <v>44501</v>
      </c>
      <c r="J84" s="56">
        <f ca="1">EFEITO!$J$84*EFEITO!$Y$84</f>
        <v>48352.240558749181</v>
      </c>
      <c r="K84" s="56">
        <f>EFEITO!$L$84*EFEITO!$Z$84</f>
        <v>0</v>
      </c>
      <c r="L84" s="56">
        <f>EFEITO!$N$84*EFEITO!$AA$84</f>
        <v>0</v>
      </c>
      <c r="M84" s="56">
        <f ca="1">$J$84-EFEITO!$K$84*EFEITO!$Y$84</f>
        <v>24176.120279374591</v>
      </c>
      <c r="N84" s="56">
        <f>$K$84-EFEITO!$M$84*EFEITO!$Z$84</f>
        <v>0</v>
      </c>
      <c r="O84" s="56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35" t="s">
        <v>27</v>
      </c>
      <c r="B85" s="35" t="s">
        <v>39</v>
      </c>
      <c r="C85" s="35" t="s">
        <v>40</v>
      </c>
      <c r="D85" s="35" t="s">
        <v>38</v>
      </c>
      <c r="E85" s="35" t="s">
        <v>25</v>
      </c>
      <c r="F85" s="35" t="s">
        <v>51</v>
      </c>
      <c r="G85" s="35" t="s">
        <v>25</v>
      </c>
      <c r="H85" s="35" t="s">
        <v>25</v>
      </c>
      <c r="I85" s="55">
        <v>44501</v>
      </c>
      <c r="J85" s="56">
        <f ca="1">EFEITO!$J$85*EFEITO!$Y$85</f>
        <v>48352.240558749181</v>
      </c>
      <c r="K85" s="56">
        <f>EFEITO!$L$85*EFEITO!$Z$85</f>
        <v>0</v>
      </c>
      <c r="L85" s="56">
        <f>EFEITO!$N$85*EFEITO!$AA$85</f>
        <v>0</v>
      </c>
      <c r="M85" s="56">
        <f ca="1">$J$85-EFEITO!$K$85*EFEITO!$Y$85</f>
        <v>24176.120279374591</v>
      </c>
      <c r="N85" s="56">
        <f>$K$85-EFEITO!$M$85*EFEITO!$Z$85</f>
        <v>0</v>
      </c>
      <c r="O85" s="56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35" t="s">
        <v>21</v>
      </c>
      <c r="B86" s="35" t="s">
        <v>39</v>
      </c>
      <c r="C86" s="35" t="s">
        <v>40</v>
      </c>
      <c r="D86" s="35" t="s">
        <v>38</v>
      </c>
      <c r="E86" s="35" t="s">
        <v>25</v>
      </c>
      <c r="F86" s="35" t="s">
        <v>51</v>
      </c>
      <c r="G86" s="35" t="s">
        <v>25</v>
      </c>
      <c r="H86" s="35" t="s">
        <v>25</v>
      </c>
      <c r="I86" s="55">
        <v>44531</v>
      </c>
      <c r="J86" s="56">
        <f ca="1">EFEITO!$J$86*EFEITO!$Y$86</f>
        <v>48352.240558749181</v>
      </c>
      <c r="K86" s="56">
        <f>EFEITO!$L$86*EFEITO!$Z$86</f>
        <v>0</v>
      </c>
      <c r="L86" s="56">
        <f>EFEITO!$N$86*EFEITO!$AA$86</f>
        <v>0</v>
      </c>
      <c r="M86" s="56">
        <f ca="1">$J$86-EFEITO!$K$86*EFEITO!$Y$86</f>
        <v>24176.120279374591</v>
      </c>
      <c r="N86" s="56">
        <f>$K$86-EFEITO!$M$86*EFEITO!$Z$86</f>
        <v>0</v>
      </c>
      <c r="O86" s="56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35" t="s">
        <v>27</v>
      </c>
      <c r="B87" s="35" t="s">
        <v>39</v>
      </c>
      <c r="C87" s="35" t="s">
        <v>40</v>
      </c>
      <c r="D87" s="35" t="s">
        <v>38</v>
      </c>
      <c r="E87" s="35" t="s">
        <v>25</v>
      </c>
      <c r="F87" s="35" t="s">
        <v>51</v>
      </c>
      <c r="G87" s="35" t="s">
        <v>25</v>
      </c>
      <c r="H87" s="35" t="s">
        <v>25</v>
      </c>
      <c r="I87" s="55">
        <v>44531</v>
      </c>
      <c r="J87" s="56">
        <f ca="1">EFEITO!$J$87*EFEITO!$Y$87</f>
        <v>48352.240558749181</v>
      </c>
      <c r="K87" s="56">
        <f>EFEITO!$L$87*EFEITO!$Z$87</f>
        <v>0</v>
      </c>
      <c r="L87" s="56">
        <f>EFEITO!$N$87*EFEITO!$AA$87</f>
        <v>0</v>
      </c>
      <c r="M87" s="56">
        <f ca="1">$J$87-EFEITO!$K$87*EFEITO!$Y$87</f>
        <v>24176.120279374591</v>
      </c>
      <c r="N87" s="56">
        <f>$K$87-EFEITO!$M$87*EFEITO!$Z$87</f>
        <v>0</v>
      </c>
      <c r="O87" s="56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35" t="s">
        <v>21</v>
      </c>
      <c r="B88" s="35" t="s">
        <v>39</v>
      </c>
      <c r="C88" s="35" t="s">
        <v>40</v>
      </c>
      <c r="D88" s="35" t="s">
        <v>38</v>
      </c>
      <c r="E88" s="35" t="s">
        <v>25</v>
      </c>
      <c r="F88" s="35" t="s">
        <v>51</v>
      </c>
      <c r="G88" s="35" t="s">
        <v>25</v>
      </c>
      <c r="H88" s="35" t="s">
        <v>25</v>
      </c>
      <c r="I88" s="55">
        <v>44562</v>
      </c>
      <c r="J88" s="56">
        <f ca="1">EFEITO!$J$88*EFEITO!$Y$88</f>
        <v>48352.240558749181</v>
      </c>
      <c r="K88" s="56">
        <f>EFEITO!$L$88*EFEITO!$Z$88</f>
        <v>0</v>
      </c>
      <c r="L88" s="56">
        <f>EFEITO!$N$88*EFEITO!$AA$88</f>
        <v>0</v>
      </c>
      <c r="M88" s="56">
        <f ca="1">$J$88-EFEITO!$K$88*EFEITO!$Y$88</f>
        <v>24176.120279374591</v>
      </c>
      <c r="N88" s="56">
        <f>$K$88-EFEITO!$M$88*EFEITO!$Z$88</f>
        <v>0</v>
      </c>
      <c r="O88" s="56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35" t="s">
        <v>27</v>
      </c>
      <c r="B89" s="35" t="s">
        <v>39</v>
      </c>
      <c r="C89" s="35" t="s">
        <v>40</v>
      </c>
      <c r="D89" s="35" t="s">
        <v>38</v>
      </c>
      <c r="E89" s="35" t="s">
        <v>25</v>
      </c>
      <c r="F89" s="35" t="s">
        <v>51</v>
      </c>
      <c r="G89" s="35" t="s">
        <v>25</v>
      </c>
      <c r="H89" s="35" t="s">
        <v>25</v>
      </c>
      <c r="I89" s="55">
        <v>44562</v>
      </c>
      <c r="J89" s="56">
        <f ca="1">EFEITO!$J$89*EFEITO!$Y$89</f>
        <v>48352.240558749181</v>
      </c>
      <c r="K89" s="56">
        <f>EFEITO!$L$89*EFEITO!$Z$89</f>
        <v>0</v>
      </c>
      <c r="L89" s="56">
        <f>EFEITO!$N$89*EFEITO!$AA$89</f>
        <v>0</v>
      </c>
      <c r="M89" s="56">
        <f ca="1">$J$89-EFEITO!$K$89*EFEITO!$Y$89</f>
        <v>24176.120279374591</v>
      </c>
      <c r="N89" s="56">
        <f>$K$89-EFEITO!$M$89*EFEITO!$Z$89</f>
        <v>0</v>
      </c>
      <c r="O89" s="56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35" t="s">
        <v>21</v>
      </c>
      <c r="B90" s="35" t="s">
        <v>39</v>
      </c>
      <c r="C90" s="35" t="s">
        <v>40</v>
      </c>
      <c r="D90" s="35" t="s">
        <v>38</v>
      </c>
      <c r="E90" s="35" t="s">
        <v>25</v>
      </c>
      <c r="F90" s="35" t="s">
        <v>51</v>
      </c>
      <c r="G90" s="35" t="s">
        <v>25</v>
      </c>
      <c r="H90" s="35" t="s">
        <v>25</v>
      </c>
      <c r="I90" s="55">
        <v>44593</v>
      </c>
      <c r="J90" s="56">
        <f ca="1">EFEITO!$J$90*EFEITO!$Y$90</f>
        <v>48352.240558749181</v>
      </c>
      <c r="K90" s="56">
        <f>EFEITO!$L$90*EFEITO!$Z$90</f>
        <v>0</v>
      </c>
      <c r="L90" s="56">
        <f>EFEITO!$N$90*EFEITO!$AA$90</f>
        <v>0</v>
      </c>
      <c r="M90" s="56">
        <f ca="1">$J$90-EFEITO!$K$90*EFEITO!$Y$90</f>
        <v>24176.120279374591</v>
      </c>
      <c r="N90" s="56">
        <f>$K$90-EFEITO!$M$90*EFEITO!$Z$90</f>
        <v>0</v>
      </c>
      <c r="O90" s="56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35" t="s">
        <v>27</v>
      </c>
      <c r="B91" s="35" t="s">
        <v>39</v>
      </c>
      <c r="C91" s="35" t="s">
        <v>40</v>
      </c>
      <c r="D91" s="35" t="s">
        <v>38</v>
      </c>
      <c r="E91" s="35" t="s">
        <v>25</v>
      </c>
      <c r="F91" s="35" t="s">
        <v>51</v>
      </c>
      <c r="G91" s="35" t="s">
        <v>25</v>
      </c>
      <c r="H91" s="35" t="s">
        <v>25</v>
      </c>
      <c r="I91" s="55">
        <v>44593</v>
      </c>
      <c r="J91" s="56">
        <f ca="1">EFEITO!$J$91*EFEITO!$Y$91</f>
        <v>48352.240558749181</v>
      </c>
      <c r="K91" s="56">
        <f>EFEITO!$L$91*EFEITO!$Z$91</f>
        <v>0</v>
      </c>
      <c r="L91" s="56">
        <f>EFEITO!$N$91*EFEITO!$AA$91</f>
        <v>0</v>
      </c>
      <c r="M91" s="56">
        <f ca="1">$J$91-EFEITO!$K$91*EFEITO!$Y$91</f>
        <v>24176.120279374591</v>
      </c>
      <c r="N91" s="56">
        <f>$K$91-EFEITO!$M$91*EFEITO!$Z$91</f>
        <v>0</v>
      </c>
      <c r="O91" s="56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35" t="s">
        <v>21</v>
      </c>
      <c r="B92" s="35" t="s">
        <v>39</v>
      </c>
      <c r="C92" s="35" t="s">
        <v>40</v>
      </c>
      <c r="D92" s="35" t="s">
        <v>38</v>
      </c>
      <c r="E92" s="35" t="s">
        <v>25</v>
      </c>
      <c r="F92" s="35" t="s">
        <v>51</v>
      </c>
      <c r="G92" s="35" t="s">
        <v>25</v>
      </c>
      <c r="H92" s="35" t="s">
        <v>25</v>
      </c>
      <c r="I92" s="55">
        <v>44621</v>
      </c>
      <c r="J92" s="56">
        <f ca="1">EFEITO!$J$92*EFEITO!$Y$92</f>
        <v>48352.240558749181</v>
      </c>
      <c r="K92" s="56">
        <f>EFEITO!$L$92*EFEITO!$Z$92</f>
        <v>0</v>
      </c>
      <c r="L92" s="56">
        <f>EFEITO!$N$92*EFEITO!$AA$92</f>
        <v>0</v>
      </c>
      <c r="M92" s="56">
        <f ca="1">$J$92-EFEITO!$K$92*EFEITO!$Y$92</f>
        <v>24176.120279374591</v>
      </c>
      <c r="N92" s="56">
        <f>$K$92-EFEITO!$M$92*EFEITO!$Z$92</f>
        <v>0</v>
      </c>
      <c r="O92" s="56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35" t="s">
        <v>27</v>
      </c>
      <c r="B93" s="35" t="s">
        <v>39</v>
      </c>
      <c r="C93" s="35" t="s">
        <v>40</v>
      </c>
      <c r="D93" s="35" t="s">
        <v>38</v>
      </c>
      <c r="E93" s="35" t="s">
        <v>25</v>
      </c>
      <c r="F93" s="35" t="s">
        <v>51</v>
      </c>
      <c r="G93" s="35" t="s">
        <v>25</v>
      </c>
      <c r="H93" s="35" t="s">
        <v>25</v>
      </c>
      <c r="I93" s="55">
        <v>44621</v>
      </c>
      <c r="J93" s="56">
        <f ca="1">EFEITO!$J$93*EFEITO!$Y$93</f>
        <v>48352.240558749181</v>
      </c>
      <c r="K93" s="56">
        <f>EFEITO!$L$93*EFEITO!$Z$93</f>
        <v>0</v>
      </c>
      <c r="L93" s="56">
        <f>EFEITO!$N$93*EFEITO!$AA$93</f>
        <v>0</v>
      </c>
      <c r="M93" s="56">
        <f ca="1">$J$93-EFEITO!$K$93*EFEITO!$Y$93</f>
        <v>24176.120279374591</v>
      </c>
      <c r="N93" s="56">
        <f>$K$93-EFEITO!$M$93*EFEITO!$Z$93</f>
        <v>0</v>
      </c>
      <c r="O93" s="56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35" t="s">
        <v>21</v>
      </c>
      <c r="B94" s="35" t="s">
        <v>39</v>
      </c>
      <c r="C94" s="35" t="s">
        <v>40</v>
      </c>
      <c r="D94" s="35" t="s">
        <v>38</v>
      </c>
      <c r="E94" s="35" t="s">
        <v>25</v>
      </c>
      <c r="F94" s="35" t="s">
        <v>51</v>
      </c>
      <c r="G94" s="35" t="s">
        <v>25</v>
      </c>
      <c r="H94" s="35" t="s">
        <v>25</v>
      </c>
      <c r="I94" s="55">
        <v>44652</v>
      </c>
      <c r="J94" s="56">
        <f ca="1">EFEITO!$J$94*EFEITO!$Y$94</f>
        <v>48352.240558749181</v>
      </c>
      <c r="K94" s="56">
        <f>EFEITO!$L$94*EFEITO!$Z$94</f>
        <v>0</v>
      </c>
      <c r="L94" s="56">
        <f>EFEITO!$N$94*EFEITO!$AA$94</f>
        <v>0</v>
      </c>
      <c r="M94" s="56">
        <f ca="1">$J$94-EFEITO!$K$94*EFEITO!$Y$94</f>
        <v>24176.120279374591</v>
      </c>
      <c r="N94" s="56">
        <f>$K$94-EFEITO!$M$94*EFEITO!$Z$94</f>
        <v>0</v>
      </c>
      <c r="O94" s="56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35" t="s">
        <v>27</v>
      </c>
      <c r="B95" s="35" t="s">
        <v>39</v>
      </c>
      <c r="C95" s="35" t="s">
        <v>40</v>
      </c>
      <c r="D95" s="35" t="s">
        <v>38</v>
      </c>
      <c r="E95" s="35" t="s">
        <v>25</v>
      </c>
      <c r="F95" s="35" t="s">
        <v>51</v>
      </c>
      <c r="G95" s="35" t="s">
        <v>25</v>
      </c>
      <c r="H95" s="35" t="s">
        <v>25</v>
      </c>
      <c r="I95" s="55">
        <v>44652</v>
      </c>
      <c r="J95" s="56">
        <f ca="1">EFEITO!$J$95*EFEITO!$Y$95</f>
        <v>48352.240558749181</v>
      </c>
      <c r="K95" s="56">
        <f>EFEITO!$L$95*EFEITO!$Z$95</f>
        <v>0</v>
      </c>
      <c r="L95" s="56">
        <f>EFEITO!$N$95*EFEITO!$AA$95</f>
        <v>0</v>
      </c>
      <c r="M95" s="56">
        <f ca="1">$J$95-EFEITO!$K$95*EFEITO!$Y$95</f>
        <v>24176.120279374591</v>
      </c>
      <c r="N95" s="56">
        <f>$K$95-EFEITO!$M$95*EFEITO!$Z$95</f>
        <v>0</v>
      </c>
      <c r="O95" s="56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35" t="s">
        <v>21</v>
      </c>
      <c r="B96" s="35" t="s">
        <v>39</v>
      </c>
      <c r="C96" s="35" t="s">
        <v>40</v>
      </c>
      <c r="D96" s="35" t="s">
        <v>38</v>
      </c>
      <c r="E96" s="35" t="s">
        <v>25</v>
      </c>
      <c r="F96" s="35" t="s">
        <v>51</v>
      </c>
      <c r="G96" s="35" t="s">
        <v>25</v>
      </c>
      <c r="H96" s="35" t="s">
        <v>25</v>
      </c>
      <c r="I96" s="55">
        <v>44682</v>
      </c>
      <c r="J96" s="56">
        <f ca="1">EFEITO!$J$96*EFEITO!$Y$96</f>
        <v>48352.240558749181</v>
      </c>
      <c r="K96" s="56">
        <f>EFEITO!$L$96*EFEITO!$Z$96</f>
        <v>0</v>
      </c>
      <c r="L96" s="56">
        <f>EFEITO!$N$96*EFEITO!$AA$96</f>
        <v>0</v>
      </c>
      <c r="M96" s="56">
        <f ca="1">$J$96-EFEITO!$K$96*EFEITO!$Y$96</f>
        <v>24176.120279374591</v>
      </c>
      <c r="N96" s="56">
        <f>$K$96-EFEITO!$M$96*EFEITO!$Z$96</f>
        <v>0</v>
      </c>
      <c r="O96" s="56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35" t="s">
        <v>27</v>
      </c>
      <c r="B97" s="35" t="s">
        <v>39</v>
      </c>
      <c r="C97" s="35" t="s">
        <v>40</v>
      </c>
      <c r="D97" s="35" t="s">
        <v>38</v>
      </c>
      <c r="E97" s="35" t="s">
        <v>25</v>
      </c>
      <c r="F97" s="35" t="s">
        <v>51</v>
      </c>
      <c r="G97" s="35" t="s">
        <v>25</v>
      </c>
      <c r="H97" s="35" t="s">
        <v>25</v>
      </c>
      <c r="I97" s="55">
        <v>44682</v>
      </c>
      <c r="J97" s="56">
        <f ca="1">EFEITO!$J$97*EFEITO!$Y$97</f>
        <v>48352.240558749181</v>
      </c>
      <c r="K97" s="56">
        <f>EFEITO!$L$97*EFEITO!$Z$97</f>
        <v>0</v>
      </c>
      <c r="L97" s="56">
        <f>EFEITO!$N$97*EFEITO!$AA$97</f>
        <v>0</v>
      </c>
      <c r="M97" s="56">
        <f ca="1">$J$97-EFEITO!$K$97*EFEITO!$Y$97</f>
        <v>24176.120279374591</v>
      </c>
      <c r="N97" s="56">
        <f>$K$97-EFEITO!$M$97*EFEITO!$Z$97</f>
        <v>0</v>
      </c>
      <c r="O97" s="56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35" t="s">
        <v>21</v>
      </c>
      <c r="B98" s="35" t="s">
        <v>39</v>
      </c>
      <c r="C98" s="35" t="s">
        <v>40</v>
      </c>
      <c r="D98" s="35" t="s">
        <v>38</v>
      </c>
      <c r="E98" s="35" t="s">
        <v>25</v>
      </c>
      <c r="F98" s="35" t="s">
        <v>51</v>
      </c>
      <c r="G98" s="35" t="s">
        <v>25</v>
      </c>
      <c r="H98" s="35" t="s">
        <v>25</v>
      </c>
      <c r="I98" s="55">
        <v>44713</v>
      </c>
      <c r="J98" s="56">
        <f ca="1">EFEITO!$J$98*EFEITO!$Y$98</f>
        <v>48352.240558749181</v>
      </c>
      <c r="K98" s="56">
        <f>EFEITO!$L$98*EFEITO!$Z$98</f>
        <v>0</v>
      </c>
      <c r="L98" s="56">
        <f>EFEITO!$N$98*EFEITO!$AA$98</f>
        <v>0</v>
      </c>
      <c r="M98" s="56">
        <f ca="1">$J$98-EFEITO!$K$98*EFEITO!$Y$98</f>
        <v>24176.120279374591</v>
      </c>
      <c r="N98" s="56">
        <f>$K$98-EFEITO!$M$98*EFEITO!$Z$98</f>
        <v>0</v>
      </c>
      <c r="O98" s="56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35" t="s">
        <v>27</v>
      </c>
      <c r="B99" s="35" t="s">
        <v>39</v>
      </c>
      <c r="C99" s="35" t="s">
        <v>40</v>
      </c>
      <c r="D99" s="35" t="s">
        <v>38</v>
      </c>
      <c r="E99" s="35" t="s">
        <v>25</v>
      </c>
      <c r="F99" s="35" t="s">
        <v>51</v>
      </c>
      <c r="G99" s="35" t="s">
        <v>25</v>
      </c>
      <c r="H99" s="35" t="s">
        <v>25</v>
      </c>
      <c r="I99" s="55">
        <v>44713</v>
      </c>
      <c r="J99" s="56">
        <f ca="1">EFEITO!$J$99*EFEITO!$Y$99</f>
        <v>48352.240558749181</v>
      </c>
      <c r="K99" s="56">
        <f>EFEITO!$L$99*EFEITO!$Z$99</f>
        <v>0</v>
      </c>
      <c r="L99" s="56">
        <f>EFEITO!$N$99*EFEITO!$AA$99</f>
        <v>0</v>
      </c>
      <c r="M99" s="56">
        <f ca="1">$J$99-EFEITO!$K$99*EFEITO!$Y$99</f>
        <v>24176.120279374591</v>
      </c>
      <c r="N99" s="56">
        <f>$K$99-EFEITO!$M$99*EFEITO!$Z$99</f>
        <v>0</v>
      </c>
      <c r="O99" s="56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35" t="s">
        <v>21</v>
      </c>
      <c r="B100" s="35" t="s">
        <v>39</v>
      </c>
      <c r="C100" s="35" t="s">
        <v>40</v>
      </c>
      <c r="D100" s="35" t="s">
        <v>38</v>
      </c>
      <c r="E100" s="35" t="s">
        <v>25</v>
      </c>
      <c r="F100" s="35" t="s">
        <v>51</v>
      </c>
      <c r="G100" s="35" t="s">
        <v>25</v>
      </c>
      <c r="H100" s="35" t="s">
        <v>25</v>
      </c>
      <c r="I100" s="55">
        <v>44743</v>
      </c>
      <c r="J100" s="56">
        <f ca="1">EFEITO!$J$100*EFEITO!$Y$100</f>
        <v>48352.240558749181</v>
      </c>
      <c r="K100" s="56">
        <f>EFEITO!$L$100*EFEITO!$Z$100</f>
        <v>0</v>
      </c>
      <c r="L100" s="56">
        <f>EFEITO!$N$100*EFEITO!$AA$100</f>
        <v>0</v>
      </c>
      <c r="M100" s="56">
        <f ca="1">$J$100-EFEITO!$K$100*EFEITO!$Y$100</f>
        <v>24176.120279374591</v>
      </c>
      <c r="N100" s="56">
        <f>$K$100-EFEITO!$M$100*EFEITO!$Z$100</f>
        <v>0</v>
      </c>
      <c r="O100" s="56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35" t="s">
        <v>27</v>
      </c>
      <c r="B101" s="35" t="s">
        <v>39</v>
      </c>
      <c r="C101" s="35" t="s">
        <v>40</v>
      </c>
      <c r="D101" s="35" t="s">
        <v>38</v>
      </c>
      <c r="E101" s="35" t="s">
        <v>25</v>
      </c>
      <c r="F101" s="35" t="s">
        <v>51</v>
      </c>
      <c r="G101" s="35" t="s">
        <v>25</v>
      </c>
      <c r="H101" s="35" t="s">
        <v>25</v>
      </c>
      <c r="I101" s="55">
        <v>44743</v>
      </c>
      <c r="J101" s="56">
        <f ca="1">EFEITO!$J$101*EFEITO!$Y$101</f>
        <v>48352.240558749181</v>
      </c>
      <c r="K101" s="56">
        <f>EFEITO!$L$101*EFEITO!$Z$101</f>
        <v>0</v>
      </c>
      <c r="L101" s="56">
        <f>EFEITO!$N$101*EFEITO!$AA$101</f>
        <v>0</v>
      </c>
      <c r="M101" s="56">
        <f ca="1">$J$101-EFEITO!$K$101*EFEITO!$Y$101</f>
        <v>24176.120279374591</v>
      </c>
      <c r="N101" s="56">
        <f>$K$101-EFEITO!$M$101*EFEITO!$Z$101</f>
        <v>0</v>
      </c>
      <c r="O101" s="56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35" t="s">
        <v>21</v>
      </c>
      <c r="B102" s="35" t="s">
        <v>39</v>
      </c>
      <c r="C102" s="35" t="s">
        <v>40</v>
      </c>
      <c r="D102" s="35" t="s">
        <v>38</v>
      </c>
      <c r="E102" s="35" t="s">
        <v>25</v>
      </c>
      <c r="F102" s="35" t="s">
        <v>51</v>
      </c>
      <c r="G102" s="35" t="s">
        <v>25</v>
      </c>
      <c r="H102" s="35" t="s">
        <v>25</v>
      </c>
      <c r="I102" s="55">
        <v>44774</v>
      </c>
      <c r="J102" s="56">
        <f ca="1">EFEITO!$J$102*EFEITO!$Y$102</f>
        <v>48352.240558749181</v>
      </c>
      <c r="K102" s="56">
        <f>EFEITO!$L$102*EFEITO!$Z$102</f>
        <v>0</v>
      </c>
      <c r="L102" s="56">
        <f>EFEITO!$N$102*EFEITO!$AA$102</f>
        <v>0</v>
      </c>
      <c r="M102" s="56">
        <f ca="1">$J$102-EFEITO!$K$102*EFEITO!$Y$102</f>
        <v>23455.671895049229</v>
      </c>
      <c r="N102" s="56">
        <f>$K$102-EFEITO!$M$102*EFEITO!$Z$102</f>
        <v>0</v>
      </c>
      <c r="O102" s="56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35" t="s">
        <v>27</v>
      </c>
      <c r="B103" s="35" t="s">
        <v>39</v>
      </c>
      <c r="C103" s="35" t="s">
        <v>40</v>
      </c>
      <c r="D103" s="35" t="s">
        <v>38</v>
      </c>
      <c r="E103" s="35" t="s">
        <v>25</v>
      </c>
      <c r="F103" s="35" t="s">
        <v>51</v>
      </c>
      <c r="G103" s="35" t="s">
        <v>25</v>
      </c>
      <c r="H103" s="35" t="s">
        <v>25</v>
      </c>
      <c r="I103" s="55">
        <v>44774</v>
      </c>
      <c r="J103" s="56">
        <f ca="1">EFEITO!$J$103*EFEITO!$Y$103</f>
        <v>48352.240558749181</v>
      </c>
      <c r="K103" s="56">
        <f>EFEITO!$L$103*EFEITO!$Z$103</f>
        <v>0</v>
      </c>
      <c r="L103" s="56">
        <f>EFEITO!$N$103*EFEITO!$AA$103</f>
        <v>0</v>
      </c>
      <c r="M103" s="56">
        <f ca="1">$J$103-EFEITO!$K$103*EFEITO!$Y$103</f>
        <v>23455.671895049229</v>
      </c>
      <c r="N103" s="56">
        <f>$K$103-EFEITO!$M$103*EFEITO!$Z$103</f>
        <v>0</v>
      </c>
      <c r="O103" s="56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35" t="s">
        <v>21</v>
      </c>
      <c r="B104" s="35" t="s">
        <v>39</v>
      </c>
      <c r="C104" s="35" t="s">
        <v>40</v>
      </c>
      <c r="D104" s="35" t="s">
        <v>38</v>
      </c>
      <c r="E104" s="35" t="s">
        <v>25</v>
      </c>
      <c r="F104" s="35" t="s">
        <v>51</v>
      </c>
      <c r="G104" s="35" t="s">
        <v>25</v>
      </c>
      <c r="H104" s="35" t="s">
        <v>34</v>
      </c>
      <c r="I104" s="55">
        <v>44440</v>
      </c>
      <c r="J104" s="56">
        <f>EFEITO!$J$104*EFEITO!$Y$104</f>
        <v>0</v>
      </c>
      <c r="K104" s="56">
        <f ca="1">EFEITO!$L$104*EFEITO!$Z$104</f>
        <v>3061.8643806945383</v>
      </c>
      <c r="L104" s="56">
        <f>EFEITO!$N$104*EFEITO!$AA$104</f>
        <v>0</v>
      </c>
      <c r="M104" s="56">
        <f>$J$104-EFEITO!$K$104*EFEITO!$Y$104</f>
        <v>0</v>
      </c>
      <c r="N104" s="56">
        <f ca="1">$K$104-EFEITO!$M$104*EFEITO!$Z$104</f>
        <v>1530.9321903472692</v>
      </c>
      <c r="O104" s="56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35" t="s">
        <v>27</v>
      </c>
      <c r="B105" s="35" t="s">
        <v>39</v>
      </c>
      <c r="C105" s="35" t="s">
        <v>40</v>
      </c>
      <c r="D105" s="35" t="s">
        <v>38</v>
      </c>
      <c r="E105" s="35" t="s">
        <v>25</v>
      </c>
      <c r="F105" s="35" t="s">
        <v>51</v>
      </c>
      <c r="G105" s="35" t="s">
        <v>25</v>
      </c>
      <c r="H105" s="35" t="s">
        <v>34</v>
      </c>
      <c r="I105" s="55">
        <v>44440</v>
      </c>
      <c r="J105" s="56">
        <f>EFEITO!$J$105*EFEITO!$Y$105</f>
        <v>0</v>
      </c>
      <c r="K105" s="56">
        <f ca="1">EFEITO!$L$105*EFEITO!$Z$105</f>
        <v>3061.8643806945383</v>
      </c>
      <c r="L105" s="56">
        <f>EFEITO!$N$105*EFEITO!$AA$105</f>
        <v>0</v>
      </c>
      <c r="M105" s="56">
        <f>$J$105-EFEITO!$K$105*EFEITO!$Y$105</f>
        <v>0</v>
      </c>
      <c r="N105" s="56">
        <f ca="1">$K$105-EFEITO!$M$105*EFEITO!$Z$105</f>
        <v>1530.9321903472692</v>
      </c>
      <c r="O105" s="56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35" t="s">
        <v>21</v>
      </c>
      <c r="B106" s="35" t="s">
        <v>39</v>
      </c>
      <c r="C106" s="35" t="s">
        <v>40</v>
      </c>
      <c r="D106" s="35" t="s">
        <v>38</v>
      </c>
      <c r="E106" s="35" t="s">
        <v>25</v>
      </c>
      <c r="F106" s="35" t="s">
        <v>51</v>
      </c>
      <c r="G106" s="35" t="s">
        <v>25</v>
      </c>
      <c r="H106" s="35" t="s">
        <v>34</v>
      </c>
      <c r="I106" s="55">
        <v>44470</v>
      </c>
      <c r="J106" s="56">
        <f>EFEITO!$J$106*EFEITO!$Y$106</f>
        <v>0</v>
      </c>
      <c r="K106" s="56">
        <f ca="1">EFEITO!$L$106*EFEITO!$Z$106</f>
        <v>3371.2889832089104</v>
      </c>
      <c r="L106" s="56">
        <f>EFEITO!$N$106*EFEITO!$AA$106</f>
        <v>0</v>
      </c>
      <c r="M106" s="56">
        <f>$J$106-EFEITO!$K$106*EFEITO!$Y$106</f>
        <v>0</v>
      </c>
      <c r="N106" s="56">
        <f ca="1">$K$106-EFEITO!$M$106*EFEITO!$Z$106</f>
        <v>1685.6444916044552</v>
      </c>
      <c r="O106" s="56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35" t="s">
        <v>27</v>
      </c>
      <c r="B107" s="35" t="s">
        <v>39</v>
      </c>
      <c r="C107" s="35" t="s">
        <v>40</v>
      </c>
      <c r="D107" s="35" t="s">
        <v>38</v>
      </c>
      <c r="E107" s="35" t="s">
        <v>25</v>
      </c>
      <c r="F107" s="35" t="s">
        <v>51</v>
      </c>
      <c r="G107" s="35" t="s">
        <v>25</v>
      </c>
      <c r="H107" s="35" t="s">
        <v>34</v>
      </c>
      <c r="I107" s="55">
        <v>44470</v>
      </c>
      <c r="J107" s="56">
        <f>EFEITO!$J$107*EFEITO!$Y$107</f>
        <v>0</v>
      </c>
      <c r="K107" s="56">
        <f ca="1">EFEITO!$L$107*EFEITO!$Z$107</f>
        <v>3371.2889832089104</v>
      </c>
      <c r="L107" s="56">
        <f>EFEITO!$N$107*EFEITO!$AA$107</f>
        <v>0</v>
      </c>
      <c r="M107" s="56">
        <f>$J$107-EFEITO!$K$107*EFEITO!$Y$107</f>
        <v>0</v>
      </c>
      <c r="N107" s="56">
        <f ca="1">$K$107-EFEITO!$M$107*EFEITO!$Z$107</f>
        <v>1685.6444916044552</v>
      </c>
      <c r="O107" s="56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35" t="s">
        <v>21</v>
      </c>
      <c r="B108" s="35" t="s">
        <v>39</v>
      </c>
      <c r="C108" s="35" t="s">
        <v>40</v>
      </c>
      <c r="D108" s="35" t="s">
        <v>38</v>
      </c>
      <c r="E108" s="35" t="s">
        <v>25</v>
      </c>
      <c r="F108" s="35" t="s">
        <v>51</v>
      </c>
      <c r="G108" s="35" t="s">
        <v>25</v>
      </c>
      <c r="H108" s="35" t="s">
        <v>34</v>
      </c>
      <c r="I108" s="55">
        <v>44501</v>
      </c>
      <c r="J108" s="56">
        <f>EFEITO!$J$108*EFEITO!$Y$108</f>
        <v>0</v>
      </c>
      <c r="K108" s="56">
        <f ca="1">EFEITO!$L$108*EFEITO!$Z$108</f>
        <v>3713.0952301724601</v>
      </c>
      <c r="L108" s="56">
        <f>EFEITO!$N$108*EFEITO!$AA$108</f>
        <v>0</v>
      </c>
      <c r="M108" s="56">
        <f>$J$108-EFEITO!$K$108*EFEITO!$Y$108</f>
        <v>0</v>
      </c>
      <c r="N108" s="56">
        <f ca="1">$K$108-EFEITO!$M$108*EFEITO!$Z$108</f>
        <v>1856.5476150862301</v>
      </c>
      <c r="O108" s="56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35" t="s">
        <v>27</v>
      </c>
      <c r="B109" s="35" t="s">
        <v>39</v>
      </c>
      <c r="C109" s="35" t="s">
        <v>40</v>
      </c>
      <c r="D109" s="35" t="s">
        <v>38</v>
      </c>
      <c r="E109" s="35" t="s">
        <v>25</v>
      </c>
      <c r="F109" s="35" t="s">
        <v>51</v>
      </c>
      <c r="G109" s="35" t="s">
        <v>25</v>
      </c>
      <c r="H109" s="35" t="s">
        <v>34</v>
      </c>
      <c r="I109" s="55">
        <v>44501</v>
      </c>
      <c r="J109" s="56">
        <f>EFEITO!$J$109*EFEITO!$Y$109</f>
        <v>0</v>
      </c>
      <c r="K109" s="56">
        <f ca="1">EFEITO!$L$109*EFEITO!$Z$109</f>
        <v>3713.0952301724601</v>
      </c>
      <c r="L109" s="56">
        <f>EFEITO!$N$109*EFEITO!$AA$109</f>
        <v>0</v>
      </c>
      <c r="M109" s="56">
        <f>$J$109-EFEITO!$K$109*EFEITO!$Y$109</f>
        <v>0</v>
      </c>
      <c r="N109" s="56">
        <f ca="1">$K$109-EFEITO!$M$109*EFEITO!$Z$109</f>
        <v>1856.5476150862301</v>
      </c>
      <c r="O109" s="56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35" t="s">
        <v>21</v>
      </c>
      <c r="B110" s="35" t="s">
        <v>39</v>
      </c>
      <c r="C110" s="35" t="s">
        <v>40</v>
      </c>
      <c r="D110" s="35" t="s">
        <v>38</v>
      </c>
      <c r="E110" s="35" t="s">
        <v>25</v>
      </c>
      <c r="F110" s="35" t="s">
        <v>51</v>
      </c>
      <c r="G110" s="35" t="s">
        <v>25</v>
      </c>
      <c r="H110" s="35" t="s">
        <v>34</v>
      </c>
      <c r="I110" s="55">
        <v>44531</v>
      </c>
      <c r="J110" s="56">
        <f>EFEITO!$J$110*EFEITO!$Y$110</f>
        <v>0</v>
      </c>
      <c r="K110" s="56">
        <f ca="1">EFEITO!$L$110*EFEITO!$Z$110</f>
        <v>3565.5788499039804</v>
      </c>
      <c r="L110" s="56">
        <f>EFEITO!$N$110*EFEITO!$AA$110</f>
        <v>0</v>
      </c>
      <c r="M110" s="56">
        <f>$J$110-EFEITO!$K$110*EFEITO!$Y$110</f>
        <v>0</v>
      </c>
      <c r="N110" s="56">
        <f ca="1">$K$110-EFEITO!$M$110*EFEITO!$Z$110</f>
        <v>1782.7894249519902</v>
      </c>
      <c r="O110" s="56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35" t="s">
        <v>27</v>
      </c>
      <c r="B111" s="35" t="s">
        <v>39</v>
      </c>
      <c r="C111" s="35" t="s">
        <v>40</v>
      </c>
      <c r="D111" s="35" t="s">
        <v>38</v>
      </c>
      <c r="E111" s="35" t="s">
        <v>25</v>
      </c>
      <c r="F111" s="35" t="s">
        <v>51</v>
      </c>
      <c r="G111" s="35" t="s">
        <v>25</v>
      </c>
      <c r="H111" s="35" t="s">
        <v>34</v>
      </c>
      <c r="I111" s="55">
        <v>44531</v>
      </c>
      <c r="J111" s="56">
        <f>EFEITO!$J$111*EFEITO!$Y$111</f>
        <v>0</v>
      </c>
      <c r="K111" s="56">
        <f ca="1">EFEITO!$L$111*EFEITO!$Z$111</f>
        <v>3565.5788499039804</v>
      </c>
      <c r="L111" s="56">
        <f>EFEITO!$N$111*EFEITO!$AA$111</f>
        <v>0</v>
      </c>
      <c r="M111" s="56">
        <f>$J$111-EFEITO!$K$111*EFEITO!$Y$111</f>
        <v>0</v>
      </c>
      <c r="N111" s="56">
        <f ca="1">$K$111-EFEITO!$M$111*EFEITO!$Z$111</f>
        <v>1782.7894249519902</v>
      </c>
      <c r="O111" s="56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35" t="s">
        <v>21</v>
      </c>
      <c r="B112" s="35" t="s">
        <v>39</v>
      </c>
      <c r="C112" s="35" t="s">
        <v>40</v>
      </c>
      <c r="D112" s="35" t="s">
        <v>38</v>
      </c>
      <c r="E112" s="35" t="s">
        <v>25</v>
      </c>
      <c r="F112" s="35" t="s">
        <v>51</v>
      </c>
      <c r="G112" s="35" t="s">
        <v>25</v>
      </c>
      <c r="H112" s="35" t="s">
        <v>34</v>
      </c>
      <c r="I112" s="55">
        <v>44562</v>
      </c>
      <c r="J112" s="56">
        <f>EFEITO!$J$112*EFEITO!$Y$112</f>
        <v>0</v>
      </c>
      <c r="K112" s="56">
        <f ca="1">EFEITO!$L$112*EFEITO!$Z$112</f>
        <v>3799.4462820369363</v>
      </c>
      <c r="L112" s="56">
        <f>EFEITO!$N$112*EFEITO!$AA$112</f>
        <v>0</v>
      </c>
      <c r="M112" s="56">
        <f>$J$112-EFEITO!$K$112*EFEITO!$Y$112</f>
        <v>0</v>
      </c>
      <c r="N112" s="56">
        <f ca="1">$K$112-EFEITO!$M$112*EFEITO!$Z$112</f>
        <v>1899.7231410184681</v>
      </c>
      <c r="O112" s="56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35" t="s">
        <v>27</v>
      </c>
      <c r="B113" s="35" t="s">
        <v>39</v>
      </c>
      <c r="C113" s="35" t="s">
        <v>40</v>
      </c>
      <c r="D113" s="35" t="s">
        <v>38</v>
      </c>
      <c r="E113" s="35" t="s">
        <v>25</v>
      </c>
      <c r="F113" s="35" t="s">
        <v>51</v>
      </c>
      <c r="G113" s="35" t="s">
        <v>25</v>
      </c>
      <c r="H113" s="35" t="s">
        <v>34</v>
      </c>
      <c r="I113" s="55">
        <v>44562</v>
      </c>
      <c r="J113" s="56">
        <f>EFEITO!$J$113*EFEITO!$Y$113</f>
        <v>0</v>
      </c>
      <c r="K113" s="56">
        <f ca="1">EFEITO!$L$113*EFEITO!$Z$113</f>
        <v>3799.4462820369363</v>
      </c>
      <c r="L113" s="56">
        <f>EFEITO!$N$113*EFEITO!$AA$113</f>
        <v>0</v>
      </c>
      <c r="M113" s="56">
        <f>$J$113-EFEITO!$K$113*EFEITO!$Y$113</f>
        <v>0</v>
      </c>
      <c r="N113" s="56">
        <f ca="1">$K$113-EFEITO!$M$113*EFEITO!$Z$113</f>
        <v>1899.7231410184681</v>
      </c>
      <c r="O113" s="56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35" t="s">
        <v>21</v>
      </c>
      <c r="B114" s="35" t="s">
        <v>39</v>
      </c>
      <c r="C114" s="35" t="s">
        <v>40</v>
      </c>
      <c r="D114" s="35" t="s">
        <v>38</v>
      </c>
      <c r="E114" s="35" t="s">
        <v>25</v>
      </c>
      <c r="F114" s="35" t="s">
        <v>51</v>
      </c>
      <c r="G114" s="35" t="s">
        <v>25</v>
      </c>
      <c r="H114" s="35" t="s">
        <v>34</v>
      </c>
      <c r="I114" s="55">
        <v>44593</v>
      </c>
      <c r="J114" s="56">
        <f>EFEITO!$J$114*EFEITO!$Y$114</f>
        <v>0</v>
      </c>
      <c r="K114" s="56">
        <f ca="1">EFEITO!$L$114*EFEITO!$Z$114</f>
        <v>3061.8643806945383</v>
      </c>
      <c r="L114" s="56">
        <f>EFEITO!$N$114*EFEITO!$AA$114</f>
        <v>0</v>
      </c>
      <c r="M114" s="56">
        <f>$J$114-EFEITO!$K$114*EFEITO!$Y$114</f>
        <v>0</v>
      </c>
      <c r="N114" s="56">
        <f ca="1">$K$114-EFEITO!$M$114*EFEITO!$Z$114</f>
        <v>1530.9321903472692</v>
      </c>
      <c r="O114" s="56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35" t="s">
        <v>27</v>
      </c>
      <c r="B115" s="35" t="s">
        <v>39</v>
      </c>
      <c r="C115" s="35" t="s">
        <v>40</v>
      </c>
      <c r="D115" s="35" t="s">
        <v>38</v>
      </c>
      <c r="E115" s="35" t="s">
        <v>25</v>
      </c>
      <c r="F115" s="35" t="s">
        <v>51</v>
      </c>
      <c r="G115" s="35" t="s">
        <v>25</v>
      </c>
      <c r="H115" s="35" t="s">
        <v>34</v>
      </c>
      <c r="I115" s="55">
        <v>44593</v>
      </c>
      <c r="J115" s="56">
        <f>EFEITO!$J$115*EFEITO!$Y$115</f>
        <v>0</v>
      </c>
      <c r="K115" s="56">
        <f ca="1">EFEITO!$L$115*EFEITO!$Z$115</f>
        <v>3061.8643806945383</v>
      </c>
      <c r="L115" s="56">
        <f>EFEITO!$N$115*EFEITO!$AA$115</f>
        <v>0</v>
      </c>
      <c r="M115" s="56">
        <f>$J$115-EFEITO!$K$115*EFEITO!$Y$115</f>
        <v>0</v>
      </c>
      <c r="N115" s="56">
        <f ca="1">$K$115-EFEITO!$M$115*EFEITO!$Z$115</f>
        <v>1530.9321903472692</v>
      </c>
      <c r="O115" s="56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35" t="s">
        <v>21</v>
      </c>
      <c r="B116" s="35" t="s">
        <v>39</v>
      </c>
      <c r="C116" s="35" t="s">
        <v>40</v>
      </c>
      <c r="D116" s="35" t="s">
        <v>38</v>
      </c>
      <c r="E116" s="35" t="s">
        <v>25</v>
      </c>
      <c r="F116" s="35" t="s">
        <v>51</v>
      </c>
      <c r="G116" s="35" t="s">
        <v>25</v>
      </c>
      <c r="H116" s="35" t="s">
        <v>34</v>
      </c>
      <c r="I116" s="55">
        <v>44621</v>
      </c>
      <c r="J116" s="56">
        <f>EFEITO!$J$116*EFEITO!$Y$116</f>
        <v>0</v>
      </c>
      <c r="K116" s="56">
        <f ca="1">EFEITO!$L$116*EFEITO!$Z$116</f>
        <v>4407.50160558262</v>
      </c>
      <c r="L116" s="56">
        <f>EFEITO!$N$116*EFEITO!$AA$116</f>
        <v>0</v>
      </c>
      <c r="M116" s="56">
        <f>$J$116-EFEITO!$K$116*EFEITO!$Y$116</f>
        <v>0</v>
      </c>
      <c r="N116" s="56">
        <f ca="1">$K$116-EFEITO!$M$116*EFEITO!$Z$116</f>
        <v>2203.75080279131</v>
      </c>
      <c r="O116" s="56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35" t="s">
        <v>27</v>
      </c>
      <c r="B117" s="35" t="s">
        <v>39</v>
      </c>
      <c r="C117" s="35" t="s">
        <v>40</v>
      </c>
      <c r="D117" s="35" t="s">
        <v>38</v>
      </c>
      <c r="E117" s="35" t="s">
        <v>25</v>
      </c>
      <c r="F117" s="35" t="s">
        <v>51</v>
      </c>
      <c r="G117" s="35" t="s">
        <v>25</v>
      </c>
      <c r="H117" s="35" t="s">
        <v>34</v>
      </c>
      <c r="I117" s="55">
        <v>44621</v>
      </c>
      <c r="J117" s="56">
        <f>EFEITO!$J$117*EFEITO!$Y$117</f>
        <v>0</v>
      </c>
      <c r="K117" s="56">
        <f ca="1">EFEITO!$L$117*EFEITO!$Z$117</f>
        <v>4407.50160558262</v>
      </c>
      <c r="L117" s="56">
        <f>EFEITO!$N$117*EFEITO!$AA$117</f>
        <v>0</v>
      </c>
      <c r="M117" s="56">
        <f>$J$117-EFEITO!$K$117*EFEITO!$Y$117</f>
        <v>0</v>
      </c>
      <c r="N117" s="56">
        <f ca="1">$K$117-EFEITO!$M$117*EFEITO!$Z$117</f>
        <v>2203.75080279131</v>
      </c>
      <c r="O117" s="56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35" t="s">
        <v>21</v>
      </c>
      <c r="B118" s="35" t="s">
        <v>39</v>
      </c>
      <c r="C118" s="35" t="s">
        <v>40</v>
      </c>
      <c r="D118" s="35" t="s">
        <v>38</v>
      </c>
      <c r="E118" s="35" t="s">
        <v>25</v>
      </c>
      <c r="F118" s="35" t="s">
        <v>51</v>
      </c>
      <c r="G118" s="35" t="s">
        <v>25</v>
      </c>
      <c r="H118" s="35" t="s">
        <v>34</v>
      </c>
      <c r="I118" s="55">
        <v>44652</v>
      </c>
      <c r="J118" s="56">
        <f>EFEITO!$J$118*EFEITO!$Y$118</f>
        <v>0</v>
      </c>
      <c r="K118" s="56">
        <f ca="1">EFEITO!$L$118*EFEITO!$Z$118</f>
        <v>4432.6873290430922</v>
      </c>
      <c r="L118" s="56">
        <f>EFEITO!$N$118*EFEITO!$AA$118</f>
        <v>0</v>
      </c>
      <c r="M118" s="56">
        <f>$J$118-EFEITO!$K$118*EFEITO!$Y$118</f>
        <v>0</v>
      </c>
      <c r="N118" s="56">
        <f ca="1">$K$118-EFEITO!$M$118*EFEITO!$Z$118</f>
        <v>2216.3436645215461</v>
      </c>
      <c r="O118" s="56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35" t="s">
        <v>27</v>
      </c>
      <c r="B119" s="35" t="s">
        <v>39</v>
      </c>
      <c r="C119" s="35" t="s">
        <v>40</v>
      </c>
      <c r="D119" s="35" t="s">
        <v>38</v>
      </c>
      <c r="E119" s="35" t="s">
        <v>25</v>
      </c>
      <c r="F119" s="35" t="s">
        <v>51</v>
      </c>
      <c r="G119" s="35" t="s">
        <v>25</v>
      </c>
      <c r="H119" s="35" t="s">
        <v>34</v>
      </c>
      <c r="I119" s="55">
        <v>44652</v>
      </c>
      <c r="J119" s="56">
        <f>EFEITO!$J$119*EFEITO!$Y$119</f>
        <v>0</v>
      </c>
      <c r="K119" s="56">
        <f ca="1">EFEITO!$L$119*EFEITO!$Z$119</f>
        <v>4432.6873290430922</v>
      </c>
      <c r="L119" s="56">
        <f>EFEITO!$N$119*EFEITO!$AA$119</f>
        <v>0</v>
      </c>
      <c r="M119" s="56">
        <f>$J$119-EFEITO!$K$119*EFEITO!$Y$119</f>
        <v>0</v>
      </c>
      <c r="N119" s="56">
        <f ca="1">$K$119-EFEITO!$M$119*EFEITO!$Z$119</f>
        <v>2216.3436645215461</v>
      </c>
      <c r="O119" s="56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35" t="s">
        <v>21</v>
      </c>
      <c r="B120" s="35" t="s">
        <v>39</v>
      </c>
      <c r="C120" s="35" t="s">
        <v>40</v>
      </c>
      <c r="D120" s="35" t="s">
        <v>38</v>
      </c>
      <c r="E120" s="35" t="s">
        <v>25</v>
      </c>
      <c r="F120" s="35" t="s">
        <v>51</v>
      </c>
      <c r="G120" s="35" t="s">
        <v>25</v>
      </c>
      <c r="H120" s="35" t="s">
        <v>34</v>
      </c>
      <c r="I120" s="55">
        <v>44682</v>
      </c>
      <c r="J120" s="56">
        <f>EFEITO!$J$120*EFEITO!$Y$120</f>
        <v>0</v>
      </c>
      <c r="K120" s="56">
        <f ca="1">EFEITO!$L$120*EFEITO!$Z$120</f>
        <v>5364.5590970805606</v>
      </c>
      <c r="L120" s="56">
        <f>EFEITO!$N$120*EFEITO!$AA$120</f>
        <v>0</v>
      </c>
      <c r="M120" s="56">
        <f>$J$120-EFEITO!$K$120*EFEITO!$Y$120</f>
        <v>0</v>
      </c>
      <c r="N120" s="56">
        <f ca="1">$K$120-EFEITO!$M$120*EFEITO!$Z$120</f>
        <v>2682.2795485402803</v>
      </c>
      <c r="O120" s="56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35" t="s">
        <v>27</v>
      </c>
      <c r="B121" s="35" t="s">
        <v>39</v>
      </c>
      <c r="C121" s="35" t="s">
        <v>40</v>
      </c>
      <c r="D121" s="35" t="s">
        <v>38</v>
      </c>
      <c r="E121" s="35" t="s">
        <v>25</v>
      </c>
      <c r="F121" s="35" t="s">
        <v>51</v>
      </c>
      <c r="G121" s="35" t="s">
        <v>25</v>
      </c>
      <c r="H121" s="35" t="s">
        <v>34</v>
      </c>
      <c r="I121" s="55">
        <v>44682</v>
      </c>
      <c r="J121" s="56">
        <f>EFEITO!$J$121*EFEITO!$Y$121</f>
        <v>0</v>
      </c>
      <c r="K121" s="56">
        <f ca="1">EFEITO!$L$121*EFEITO!$Z$121</f>
        <v>5364.5590970805606</v>
      </c>
      <c r="L121" s="56">
        <f>EFEITO!$N$121*EFEITO!$AA$121</f>
        <v>0</v>
      </c>
      <c r="M121" s="56">
        <f>$J$121-EFEITO!$K$121*EFEITO!$Y$121</f>
        <v>0</v>
      </c>
      <c r="N121" s="56">
        <f ca="1">$K$121-EFEITO!$M$121*EFEITO!$Z$121</f>
        <v>2682.2795485402803</v>
      </c>
      <c r="O121" s="56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35" t="s">
        <v>21</v>
      </c>
      <c r="B122" s="35" t="s">
        <v>39</v>
      </c>
      <c r="C122" s="35" t="s">
        <v>40</v>
      </c>
      <c r="D122" s="35" t="s">
        <v>38</v>
      </c>
      <c r="E122" s="35" t="s">
        <v>25</v>
      </c>
      <c r="F122" s="35" t="s">
        <v>51</v>
      </c>
      <c r="G122" s="35" t="s">
        <v>25</v>
      </c>
      <c r="H122" s="35" t="s">
        <v>34</v>
      </c>
      <c r="I122" s="55">
        <v>44713</v>
      </c>
      <c r="J122" s="56">
        <f>EFEITO!$J$122*EFEITO!$Y$122</f>
        <v>0</v>
      </c>
      <c r="K122" s="56">
        <f ca="1">EFEITO!$L$122*EFEITO!$Z$122</f>
        <v>5289.001926699144</v>
      </c>
      <c r="L122" s="56">
        <f>EFEITO!$N$122*EFEITO!$AA$122</f>
        <v>0</v>
      </c>
      <c r="M122" s="56">
        <f>$J$122-EFEITO!$K$122*EFEITO!$Y$122</f>
        <v>0</v>
      </c>
      <c r="N122" s="56">
        <f ca="1">$K$122-EFEITO!$M$122*EFEITO!$Z$122</f>
        <v>2644.500963349572</v>
      </c>
      <c r="O122" s="56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35" t="s">
        <v>27</v>
      </c>
      <c r="B123" s="35" t="s">
        <v>39</v>
      </c>
      <c r="C123" s="35" t="s">
        <v>40</v>
      </c>
      <c r="D123" s="35" t="s">
        <v>38</v>
      </c>
      <c r="E123" s="35" t="s">
        <v>25</v>
      </c>
      <c r="F123" s="35" t="s">
        <v>51</v>
      </c>
      <c r="G123" s="35" t="s">
        <v>25</v>
      </c>
      <c r="H123" s="35" t="s">
        <v>34</v>
      </c>
      <c r="I123" s="55">
        <v>44713</v>
      </c>
      <c r="J123" s="56">
        <f>EFEITO!$J$123*EFEITO!$Y$123</f>
        <v>0</v>
      </c>
      <c r="K123" s="56">
        <f ca="1">EFEITO!$L$123*EFEITO!$Z$123</f>
        <v>5289.001926699144</v>
      </c>
      <c r="L123" s="56">
        <f>EFEITO!$N$123*EFEITO!$AA$123</f>
        <v>0</v>
      </c>
      <c r="M123" s="56">
        <f>$J$123-EFEITO!$K$123*EFEITO!$Y$123</f>
        <v>0</v>
      </c>
      <c r="N123" s="56">
        <f ca="1">$K$123-EFEITO!$M$123*EFEITO!$Z$123</f>
        <v>2644.500963349572</v>
      </c>
      <c r="O123" s="56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35" t="s">
        <v>21</v>
      </c>
      <c r="B124" s="35" t="s">
        <v>39</v>
      </c>
      <c r="C124" s="35" t="s">
        <v>40</v>
      </c>
      <c r="D124" s="35" t="s">
        <v>38</v>
      </c>
      <c r="E124" s="35" t="s">
        <v>25</v>
      </c>
      <c r="F124" s="35" t="s">
        <v>51</v>
      </c>
      <c r="G124" s="35" t="s">
        <v>25</v>
      </c>
      <c r="H124" s="35" t="s">
        <v>34</v>
      </c>
      <c r="I124" s="55">
        <v>44743</v>
      </c>
      <c r="J124" s="56">
        <f>EFEITO!$J$124*EFEITO!$Y$124</f>
        <v>0</v>
      </c>
      <c r="K124" s="56">
        <f ca="1">EFEITO!$L$124*EFEITO!$Z$124</f>
        <v>5691.9735020666976</v>
      </c>
      <c r="L124" s="56">
        <f>EFEITO!$N$124*EFEITO!$AA$124</f>
        <v>0</v>
      </c>
      <c r="M124" s="56">
        <f>$J$124-EFEITO!$K$124*EFEITO!$Y$124</f>
        <v>0</v>
      </c>
      <c r="N124" s="56">
        <f ca="1">$K$124-EFEITO!$M$124*EFEITO!$Z$124</f>
        <v>2845.9867510333488</v>
      </c>
      <c r="O124" s="56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35" t="s">
        <v>27</v>
      </c>
      <c r="B125" s="35" t="s">
        <v>39</v>
      </c>
      <c r="C125" s="35" t="s">
        <v>40</v>
      </c>
      <c r="D125" s="35" t="s">
        <v>38</v>
      </c>
      <c r="E125" s="35" t="s">
        <v>25</v>
      </c>
      <c r="F125" s="35" t="s">
        <v>51</v>
      </c>
      <c r="G125" s="35" t="s">
        <v>25</v>
      </c>
      <c r="H125" s="35" t="s">
        <v>34</v>
      </c>
      <c r="I125" s="55">
        <v>44743</v>
      </c>
      <c r="J125" s="56">
        <f>EFEITO!$J$125*EFEITO!$Y$125</f>
        <v>0</v>
      </c>
      <c r="K125" s="56">
        <f ca="1">EFEITO!$L$125*EFEITO!$Z$125</f>
        <v>5691.9735020666976</v>
      </c>
      <c r="L125" s="56">
        <f>EFEITO!$N$125*EFEITO!$AA$125</f>
        <v>0</v>
      </c>
      <c r="M125" s="56">
        <f>$J$125-EFEITO!$K$125*EFEITO!$Y$125</f>
        <v>0</v>
      </c>
      <c r="N125" s="56">
        <f ca="1">$K$125-EFEITO!$M$125*EFEITO!$Z$125</f>
        <v>2845.9867510333488</v>
      </c>
      <c r="O125" s="56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35" t="s">
        <v>21</v>
      </c>
      <c r="B126" s="35" t="s">
        <v>39</v>
      </c>
      <c r="C126" s="35" t="s">
        <v>40</v>
      </c>
      <c r="D126" s="35" t="s">
        <v>38</v>
      </c>
      <c r="E126" s="35" t="s">
        <v>25</v>
      </c>
      <c r="F126" s="35" t="s">
        <v>51</v>
      </c>
      <c r="G126" s="35" t="s">
        <v>25</v>
      </c>
      <c r="H126" s="35" t="s">
        <v>34</v>
      </c>
      <c r="I126" s="55">
        <v>44774</v>
      </c>
      <c r="J126" s="56">
        <f>EFEITO!$J$126*EFEITO!$Y$126</f>
        <v>0</v>
      </c>
      <c r="K126" s="56">
        <f ca="1">EFEITO!$L$126*EFEITO!$Z$126</f>
        <v>5105.505941487133</v>
      </c>
      <c r="L126" s="56">
        <f>EFEITO!$N$126*EFEITO!$AA$126</f>
        <v>0</v>
      </c>
      <c r="M126" s="56">
        <f>$J$126-EFEITO!$K$126*EFEITO!$Y$126</f>
        <v>0</v>
      </c>
      <c r="N126" s="56">
        <f ca="1">$K$126-EFEITO!$M$126*EFEITO!$Z$126</f>
        <v>2476.6809322154086</v>
      </c>
      <c r="O126" s="56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35" t="s">
        <v>27</v>
      </c>
      <c r="B127" s="35" t="s">
        <v>39</v>
      </c>
      <c r="C127" s="35" t="s">
        <v>40</v>
      </c>
      <c r="D127" s="35" t="s">
        <v>38</v>
      </c>
      <c r="E127" s="35" t="s">
        <v>25</v>
      </c>
      <c r="F127" s="35" t="s">
        <v>51</v>
      </c>
      <c r="G127" s="35" t="s">
        <v>25</v>
      </c>
      <c r="H127" s="35" t="s">
        <v>34</v>
      </c>
      <c r="I127" s="55">
        <v>44774</v>
      </c>
      <c r="J127" s="56">
        <f>EFEITO!$J$127*EFEITO!$Y$127</f>
        <v>0</v>
      </c>
      <c r="K127" s="56">
        <f ca="1">EFEITO!$L$127*EFEITO!$Z$127</f>
        <v>5105.505941487133</v>
      </c>
      <c r="L127" s="56">
        <f>EFEITO!$N$127*EFEITO!$AA$127</f>
        <v>0</v>
      </c>
      <c r="M127" s="56">
        <f>$J$127-EFEITO!$K$127*EFEITO!$Y$127</f>
        <v>0</v>
      </c>
      <c r="N127" s="56">
        <f ca="1">$K$127-EFEITO!$M$127*EFEITO!$Z$127</f>
        <v>2476.6809322154086</v>
      </c>
      <c r="O127" s="56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35" t="s">
        <v>21</v>
      </c>
      <c r="B128" s="35" t="s">
        <v>39</v>
      </c>
      <c r="C128" s="35" t="s">
        <v>40</v>
      </c>
      <c r="D128" s="35" t="s">
        <v>38</v>
      </c>
      <c r="E128" s="35" t="s">
        <v>25</v>
      </c>
      <c r="F128" s="35" t="s">
        <v>25</v>
      </c>
      <c r="G128" s="35" t="s">
        <v>25</v>
      </c>
      <c r="H128" s="35" t="s">
        <v>35</v>
      </c>
      <c r="I128" s="55">
        <v>44440</v>
      </c>
      <c r="J128" s="56">
        <f>EFEITO!$J$128*EFEITO!$Y$128</f>
        <v>0</v>
      </c>
      <c r="K128" s="56">
        <f ca="1">EFEITO!$L$128*EFEITO!$Z$128</f>
        <v>16215.50571481973</v>
      </c>
      <c r="L128" s="56">
        <f>EFEITO!$N$128*EFEITO!$AA$128</f>
        <v>13827.553013404107</v>
      </c>
      <c r="M128" s="56">
        <f>$J$128-EFEITO!$K$128*EFEITO!$Y$128</f>
        <v>0</v>
      </c>
      <c r="N128" s="56">
        <f ca="1">$K$128-EFEITO!$M$128*EFEITO!$Z$128</f>
        <v>0</v>
      </c>
      <c r="O128" s="56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35" t="s">
        <v>28</v>
      </c>
      <c r="B129" s="35" t="s">
        <v>39</v>
      </c>
      <c r="C129" s="35" t="s">
        <v>40</v>
      </c>
      <c r="D129" s="35" t="s">
        <v>38</v>
      </c>
      <c r="E129" s="35" t="s">
        <v>25</v>
      </c>
      <c r="F129" s="35" t="s">
        <v>25</v>
      </c>
      <c r="G129" s="35" t="s">
        <v>25</v>
      </c>
      <c r="H129" s="35" t="s">
        <v>35</v>
      </c>
      <c r="I129" s="55">
        <v>44440</v>
      </c>
      <c r="J129" s="56">
        <f>EFEITO!$J$129*EFEITO!$Y$129</f>
        <v>0</v>
      </c>
      <c r="K129" s="56">
        <f ca="1">EFEITO!$L$129*EFEITO!$Z$129</f>
        <v>129.8183926067058</v>
      </c>
      <c r="L129" s="56">
        <f>EFEITO!$N$129*EFEITO!$AA$129</f>
        <v>110.70087713906912</v>
      </c>
      <c r="M129" s="56">
        <f>$J$129-EFEITO!$K$129*EFEITO!$Y$129</f>
        <v>0</v>
      </c>
      <c r="N129" s="56">
        <f ca="1">$K$129-EFEITO!$M$129*EFEITO!$Z$129</f>
        <v>0</v>
      </c>
      <c r="O129" s="56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35" t="s">
        <v>21</v>
      </c>
      <c r="B130" s="35" t="s">
        <v>39</v>
      </c>
      <c r="C130" s="35" t="s">
        <v>40</v>
      </c>
      <c r="D130" s="35" t="s">
        <v>38</v>
      </c>
      <c r="E130" s="35" t="s">
        <v>25</v>
      </c>
      <c r="F130" s="35" t="s">
        <v>25</v>
      </c>
      <c r="G130" s="35" t="s">
        <v>25</v>
      </c>
      <c r="H130" s="35" t="s">
        <v>35</v>
      </c>
      <c r="I130" s="55">
        <v>44470</v>
      </c>
      <c r="J130" s="56">
        <f>EFEITO!$J$130*EFEITO!$Y$130</f>
        <v>0</v>
      </c>
      <c r="K130" s="56">
        <f ca="1">EFEITO!$L$130*EFEITO!$Z$130</f>
        <v>8911.3927026276451</v>
      </c>
      <c r="L130" s="56">
        <f>EFEITO!$N$130*EFEITO!$AA$130</f>
        <v>7599.0695070478187</v>
      </c>
      <c r="M130" s="56">
        <f>$J$130-EFEITO!$K$130*EFEITO!$Y$130</f>
        <v>0</v>
      </c>
      <c r="N130" s="56">
        <f ca="1">$K$130-EFEITO!$M$130*EFEITO!$Z$130</f>
        <v>0</v>
      </c>
      <c r="O130" s="56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35" t="s">
        <v>21</v>
      </c>
      <c r="B131" s="35" t="s">
        <v>39</v>
      </c>
      <c r="C131" s="35" t="s">
        <v>40</v>
      </c>
      <c r="D131" s="35" t="s">
        <v>38</v>
      </c>
      <c r="E131" s="35" t="s">
        <v>25</v>
      </c>
      <c r="F131" s="35" t="s">
        <v>25</v>
      </c>
      <c r="G131" s="35" t="s">
        <v>25</v>
      </c>
      <c r="H131" s="35" t="s">
        <v>35</v>
      </c>
      <c r="I131" s="55">
        <v>44501</v>
      </c>
      <c r="J131" s="56">
        <f>EFEITO!$J$131*EFEITO!$Y$131</f>
        <v>0</v>
      </c>
      <c r="K131" s="56">
        <f ca="1">EFEITO!$L$131*EFEITO!$Z$131</f>
        <v>10312.060021731406</v>
      </c>
      <c r="L131" s="56">
        <f>EFEITO!$N$131*EFEITO!$AA$131</f>
        <v>8793.4696046870285</v>
      </c>
      <c r="M131" s="56">
        <f>$J$131-EFEITO!$K$131*EFEITO!$Y$131</f>
        <v>0</v>
      </c>
      <c r="N131" s="56">
        <f ca="1">$K$131-EFEITO!$M$131*EFEITO!$Z$131</f>
        <v>0</v>
      </c>
      <c r="O131" s="56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35" t="s">
        <v>21</v>
      </c>
      <c r="B132" s="35" t="s">
        <v>39</v>
      </c>
      <c r="C132" s="35" t="s">
        <v>40</v>
      </c>
      <c r="D132" s="35" t="s">
        <v>38</v>
      </c>
      <c r="E132" s="35" t="s">
        <v>25</v>
      </c>
      <c r="F132" s="35" t="s">
        <v>25</v>
      </c>
      <c r="G132" s="35" t="s">
        <v>25</v>
      </c>
      <c r="H132" s="35" t="s">
        <v>35</v>
      </c>
      <c r="I132" s="55">
        <v>44531</v>
      </c>
      <c r="J132" s="56">
        <f>EFEITO!$J$132*EFEITO!$Y$132</f>
        <v>0</v>
      </c>
      <c r="K132" s="56">
        <f ca="1">EFEITO!$L$132*EFEITO!$Z$132</f>
        <v>11162.187650498841</v>
      </c>
      <c r="L132" s="56">
        <f>EFEITO!$N$132*EFEITO!$AA$132</f>
        <v>9518.4044332195663</v>
      </c>
      <c r="M132" s="56">
        <f>$J$132-EFEITO!$K$132*EFEITO!$Y$132</f>
        <v>0</v>
      </c>
      <c r="N132" s="56">
        <f ca="1">$K$132-EFEITO!$M$132*EFEITO!$Z$132</f>
        <v>0</v>
      </c>
      <c r="O132" s="56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35" t="s">
        <v>21</v>
      </c>
      <c r="B133" s="35" t="s">
        <v>39</v>
      </c>
      <c r="C133" s="35" t="s">
        <v>40</v>
      </c>
      <c r="D133" s="35" t="s">
        <v>38</v>
      </c>
      <c r="E133" s="35" t="s">
        <v>25</v>
      </c>
      <c r="F133" s="35" t="s">
        <v>25</v>
      </c>
      <c r="G133" s="35" t="s">
        <v>25</v>
      </c>
      <c r="H133" s="35" t="s">
        <v>35</v>
      </c>
      <c r="I133" s="55">
        <v>44562</v>
      </c>
      <c r="J133" s="56">
        <f>EFEITO!$J$133*EFEITO!$Y$133</f>
        <v>0</v>
      </c>
      <c r="K133" s="56">
        <f ca="1">EFEITO!$L$133*EFEITO!$Z$133</f>
        <v>9051.6331352041852</v>
      </c>
      <c r="L133" s="56">
        <f>EFEITO!$N$133*EFEITO!$AA$133</f>
        <v>7718.6576377036863</v>
      </c>
      <c r="M133" s="56">
        <f>$J$133-EFEITO!$K$133*EFEITO!$Y$133</f>
        <v>0</v>
      </c>
      <c r="N133" s="56">
        <f ca="1">$K$133-EFEITO!$M$133*EFEITO!$Z$133</f>
        <v>0</v>
      </c>
      <c r="O133" s="56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35" t="s">
        <v>21</v>
      </c>
      <c r="B134" s="35" t="s">
        <v>39</v>
      </c>
      <c r="C134" s="35" t="s">
        <v>40</v>
      </c>
      <c r="D134" s="35" t="s">
        <v>38</v>
      </c>
      <c r="E134" s="35" t="s">
        <v>25</v>
      </c>
      <c r="F134" s="35" t="s">
        <v>25</v>
      </c>
      <c r="G134" s="35" t="s">
        <v>25</v>
      </c>
      <c r="H134" s="35" t="s">
        <v>35</v>
      </c>
      <c r="I134" s="55">
        <v>44593</v>
      </c>
      <c r="J134" s="56">
        <f>EFEITO!$J$134*EFEITO!$Y$134</f>
        <v>0</v>
      </c>
      <c r="K134" s="56">
        <f ca="1">EFEITO!$L$134*EFEITO!$Z$134</f>
        <v>12682.159900836228</v>
      </c>
      <c r="L134" s="56">
        <f>EFEITO!$N$134*EFEITO!$AA$134</f>
        <v>10814.540196116865</v>
      </c>
      <c r="M134" s="56">
        <f>$J$134-EFEITO!$K$134*EFEITO!$Y$134</f>
        <v>0</v>
      </c>
      <c r="N134" s="56">
        <f ca="1">$K$134-EFEITO!$M$134*EFEITO!$Z$134</f>
        <v>0</v>
      </c>
      <c r="O134" s="56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35" t="s">
        <v>21</v>
      </c>
      <c r="B135" s="35" t="s">
        <v>39</v>
      </c>
      <c r="C135" s="35" t="s">
        <v>40</v>
      </c>
      <c r="D135" s="35" t="s">
        <v>38</v>
      </c>
      <c r="E135" s="35" t="s">
        <v>25</v>
      </c>
      <c r="F135" s="35" t="s">
        <v>25</v>
      </c>
      <c r="G135" s="35" t="s">
        <v>25</v>
      </c>
      <c r="H135" s="35" t="s">
        <v>35</v>
      </c>
      <c r="I135" s="55">
        <v>44621</v>
      </c>
      <c r="J135" s="56">
        <f>EFEITO!$J$135*EFEITO!$Y$135</f>
        <v>0</v>
      </c>
      <c r="K135" s="56">
        <f ca="1">EFEITO!$L$135*EFEITO!$Z$135</f>
        <v>17570.188068091677</v>
      </c>
      <c r="L135" s="56">
        <f>EFEITO!$N$135*EFEITO!$AA$135</f>
        <v>14982.740053859547</v>
      </c>
      <c r="M135" s="56">
        <f>$J$135-EFEITO!$K$135*EFEITO!$Y$135</f>
        <v>0</v>
      </c>
      <c r="N135" s="56">
        <f ca="1">$K$135-EFEITO!$M$135*EFEITO!$Z$135</f>
        <v>0</v>
      </c>
      <c r="O135" s="56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35" t="s">
        <v>21</v>
      </c>
      <c r="B136" s="35" t="s">
        <v>39</v>
      </c>
      <c r="C136" s="35" t="s">
        <v>40</v>
      </c>
      <c r="D136" s="35" t="s">
        <v>38</v>
      </c>
      <c r="E136" s="35" t="s">
        <v>25</v>
      </c>
      <c r="F136" s="35" t="s">
        <v>25</v>
      </c>
      <c r="G136" s="35" t="s">
        <v>25</v>
      </c>
      <c r="H136" s="35" t="s">
        <v>35</v>
      </c>
      <c r="I136" s="55">
        <v>44652</v>
      </c>
      <c r="J136" s="56">
        <f>EFEITO!$J$136*EFEITO!$Y$136</f>
        <v>0</v>
      </c>
      <c r="K136" s="56">
        <f ca="1">EFEITO!$L$136*EFEITO!$Z$136</f>
        <v>14329.116480279752</v>
      </c>
      <c r="L136" s="56">
        <f>EFEITO!$N$136*EFEITO!$AA$136</f>
        <v>12218.960126863576</v>
      </c>
      <c r="M136" s="56">
        <f>$J$136-EFEITO!$K$136*EFEITO!$Y$136</f>
        <v>0</v>
      </c>
      <c r="N136" s="56">
        <f ca="1">$K$136-EFEITO!$M$136*EFEITO!$Z$136</f>
        <v>0</v>
      </c>
      <c r="O136" s="56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35" t="s">
        <v>21</v>
      </c>
      <c r="B137" s="35" t="s">
        <v>39</v>
      </c>
      <c r="C137" s="35" t="s">
        <v>40</v>
      </c>
      <c r="D137" s="35" t="s">
        <v>38</v>
      </c>
      <c r="E137" s="35" t="s">
        <v>25</v>
      </c>
      <c r="F137" s="35" t="s">
        <v>25</v>
      </c>
      <c r="G137" s="35" t="s">
        <v>25</v>
      </c>
      <c r="H137" s="35" t="s">
        <v>35</v>
      </c>
      <c r="I137" s="55">
        <v>44682</v>
      </c>
      <c r="J137" s="56">
        <f>EFEITO!$J$137*EFEITO!$Y$137</f>
        <v>0</v>
      </c>
      <c r="K137" s="56">
        <f ca="1">EFEITO!$L$137*EFEITO!$Z$137</f>
        <v>18191.945031555206</v>
      </c>
      <c r="L137" s="56">
        <f>EFEITO!$N$137*EFEITO!$AA$137</f>
        <v>15512.934888664344</v>
      </c>
      <c r="M137" s="56">
        <f>$J$137-EFEITO!$K$137*EFEITO!$Y$137</f>
        <v>0</v>
      </c>
      <c r="N137" s="56">
        <f ca="1">$K$137-EFEITO!$M$137*EFEITO!$Z$137</f>
        <v>0</v>
      </c>
      <c r="O137" s="56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35" t="s">
        <v>21</v>
      </c>
      <c r="B138" s="35" t="s">
        <v>39</v>
      </c>
      <c r="C138" s="35" t="s">
        <v>40</v>
      </c>
      <c r="D138" s="35" t="s">
        <v>38</v>
      </c>
      <c r="E138" s="35" t="s">
        <v>25</v>
      </c>
      <c r="F138" s="35" t="s">
        <v>25</v>
      </c>
      <c r="G138" s="35" t="s">
        <v>25</v>
      </c>
      <c r="H138" s="35" t="s">
        <v>35</v>
      </c>
      <c r="I138" s="55">
        <v>44713</v>
      </c>
      <c r="J138" s="56">
        <f>EFEITO!$J$138*EFEITO!$Y$138</f>
        <v>0</v>
      </c>
      <c r="K138" s="56">
        <f ca="1">EFEITO!$L$138*EFEITO!$Z$138</f>
        <v>17933.679567390453</v>
      </c>
      <c r="L138" s="56">
        <f>EFEITO!$N$138*EFEITO!$AA$138</f>
        <v>15292.702509848939</v>
      </c>
      <c r="M138" s="56">
        <f>$J$138-EFEITO!$K$138*EFEITO!$Y$138</f>
        <v>0</v>
      </c>
      <c r="N138" s="56">
        <f ca="1">$K$138-EFEITO!$M$138*EFEITO!$Z$138</f>
        <v>0</v>
      </c>
      <c r="O138" s="56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35" t="s">
        <v>21</v>
      </c>
      <c r="B139" s="35" t="s">
        <v>39</v>
      </c>
      <c r="C139" s="35" t="s">
        <v>40</v>
      </c>
      <c r="D139" s="35" t="s">
        <v>38</v>
      </c>
      <c r="E139" s="35" t="s">
        <v>25</v>
      </c>
      <c r="F139" s="35" t="s">
        <v>25</v>
      </c>
      <c r="G139" s="35" t="s">
        <v>25</v>
      </c>
      <c r="H139" s="35" t="s">
        <v>35</v>
      </c>
      <c r="I139" s="55">
        <v>44743</v>
      </c>
      <c r="J139" s="56">
        <f>EFEITO!$J$139*EFEITO!$Y$139</f>
        <v>0</v>
      </c>
      <c r="K139" s="56">
        <f ca="1">EFEITO!$L$139*EFEITO!$Z$139</f>
        <v>17661.975156948814</v>
      </c>
      <c r="L139" s="56">
        <f>EFEITO!$N$139*EFEITO!$AA$139</f>
        <v>15061.010251498721</v>
      </c>
      <c r="M139" s="56">
        <f>$J$139-EFEITO!$K$139*EFEITO!$Y$139</f>
        <v>0</v>
      </c>
      <c r="N139" s="56">
        <f ca="1">$K$139-EFEITO!$M$139*EFEITO!$Z$139</f>
        <v>0</v>
      </c>
      <c r="O139" s="56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35" t="s">
        <v>21</v>
      </c>
      <c r="B140" s="35" t="s">
        <v>39</v>
      </c>
      <c r="C140" s="35" t="s">
        <v>40</v>
      </c>
      <c r="D140" s="35" t="s">
        <v>38</v>
      </c>
      <c r="E140" s="35" t="s">
        <v>25</v>
      </c>
      <c r="F140" s="35" t="s">
        <v>25</v>
      </c>
      <c r="G140" s="35" t="s">
        <v>25</v>
      </c>
      <c r="H140" s="35" t="s">
        <v>35</v>
      </c>
      <c r="I140" s="55">
        <v>44774</v>
      </c>
      <c r="J140" s="56">
        <f>EFEITO!$J$140*EFEITO!$Y$140</f>
        <v>0</v>
      </c>
      <c r="K140" s="56">
        <f ca="1">EFEITO!$L$140*EFEITO!$Z$140</f>
        <v>17864.74782934436</v>
      </c>
      <c r="L140" s="56">
        <f>EFEITO!$N$140*EFEITO!$AA$140</f>
        <v>15233.921903255379</v>
      </c>
      <c r="M140" s="56">
        <f>$J$140-EFEITO!$K$140*EFEITO!$Y$140</f>
        <v>0</v>
      </c>
      <c r="N140" s="56">
        <f ca="1">$K$140-EFEITO!$M$140*EFEITO!$Z$140</f>
        <v>0</v>
      </c>
      <c r="O140" s="56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35" t="s">
        <v>21</v>
      </c>
      <c r="B141" s="35" t="s">
        <v>39</v>
      </c>
      <c r="C141" s="35" t="s">
        <v>40</v>
      </c>
      <c r="D141" s="35" t="s">
        <v>38</v>
      </c>
      <c r="E141" s="35" t="s">
        <v>25</v>
      </c>
      <c r="F141" s="35" t="s">
        <v>25</v>
      </c>
      <c r="G141" s="35" t="s">
        <v>25</v>
      </c>
      <c r="H141" s="35" t="s">
        <v>25</v>
      </c>
      <c r="I141" s="55">
        <v>44440</v>
      </c>
      <c r="J141" s="56">
        <f ca="1">EFEITO!$J$141*EFEITO!$Y$141</f>
        <v>75199.246507083255</v>
      </c>
      <c r="K141" s="56">
        <f>EFEITO!$L$141*EFEITO!$Z$141</f>
        <v>0</v>
      </c>
      <c r="L141" s="56">
        <f>EFEITO!$N$141*EFEITO!$AA$141</f>
        <v>0</v>
      </c>
      <c r="M141" s="56">
        <f ca="1">$J$141-EFEITO!$K$141*EFEITO!$Y$141</f>
        <v>0</v>
      </c>
      <c r="N141" s="56">
        <f>$K$141-EFEITO!$M$141*EFEITO!$Z$141</f>
        <v>0</v>
      </c>
      <c r="O141" s="56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35" t="s">
        <v>28</v>
      </c>
      <c r="B142" s="35" t="s">
        <v>39</v>
      </c>
      <c r="C142" s="35" t="s">
        <v>40</v>
      </c>
      <c r="D142" s="35" t="s">
        <v>38</v>
      </c>
      <c r="E142" s="35" t="s">
        <v>25</v>
      </c>
      <c r="F142" s="35" t="s">
        <v>25</v>
      </c>
      <c r="G142" s="35" t="s">
        <v>25</v>
      </c>
      <c r="H142" s="35" t="s">
        <v>25</v>
      </c>
      <c r="I142" s="55">
        <v>44440</v>
      </c>
      <c r="J142" s="56">
        <f ca="1">EFEITO!$J$142*EFEITO!$Y$142</f>
        <v>5572.0201024844291</v>
      </c>
      <c r="K142" s="56">
        <f>EFEITO!$L$142*EFEITO!$Z$142</f>
        <v>0</v>
      </c>
      <c r="L142" s="56">
        <f>EFEITO!$N$142*EFEITO!$AA$142</f>
        <v>0</v>
      </c>
      <c r="M142" s="56">
        <f ca="1">$J$142-EFEITO!$K$142*EFEITO!$Y$142</f>
        <v>0</v>
      </c>
      <c r="N142" s="56">
        <f>$K$142-EFEITO!$M$142*EFEITO!$Z$142</f>
        <v>0</v>
      </c>
      <c r="O142" s="56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35" t="s">
        <v>21</v>
      </c>
      <c r="B143" s="35" t="s">
        <v>39</v>
      </c>
      <c r="C143" s="35" t="s">
        <v>40</v>
      </c>
      <c r="D143" s="35" t="s">
        <v>38</v>
      </c>
      <c r="E143" s="35" t="s">
        <v>25</v>
      </c>
      <c r="F143" s="35" t="s">
        <v>25</v>
      </c>
      <c r="G143" s="35" t="s">
        <v>25</v>
      </c>
      <c r="H143" s="35" t="s">
        <v>25</v>
      </c>
      <c r="I143" s="55">
        <v>44470</v>
      </c>
      <c r="J143" s="56">
        <f ca="1">EFEITO!$J$143*EFEITO!$Y$143</f>
        <v>75659.744036214193</v>
      </c>
      <c r="K143" s="56">
        <f>EFEITO!$L$143*EFEITO!$Z$143</f>
        <v>0</v>
      </c>
      <c r="L143" s="56">
        <f>EFEITO!$N$143*EFEITO!$AA$143</f>
        <v>0</v>
      </c>
      <c r="M143" s="56">
        <f ca="1">$J$143-EFEITO!$K$143*EFEITO!$Y$143</f>
        <v>0</v>
      </c>
      <c r="N143" s="56">
        <f>$K$143-EFEITO!$M$143*EFEITO!$Z$143</f>
        <v>0</v>
      </c>
      <c r="O143" s="56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35" t="s">
        <v>28</v>
      </c>
      <c r="B144" s="35" t="s">
        <v>39</v>
      </c>
      <c r="C144" s="35" t="s">
        <v>40</v>
      </c>
      <c r="D144" s="35" t="s">
        <v>38</v>
      </c>
      <c r="E144" s="35" t="s">
        <v>25</v>
      </c>
      <c r="F144" s="35" t="s">
        <v>25</v>
      </c>
      <c r="G144" s="35" t="s">
        <v>25</v>
      </c>
      <c r="H144" s="35" t="s">
        <v>25</v>
      </c>
      <c r="I144" s="55">
        <v>44470</v>
      </c>
      <c r="J144" s="56">
        <f ca="1">EFEITO!$J$144*EFEITO!$Y$144</f>
        <v>5479.9205966582404</v>
      </c>
      <c r="K144" s="56">
        <f>EFEITO!$L$144*EFEITO!$Z$144</f>
        <v>0</v>
      </c>
      <c r="L144" s="56">
        <f>EFEITO!$N$144*EFEITO!$AA$144</f>
        <v>0</v>
      </c>
      <c r="M144" s="56">
        <f ca="1">$J$144-EFEITO!$K$144*EFEITO!$Y$144</f>
        <v>0</v>
      </c>
      <c r="N144" s="56">
        <f>$K$144-EFEITO!$M$144*EFEITO!$Z$144</f>
        <v>0</v>
      </c>
      <c r="O144" s="56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35" t="s">
        <v>21</v>
      </c>
      <c r="B145" s="35" t="s">
        <v>39</v>
      </c>
      <c r="C145" s="35" t="s">
        <v>40</v>
      </c>
      <c r="D145" s="35" t="s">
        <v>38</v>
      </c>
      <c r="E145" s="35" t="s">
        <v>25</v>
      </c>
      <c r="F145" s="35" t="s">
        <v>25</v>
      </c>
      <c r="G145" s="35" t="s">
        <v>25</v>
      </c>
      <c r="H145" s="35" t="s">
        <v>25</v>
      </c>
      <c r="I145" s="55">
        <v>44501</v>
      </c>
      <c r="J145" s="56">
        <f ca="1">EFEITO!$J$145*EFEITO!$Y$145</f>
        <v>49641.633640315828</v>
      </c>
      <c r="K145" s="56">
        <f>EFEITO!$L$145*EFEITO!$Z$145</f>
        <v>0</v>
      </c>
      <c r="L145" s="56">
        <f>EFEITO!$N$145*EFEITO!$AA$145</f>
        <v>0</v>
      </c>
      <c r="M145" s="56">
        <f ca="1">$J$145-EFEITO!$K$145*EFEITO!$Y$145</f>
        <v>0</v>
      </c>
      <c r="N145" s="56">
        <f>$K$145-EFEITO!$M$145*EFEITO!$Z$145</f>
        <v>0</v>
      </c>
      <c r="O145" s="56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35" t="s">
        <v>28</v>
      </c>
      <c r="B146" s="35" t="s">
        <v>39</v>
      </c>
      <c r="C146" s="35" t="s">
        <v>40</v>
      </c>
      <c r="D146" s="35" t="s">
        <v>38</v>
      </c>
      <c r="E146" s="35" t="s">
        <v>25</v>
      </c>
      <c r="F146" s="35" t="s">
        <v>25</v>
      </c>
      <c r="G146" s="35" t="s">
        <v>25</v>
      </c>
      <c r="H146" s="35" t="s">
        <v>25</v>
      </c>
      <c r="I146" s="55">
        <v>44501</v>
      </c>
      <c r="J146" s="56">
        <f ca="1">EFEITO!$J$146*EFEITO!$Y$146</f>
        <v>5572.0201024844291</v>
      </c>
      <c r="K146" s="56">
        <f>EFEITO!$L$146*EFEITO!$Z$146</f>
        <v>0</v>
      </c>
      <c r="L146" s="56">
        <f>EFEITO!$N$146*EFEITO!$AA$146</f>
        <v>0</v>
      </c>
      <c r="M146" s="56">
        <f ca="1">$J$146-EFEITO!$K$146*EFEITO!$Y$146</f>
        <v>0</v>
      </c>
      <c r="N146" s="56">
        <f>$K$146-EFEITO!$M$146*EFEITO!$Z$146</f>
        <v>0</v>
      </c>
      <c r="O146" s="56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35" t="s">
        <v>21</v>
      </c>
      <c r="B147" s="35" t="s">
        <v>39</v>
      </c>
      <c r="C147" s="35" t="s">
        <v>40</v>
      </c>
      <c r="D147" s="35" t="s">
        <v>38</v>
      </c>
      <c r="E147" s="35" t="s">
        <v>25</v>
      </c>
      <c r="F147" s="35" t="s">
        <v>25</v>
      </c>
      <c r="G147" s="35" t="s">
        <v>25</v>
      </c>
      <c r="H147" s="35" t="s">
        <v>25</v>
      </c>
      <c r="I147" s="55">
        <v>44531</v>
      </c>
      <c r="J147" s="56">
        <f ca="1">EFEITO!$J$147*EFEITO!$Y$147</f>
        <v>45082.708101919474</v>
      </c>
      <c r="K147" s="56">
        <f>EFEITO!$L$147*EFEITO!$Z$147</f>
        <v>0</v>
      </c>
      <c r="L147" s="56">
        <f>EFEITO!$N$147*EFEITO!$AA$147</f>
        <v>0</v>
      </c>
      <c r="M147" s="56">
        <f ca="1">$J$147-EFEITO!$K$147*EFEITO!$Y$147</f>
        <v>0</v>
      </c>
      <c r="N147" s="56">
        <f>$K$147-EFEITO!$M$147*EFEITO!$Z$147</f>
        <v>0</v>
      </c>
      <c r="O147" s="56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35" t="s">
        <v>28</v>
      </c>
      <c r="B148" s="35" t="s">
        <v>39</v>
      </c>
      <c r="C148" s="35" t="s">
        <v>40</v>
      </c>
      <c r="D148" s="35" t="s">
        <v>38</v>
      </c>
      <c r="E148" s="35" t="s">
        <v>25</v>
      </c>
      <c r="F148" s="35" t="s">
        <v>25</v>
      </c>
      <c r="G148" s="35" t="s">
        <v>25</v>
      </c>
      <c r="H148" s="35" t="s">
        <v>25</v>
      </c>
      <c r="I148" s="55">
        <v>44531</v>
      </c>
      <c r="J148" s="56">
        <f ca="1">EFEITO!$J$148*EFEITO!$Y$148</f>
        <v>5525.9703495713347</v>
      </c>
      <c r="K148" s="56">
        <f>EFEITO!$L$148*EFEITO!$Z$148</f>
        <v>0</v>
      </c>
      <c r="L148" s="56">
        <f>EFEITO!$N$148*EFEITO!$AA$148</f>
        <v>0</v>
      </c>
      <c r="M148" s="56">
        <f ca="1">$J$148-EFEITO!$K$148*EFEITO!$Y$148</f>
        <v>0</v>
      </c>
      <c r="N148" s="56">
        <f>$K$148-EFEITO!$M$148*EFEITO!$Z$148</f>
        <v>0</v>
      </c>
      <c r="O148" s="56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35" t="s">
        <v>21</v>
      </c>
      <c r="B149" s="35" t="s">
        <v>39</v>
      </c>
      <c r="C149" s="35" t="s">
        <v>40</v>
      </c>
      <c r="D149" s="35" t="s">
        <v>38</v>
      </c>
      <c r="E149" s="35" t="s">
        <v>25</v>
      </c>
      <c r="F149" s="35" t="s">
        <v>25</v>
      </c>
      <c r="G149" s="35" t="s">
        <v>25</v>
      </c>
      <c r="H149" s="35" t="s">
        <v>25</v>
      </c>
      <c r="I149" s="55">
        <v>44562</v>
      </c>
      <c r="J149" s="56">
        <f ca="1">EFEITO!$J$149*EFEITO!$Y$149</f>
        <v>44944.558843180188</v>
      </c>
      <c r="K149" s="56">
        <f>EFEITO!$L$149*EFEITO!$Z$149</f>
        <v>0</v>
      </c>
      <c r="L149" s="56">
        <f>EFEITO!$N$149*EFEITO!$AA$149</f>
        <v>0</v>
      </c>
      <c r="M149" s="56">
        <f ca="1">$J$149-EFEITO!$K$149*EFEITO!$Y$149</f>
        <v>0</v>
      </c>
      <c r="N149" s="56">
        <f>$K$149-EFEITO!$M$149*EFEITO!$Z$149</f>
        <v>0</v>
      </c>
      <c r="O149" s="56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35" t="s">
        <v>28</v>
      </c>
      <c r="B150" s="35" t="s">
        <v>39</v>
      </c>
      <c r="C150" s="35" t="s">
        <v>40</v>
      </c>
      <c r="D150" s="35" t="s">
        <v>38</v>
      </c>
      <c r="E150" s="35" t="s">
        <v>25</v>
      </c>
      <c r="F150" s="35" t="s">
        <v>25</v>
      </c>
      <c r="G150" s="35" t="s">
        <v>25</v>
      </c>
      <c r="H150" s="35" t="s">
        <v>25</v>
      </c>
      <c r="I150" s="55">
        <v>44562</v>
      </c>
      <c r="J150" s="56">
        <f ca="1">EFEITO!$J$150*EFEITO!$Y$150</f>
        <v>5525.9703495713347</v>
      </c>
      <c r="K150" s="56">
        <f>EFEITO!$L$150*EFEITO!$Z$150</f>
        <v>0</v>
      </c>
      <c r="L150" s="56">
        <f>EFEITO!$N$150*EFEITO!$AA$150</f>
        <v>0</v>
      </c>
      <c r="M150" s="56">
        <f ca="1">$J$150-EFEITO!$K$150*EFEITO!$Y$150</f>
        <v>0</v>
      </c>
      <c r="N150" s="56">
        <f>$K$150-EFEITO!$M$150*EFEITO!$Z$150</f>
        <v>0</v>
      </c>
      <c r="O150" s="56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35" t="s">
        <v>21</v>
      </c>
      <c r="B151" s="35" t="s">
        <v>39</v>
      </c>
      <c r="C151" s="35" t="s">
        <v>40</v>
      </c>
      <c r="D151" s="35" t="s">
        <v>38</v>
      </c>
      <c r="E151" s="35" t="s">
        <v>25</v>
      </c>
      <c r="F151" s="35" t="s">
        <v>25</v>
      </c>
      <c r="G151" s="35" t="s">
        <v>25</v>
      </c>
      <c r="H151" s="35" t="s">
        <v>25</v>
      </c>
      <c r="I151" s="55">
        <v>44593</v>
      </c>
      <c r="J151" s="56">
        <f ca="1">EFEITO!$J$151*EFEITO!$Y$151</f>
        <v>56364.897565627616</v>
      </c>
      <c r="K151" s="56">
        <f>EFEITO!$L$151*EFEITO!$Z$151</f>
        <v>0</v>
      </c>
      <c r="L151" s="56">
        <f>EFEITO!$N$151*EFEITO!$AA$151</f>
        <v>0</v>
      </c>
      <c r="M151" s="56">
        <f ca="1">$J$151-EFEITO!$K$151*EFEITO!$Y$151</f>
        <v>0</v>
      </c>
      <c r="N151" s="56">
        <f>$K$151-EFEITO!$M$151*EFEITO!$Z$151</f>
        <v>0</v>
      </c>
      <c r="O151" s="56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35" t="s">
        <v>21</v>
      </c>
      <c r="B152" s="35" t="s">
        <v>39</v>
      </c>
      <c r="C152" s="35" t="s">
        <v>40</v>
      </c>
      <c r="D152" s="35" t="s">
        <v>38</v>
      </c>
      <c r="E152" s="35" t="s">
        <v>25</v>
      </c>
      <c r="F152" s="35" t="s">
        <v>25</v>
      </c>
      <c r="G152" s="35" t="s">
        <v>25</v>
      </c>
      <c r="H152" s="35" t="s">
        <v>25</v>
      </c>
      <c r="I152" s="55">
        <v>44621</v>
      </c>
      <c r="J152" s="56">
        <f ca="1">EFEITO!$J$152*EFEITO!$Y$152</f>
        <v>54983.404978234787</v>
      </c>
      <c r="K152" s="56">
        <f>EFEITO!$L$152*EFEITO!$Z$152</f>
        <v>0</v>
      </c>
      <c r="L152" s="56">
        <f>EFEITO!$N$152*EFEITO!$AA$152</f>
        <v>0</v>
      </c>
      <c r="M152" s="56">
        <f ca="1">$J$152-EFEITO!$K$152*EFEITO!$Y$152</f>
        <v>0</v>
      </c>
      <c r="N152" s="56">
        <f>$K$152-EFEITO!$M$152*EFEITO!$Z$152</f>
        <v>0</v>
      </c>
      <c r="O152" s="56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35" t="s">
        <v>28</v>
      </c>
      <c r="B153" s="35" t="s">
        <v>39</v>
      </c>
      <c r="C153" s="35" t="s">
        <v>40</v>
      </c>
      <c r="D153" s="35" t="s">
        <v>38</v>
      </c>
      <c r="E153" s="35" t="s">
        <v>25</v>
      </c>
      <c r="F153" s="35" t="s">
        <v>25</v>
      </c>
      <c r="G153" s="35" t="s">
        <v>25</v>
      </c>
      <c r="H153" s="35" t="s">
        <v>25</v>
      </c>
      <c r="I153" s="55">
        <v>44621</v>
      </c>
      <c r="J153" s="56">
        <f ca="1">EFEITO!$J$153*EFEITO!$Y$153</f>
        <v>5525.9703495713347</v>
      </c>
      <c r="K153" s="56">
        <f>EFEITO!$L$153*EFEITO!$Z$153</f>
        <v>0</v>
      </c>
      <c r="L153" s="56">
        <f>EFEITO!$N$153*EFEITO!$AA$153</f>
        <v>0</v>
      </c>
      <c r="M153" s="56">
        <f ca="1">$J$153-EFEITO!$K$153*EFEITO!$Y$153</f>
        <v>0</v>
      </c>
      <c r="N153" s="56">
        <f>$K$153-EFEITO!$M$153*EFEITO!$Z$153</f>
        <v>0</v>
      </c>
      <c r="O153" s="56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35" t="s">
        <v>21</v>
      </c>
      <c r="B154" s="35" t="s">
        <v>39</v>
      </c>
      <c r="C154" s="35" t="s">
        <v>40</v>
      </c>
      <c r="D154" s="35" t="s">
        <v>38</v>
      </c>
      <c r="E154" s="35" t="s">
        <v>25</v>
      </c>
      <c r="F154" s="35" t="s">
        <v>25</v>
      </c>
      <c r="G154" s="35" t="s">
        <v>25</v>
      </c>
      <c r="H154" s="35" t="s">
        <v>25</v>
      </c>
      <c r="I154" s="55">
        <v>44652</v>
      </c>
      <c r="J154" s="56">
        <f ca="1">EFEITO!$J$154*EFEITO!$Y$154</f>
        <v>54753.15621366931</v>
      </c>
      <c r="K154" s="56">
        <f>EFEITO!$L$154*EFEITO!$Z$154</f>
        <v>0</v>
      </c>
      <c r="L154" s="56">
        <f>EFEITO!$N$154*EFEITO!$AA$154</f>
        <v>0</v>
      </c>
      <c r="M154" s="56">
        <f ca="1">$J$154-EFEITO!$K$154*EFEITO!$Y$154</f>
        <v>0</v>
      </c>
      <c r="N154" s="56">
        <f>$K$154-EFEITO!$M$154*EFEITO!$Z$154</f>
        <v>0</v>
      </c>
      <c r="O154" s="56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35" t="s">
        <v>28</v>
      </c>
      <c r="B155" s="35" t="s">
        <v>39</v>
      </c>
      <c r="C155" s="35" t="s">
        <v>40</v>
      </c>
      <c r="D155" s="35" t="s">
        <v>38</v>
      </c>
      <c r="E155" s="35" t="s">
        <v>25</v>
      </c>
      <c r="F155" s="35" t="s">
        <v>25</v>
      </c>
      <c r="G155" s="35" t="s">
        <v>25</v>
      </c>
      <c r="H155" s="35" t="s">
        <v>25</v>
      </c>
      <c r="I155" s="55">
        <v>44652</v>
      </c>
      <c r="J155" s="56">
        <f ca="1">EFEITO!$J$155*EFEITO!$Y$155</f>
        <v>5525.9703495713347</v>
      </c>
      <c r="K155" s="56">
        <f>EFEITO!$L$155*EFEITO!$Z$155</f>
        <v>0</v>
      </c>
      <c r="L155" s="56">
        <f>EFEITO!$N$155*EFEITO!$AA$155</f>
        <v>0</v>
      </c>
      <c r="M155" s="56">
        <f ca="1">$J$155-EFEITO!$K$155*EFEITO!$Y$155</f>
        <v>0</v>
      </c>
      <c r="N155" s="56">
        <f>$K$155-EFEITO!$M$155*EFEITO!$Z$155</f>
        <v>0</v>
      </c>
      <c r="O155" s="56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35" t="s">
        <v>21</v>
      </c>
      <c r="B156" s="35" t="s">
        <v>39</v>
      </c>
      <c r="C156" s="35" t="s">
        <v>40</v>
      </c>
      <c r="D156" s="35" t="s">
        <v>38</v>
      </c>
      <c r="E156" s="35" t="s">
        <v>25</v>
      </c>
      <c r="F156" s="35" t="s">
        <v>25</v>
      </c>
      <c r="G156" s="35" t="s">
        <v>25</v>
      </c>
      <c r="H156" s="35" t="s">
        <v>25</v>
      </c>
      <c r="I156" s="55">
        <v>44682</v>
      </c>
      <c r="J156" s="56">
        <f ca="1">EFEITO!$J$156*EFEITO!$Y$156</f>
        <v>58206.887682151399</v>
      </c>
      <c r="K156" s="56">
        <f>EFEITO!$L$156*EFEITO!$Z$156</f>
        <v>0</v>
      </c>
      <c r="L156" s="56">
        <f>EFEITO!$N$156*EFEITO!$AA$156</f>
        <v>0</v>
      </c>
      <c r="M156" s="56">
        <f ca="1">$J$156-EFEITO!$K$156*EFEITO!$Y$156</f>
        <v>0</v>
      </c>
      <c r="N156" s="56">
        <f>$K$156-EFEITO!$M$156*EFEITO!$Z$156</f>
        <v>0</v>
      </c>
      <c r="O156" s="56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35" t="s">
        <v>28</v>
      </c>
      <c r="B157" s="35" t="s">
        <v>39</v>
      </c>
      <c r="C157" s="35" t="s">
        <v>40</v>
      </c>
      <c r="D157" s="35" t="s">
        <v>38</v>
      </c>
      <c r="E157" s="35" t="s">
        <v>25</v>
      </c>
      <c r="F157" s="35" t="s">
        <v>25</v>
      </c>
      <c r="G157" s="35" t="s">
        <v>25</v>
      </c>
      <c r="H157" s="35" t="s">
        <v>25</v>
      </c>
      <c r="I157" s="55">
        <v>44682</v>
      </c>
      <c r="J157" s="56">
        <f ca="1">EFEITO!$J$157*EFEITO!$Y$157</f>
        <v>5525.9703495713347</v>
      </c>
      <c r="K157" s="56">
        <f>EFEITO!$L$157*EFEITO!$Z$157</f>
        <v>0</v>
      </c>
      <c r="L157" s="56">
        <f>EFEITO!$N$157*EFEITO!$AA$157</f>
        <v>0</v>
      </c>
      <c r="M157" s="56">
        <f ca="1">$J$157-EFEITO!$K$157*EFEITO!$Y$157</f>
        <v>0</v>
      </c>
      <c r="N157" s="56">
        <f>$K$157-EFEITO!$M$157*EFEITO!$Z$157</f>
        <v>0</v>
      </c>
      <c r="O157" s="56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35" t="s">
        <v>21</v>
      </c>
      <c r="B158" s="35" t="s">
        <v>39</v>
      </c>
      <c r="C158" s="35" t="s">
        <v>40</v>
      </c>
      <c r="D158" s="35" t="s">
        <v>38</v>
      </c>
      <c r="E158" s="35" t="s">
        <v>25</v>
      </c>
      <c r="F158" s="35" t="s">
        <v>25</v>
      </c>
      <c r="G158" s="35" t="s">
        <v>25</v>
      </c>
      <c r="H158" s="35" t="s">
        <v>25</v>
      </c>
      <c r="I158" s="55">
        <v>44713</v>
      </c>
      <c r="J158" s="56">
        <f ca="1">EFEITO!$J$158*EFEITO!$Y$158</f>
        <v>57239.842870976412</v>
      </c>
      <c r="K158" s="56">
        <f>EFEITO!$L$158*EFEITO!$Z$158</f>
        <v>0</v>
      </c>
      <c r="L158" s="56">
        <f>EFEITO!$N$158*EFEITO!$AA$158</f>
        <v>0</v>
      </c>
      <c r="M158" s="56">
        <f ca="1">$J$158-EFEITO!$K$158*EFEITO!$Y$158</f>
        <v>0</v>
      </c>
      <c r="N158" s="56">
        <f>$K$158-EFEITO!$M$158*EFEITO!$Z$158</f>
        <v>0</v>
      </c>
      <c r="O158" s="56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35" t="s">
        <v>28</v>
      </c>
      <c r="B159" s="35" t="s">
        <v>39</v>
      </c>
      <c r="C159" s="35" t="s">
        <v>40</v>
      </c>
      <c r="D159" s="35" t="s">
        <v>38</v>
      </c>
      <c r="E159" s="35" t="s">
        <v>25</v>
      </c>
      <c r="F159" s="35" t="s">
        <v>25</v>
      </c>
      <c r="G159" s="35" t="s">
        <v>25</v>
      </c>
      <c r="H159" s="35" t="s">
        <v>25</v>
      </c>
      <c r="I159" s="55">
        <v>44713</v>
      </c>
      <c r="J159" s="56">
        <f ca="1">EFEITO!$J$159*EFEITO!$Y$159</f>
        <v>5525.9703495713347</v>
      </c>
      <c r="K159" s="56">
        <f>EFEITO!$L$159*EFEITO!$Z$159</f>
        <v>0</v>
      </c>
      <c r="L159" s="56">
        <f>EFEITO!$N$159*EFEITO!$AA$159</f>
        <v>0</v>
      </c>
      <c r="M159" s="56">
        <f ca="1">$J$159-EFEITO!$K$159*EFEITO!$Y$159</f>
        <v>0</v>
      </c>
      <c r="N159" s="56">
        <f>$K$159-EFEITO!$M$159*EFEITO!$Z$159</f>
        <v>0</v>
      </c>
      <c r="O159" s="56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35" t="s">
        <v>21</v>
      </c>
      <c r="B160" s="35" t="s">
        <v>39</v>
      </c>
      <c r="C160" s="35" t="s">
        <v>40</v>
      </c>
      <c r="D160" s="35" t="s">
        <v>38</v>
      </c>
      <c r="E160" s="35" t="s">
        <v>25</v>
      </c>
      <c r="F160" s="35" t="s">
        <v>25</v>
      </c>
      <c r="G160" s="35" t="s">
        <v>25</v>
      </c>
      <c r="H160" s="35" t="s">
        <v>25</v>
      </c>
      <c r="I160" s="55">
        <v>44743</v>
      </c>
      <c r="J160" s="56">
        <f ca="1">EFEITO!$J$160*EFEITO!$Y$160</f>
        <v>60555.425080719215</v>
      </c>
      <c r="K160" s="56">
        <f>EFEITO!$L$160*EFEITO!$Z$160</f>
        <v>0</v>
      </c>
      <c r="L160" s="56">
        <f>EFEITO!$N$160*EFEITO!$AA$160</f>
        <v>0</v>
      </c>
      <c r="M160" s="56">
        <f ca="1">$J$160-EFEITO!$K$160*EFEITO!$Y$160</f>
        <v>0</v>
      </c>
      <c r="N160" s="56">
        <f>$K$160-EFEITO!$M$160*EFEITO!$Z$160</f>
        <v>0</v>
      </c>
      <c r="O160" s="56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35" t="s">
        <v>28</v>
      </c>
      <c r="B161" s="35" t="s">
        <v>39</v>
      </c>
      <c r="C161" s="35" t="s">
        <v>40</v>
      </c>
      <c r="D161" s="35" t="s">
        <v>38</v>
      </c>
      <c r="E161" s="35" t="s">
        <v>25</v>
      </c>
      <c r="F161" s="35" t="s">
        <v>25</v>
      </c>
      <c r="G161" s="35" t="s">
        <v>25</v>
      </c>
      <c r="H161" s="35" t="s">
        <v>25</v>
      </c>
      <c r="I161" s="55">
        <v>44743</v>
      </c>
      <c r="J161" s="56">
        <f ca="1">EFEITO!$J$161*EFEITO!$Y$161</f>
        <v>5525.9703495713347</v>
      </c>
      <c r="K161" s="56">
        <f>EFEITO!$L$161*EFEITO!$Z$161</f>
        <v>0</v>
      </c>
      <c r="L161" s="56">
        <f>EFEITO!$N$161*EFEITO!$AA$161</f>
        <v>0</v>
      </c>
      <c r="M161" s="56">
        <f ca="1">$J$161-EFEITO!$K$161*EFEITO!$Y$161</f>
        <v>0</v>
      </c>
      <c r="N161" s="56">
        <f>$K$161-EFEITO!$M$161*EFEITO!$Z$161</f>
        <v>0</v>
      </c>
      <c r="O161" s="56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35" t="s">
        <v>21</v>
      </c>
      <c r="B162" s="35" t="s">
        <v>39</v>
      </c>
      <c r="C162" s="35" t="s">
        <v>40</v>
      </c>
      <c r="D162" s="35" t="s">
        <v>38</v>
      </c>
      <c r="E162" s="35" t="s">
        <v>25</v>
      </c>
      <c r="F162" s="35" t="s">
        <v>25</v>
      </c>
      <c r="G162" s="35" t="s">
        <v>25</v>
      </c>
      <c r="H162" s="35" t="s">
        <v>25</v>
      </c>
      <c r="I162" s="55">
        <v>44774</v>
      </c>
      <c r="J162" s="56">
        <f ca="1">EFEITO!$J$162*EFEITO!$Y$162</f>
        <v>59634.430022457324</v>
      </c>
      <c r="K162" s="56">
        <f>EFEITO!$L$162*EFEITO!$Z$162</f>
        <v>0</v>
      </c>
      <c r="L162" s="56">
        <f>EFEITO!$N$162*EFEITO!$AA$162</f>
        <v>0</v>
      </c>
      <c r="M162" s="56">
        <f ca="1">$J$162-EFEITO!$K$162*EFEITO!$Y$162</f>
        <v>0</v>
      </c>
      <c r="N162" s="56">
        <f>$K$162-EFEITO!$M$162*EFEITO!$Z$162</f>
        <v>0</v>
      </c>
      <c r="O162" s="56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35" t="s">
        <v>28</v>
      </c>
      <c r="B163" s="35" t="s">
        <v>39</v>
      </c>
      <c r="C163" s="35" t="s">
        <v>40</v>
      </c>
      <c r="D163" s="35" t="s">
        <v>38</v>
      </c>
      <c r="E163" s="35" t="s">
        <v>25</v>
      </c>
      <c r="F163" s="35" t="s">
        <v>25</v>
      </c>
      <c r="G163" s="35" t="s">
        <v>25</v>
      </c>
      <c r="H163" s="35" t="s">
        <v>25</v>
      </c>
      <c r="I163" s="55">
        <v>44774</v>
      </c>
      <c r="J163" s="56">
        <f ca="1">EFEITO!$J$163*EFEITO!$Y$163</f>
        <v>5525.9703495713347</v>
      </c>
      <c r="K163" s="56">
        <f>EFEITO!$L$163*EFEITO!$Z$163</f>
        <v>0</v>
      </c>
      <c r="L163" s="56">
        <f>EFEITO!$N$163*EFEITO!$AA$163</f>
        <v>0</v>
      </c>
      <c r="M163" s="56">
        <f ca="1">$J$163-EFEITO!$K$163*EFEITO!$Y$163</f>
        <v>0</v>
      </c>
      <c r="N163" s="56">
        <f>$K$163-EFEITO!$M$163*EFEITO!$Z$163</f>
        <v>0</v>
      </c>
      <c r="O163" s="56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35" t="s">
        <v>21</v>
      </c>
      <c r="B164" s="35" t="s">
        <v>39</v>
      </c>
      <c r="C164" s="35" t="s">
        <v>40</v>
      </c>
      <c r="D164" s="35" t="s">
        <v>38</v>
      </c>
      <c r="E164" s="35" t="s">
        <v>25</v>
      </c>
      <c r="F164" s="35" t="s">
        <v>25</v>
      </c>
      <c r="G164" s="35" t="s">
        <v>25</v>
      </c>
      <c r="H164" s="35" t="s">
        <v>34</v>
      </c>
      <c r="I164" s="55">
        <v>44440</v>
      </c>
      <c r="J164" s="56">
        <f>EFEITO!$J$164*EFEITO!$Y$164</f>
        <v>0</v>
      </c>
      <c r="K164" s="56">
        <f ca="1">EFEITO!$L$164*EFEITO!$Z$164</f>
        <v>5522.8693588320984</v>
      </c>
      <c r="L164" s="56">
        <f>EFEITO!$N$164*EFEITO!$AA$164</f>
        <v>119.66608902005008</v>
      </c>
      <c r="M164" s="56">
        <f>$J$164-EFEITO!$K$164*EFEITO!$Y$164</f>
        <v>0</v>
      </c>
      <c r="N164" s="56">
        <f ca="1">$K$164-EFEITO!$M$164*EFEITO!$Z$164</f>
        <v>0</v>
      </c>
      <c r="O164" s="56">
        <f>$L$164-EFEITO!$O$164*EFEITO!$AA$164</f>
        <v>0</v>
      </c>
      <c r="P164" s="39"/>
      <c r="Q164" s="39"/>
      <c r="R164" s="39"/>
      <c r="S164" s="39"/>
      <c r="T164" s="39"/>
      <c r="U164" s="39"/>
      <c r="V164" s="39"/>
      <c r="W164" s="3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35" t="s">
        <v>28</v>
      </c>
      <c r="B165" s="35" t="s">
        <v>39</v>
      </c>
      <c r="C165" s="35" t="s">
        <v>40</v>
      </c>
      <c r="D165" s="35" t="s">
        <v>38</v>
      </c>
      <c r="E165" s="35" t="s">
        <v>25</v>
      </c>
      <c r="F165" s="35" t="s">
        <v>25</v>
      </c>
      <c r="G165" s="35" t="s">
        <v>25</v>
      </c>
      <c r="H165" s="35" t="s">
        <v>34</v>
      </c>
      <c r="I165" s="55">
        <v>44440</v>
      </c>
      <c r="J165" s="56">
        <f>EFEITO!$J$165*EFEITO!$Y$165</f>
        <v>0</v>
      </c>
      <c r="K165" s="56">
        <f ca="1">EFEITO!$L$165*EFEITO!$Z$165</f>
        <v>6404.3696799486233</v>
      </c>
      <c r="L165" s="56">
        <f>EFEITO!$N$165*EFEITO!$AA$165</f>
        <v>138.76588824474862</v>
      </c>
      <c r="M165" s="56">
        <f>$J$165-EFEITO!$K$165*EFEITO!$Y$165</f>
        <v>0</v>
      </c>
      <c r="N165" s="56">
        <f ca="1">$K$165-EFEITO!$M$165*EFEITO!$Z$165</f>
        <v>0</v>
      </c>
      <c r="O165" s="56">
        <f>$L$165-EFEITO!$O$165*EFEITO!$AA$165</f>
        <v>0</v>
      </c>
      <c r="P165" s="39"/>
      <c r="Q165" s="39"/>
      <c r="R165" s="39"/>
      <c r="S165" s="39"/>
      <c r="T165" s="39"/>
      <c r="U165" s="39"/>
      <c r="V165" s="39"/>
      <c r="W165" s="3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35" t="s">
        <v>21</v>
      </c>
      <c r="B166" s="35" t="s">
        <v>39</v>
      </c>
      <c r="C166" s="35" t="s">
        <v>40</v>
      </c>
      <c r="D166" s="35" t="s">
        <v>38</v>
      </c>
      <c r="E166" s="35" t="s">
        <v>25</v>
      </c>
      <c r="F166" s="35" t="s">
        <v>25</v>
      </c>
      <c r="G166" s="35" t="s">
        <v>25</v>
      </c>
      <c r="H166" s="35" t="s">
        <v>34</v>
      </c>
      <c r="I166" s="55">
        <v>44470</v>
      </c>
      <c r="J166" s="56">
        <f>EFEITO!$J$166*EFEITO!$Y$166</f>
        <v>0</v>
      </c>
      <c r="K166" s="56">
        <f ca="1">EFEITO!$L$166*EFEITO!$Z$166</f>
        <v>4479.4608154696834</v>
      </c>
      <c r="L166" s="56">
        <f>EFEITO!$N$166*EFEITO!$AA$166</f>
        <v>97.058163407141606</v>
      </c>
      <c r="M166" s="56">
        <f>$J$166-EFEITO!$K$166*EFEITO!$Y$166</f>
        <v>0</v>
      </c>
      <c r="N166" s="56">
        <f ca="1">$K$166-EFEITO!$M$166*EFEITO!$Z$166</f>
        <v>0</v>
      </c>
      <c r="O166" s="56">
        <f>$L$166-EFEITO!$O$166*EFEITO!$AA$166</f>
        <v>0</v>
      </c>
      <c r="P166" s="39"/>
      <c r="Q166" s="39"/>
      <c r="R166" s="39"/>
      <c r="S166" s="39"/>
      <c r="T166" s="39"/>
      <c r="U166" s="39"/>
      <c r="V166" s="39"/>
      <c r="W166" s="3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35" t="s">
        <v>28</v>
      </c>
      <c r="B167" s="35" t="s">
        <v>39</v>
      </c>
      <c r="C167" s="35" t="s">
        <v>40</v>
      </c>
      <c r="D167" s="35" t="s">
        <v>38</v>
      </c>
      <c r="E167" s="35" t="s">
        <v>25</v>
      </c>
      <c r="F167" s="35" t="s">
        <v>25</v>
      </c>
      <c r="G167" s="35" t="s">
        <v>25</v>
      </c>
      <c r="H167" s="35" t="s">
        <v>34</v>
      </c>
      <c r="I167" s="55">
        <v>44470</v>
      </c>
      <c r="J167" s="56">
        <f>EFEITO!$J$167*EFEITO!$Y$167</f>
        <v>0</v>
      </c>
      <c r="K167" s="56">
        <f ca="1">EFEITO!$L$167*EFEITO!$Z$167</f>
        <v>5008.3610081395973</v>
      </c>
      <c r="L167" s="56">
        <f>EFEITO!$N$167*EFEITO!$AA$167</f>
        <v>108.51804294196072</v>
      </c>
      <c r="M167" s="56">
        <f>$J$167-EFEITO!$K$167*EFEITO!$Y$167</f>
        <v>0</v>
      </c>
      <c r="N167" s="56">
        <f ca="1">$K$167-EFEITO!$M$167*EFEITO!$Z$167</f>
        <v>0</v>
      </c>
      <c r="O167" s="56">
        <f>$L$167-EFEITO!$O$167*EFEITO!$AA$167</f>
        <v>0</v>
      </c>
      <c r="P167" s="39"/>
      <c r="Q167" s="39"/>
      <c r="R167" s="39"/>
      <c r="S167" s="39"/>
      <c r="T167" s="39"/>
      <c r="U167" s="39"/>
      <c r="V167" s="39"/>
      <c r="W167" s="3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35" t="s">
        <v>21</v>
      </c>
      <c r="B168" s="35" t="s">
        <v>39</v>
      </c>
      <c r="C168" s="35" t="s">
        <v>40</v>
      </c>
      <c r="D168" s="35" t="s">
        <v>38</v>
      </c>
      <c r="E168" s="35" t="s">
        <v>25</v>
      </c>
      <c r="F168" s="35" t="s">
        <v>25</v>
      </c>
      <c r="G168" s="35" t="s">
        <v>25</v>
      </c>
      <c r="H168" s="35" t="s">
        <v>34</v>
      </c>
      <c r="I168" s="55">
        <v>44501</v>
      </c>
      <c r="J168" s="56">
        <f>EFEITO!$J$168*EFEITO!$Y$168</f>
        <v>0</v>
      </c>
      <c r="K168" s="56">
        <f ca="1">EFEITO!$L$168*EFEITO!$Z$168</f>
        <v>4166.4382524609582</v>
      </c>
      <c r="L168" s="56">
        <f>EFEITO!$N$168*EFEITO!$AA$168</f>
        <v>90.275785723269038</v>
      </c>
      <c r="M168" s="56">
        <f>$J$168-EFEITO!$K$168*EFEITO!$Y$168</f>
        <v>0</v>
      </c>
      <c r="N168" s="56">
        <f ca="1">$K$168-EFEITO!$M$168*EFEITO!$Z$168</f>
        <v>0</v>
      </c>
      <c r="O168" s="56">
        <f>$L$168-EFEITO!$O$168*EFEITO!$AA$168</f>
        <v>0</v>
      </c>
      <c r="P168" s="39"/>
      <c r="Q168" s="39"/>
      <c r="R168" s="39"/>
      <c r="S168" s="39"/>
      <c r="T168" s="39"/>
      <c r="U168" s="39"/>
      <c r="V168" s="39"/>
      <c r="W168" s="3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35" t="s">
        <v>21</v>
      </c>
      <c r="B169" s="35" t="s">
        <v>39</v>
      </c>
      <c r="C169" s="35" t="s">
        <v>40</v>
      </c>
      <c r="D169" s="35" t="s">
        <v>38</v>
      </c>
      <c r="E169" s="35" t="s">
        <v>25</v>
      </c>
      <c r="F169" s="35" t="s">
        <v>25</v>
      </c>
      <c r="G169" s="35" t="s">
        <v>25</v>
      </c>
      <c r="H169" s="35" t="s">
        <v>34</v>
      </c>
      <c r="I169" s="55">
        <v>44531</v>
      </c>
      <c r="J169" s="56">
        <f>EFEITO!$J$169*EFEITO!$Y$169</f>
        <v>0</v>
      </c>
      <c r="K169" s="56">
        <f ca="1">EFEITO!$L$169*EFEITO!$Z$169</f>
        <v>4371.5220006390882</v>
      </c>
      <c r="L169" s="56">
        <f>EFEITO!$N$169*EFEITO!$AA$169</f>
        <v>94.719412481668314</v>
      </c>
      <c r="M169" s="56">
        <f>$J$169-EFEITO!$K$169*EFEITO!$Y$169</f>
        <v>0</v>
      </c>
      <c r="N169" s="56">
        <f ca="1">$K$169-EFEITO!$M$169*EFEITO!$Z$169</f>
        <v>0</v>
      </c>
      <c r="O169" s="56">
        <f>$L$169-EFEITO!$O$169*EFEITO!$AA$169</f>
        <v>0</v>
      </c>
      <c r="P169" s="39"/>
      <c r="Q169" s="39"/>
      <c r="R169" s="39"/>
      <c r="S169" s="39"/>
      <c r="T169" s="39"/>
      <c r="U169" s="39"/>
      <c r="V169" s="39"/>
      <c r="W169" s="3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35" t="s">
        <v>21</v>
      </c>
      <c r="B170" s="35" t="s">
        <v>39</v>
      </c>
      <c r="C170" s="35" t="s">
        <v>40</v>
      </c>
      <c r="D170" s="35" t="s">
        <v>38</v>
      </c>
      <c r="E170" s="35" t="s">
        <v>25</v>
      </c>
      <c r="F170" s="35" t="s">
        <v>25</v>
      </c>
      <c r="G170" s="35" t="s">
        <v>25</v>
      </c>
      <c r="H170" s="35" t="s">
        <v>34</v>
      </c>
      <c r="I170" s="55">
        <v>44562</v>
      </c>
      <c r="J170" s="56">
        <f>EFEITO!$J$170*EFEITO!$Y$170</f>
        <v>0</v>
      </c>
      <c r="K170" s="56">
        <f ca="1">EFEITO!$L$170*EFEITO!$Z$170</f>
        <v>3475.6298375451515</v>
      </c>
      <c r="L170" s="56">
        <f>EFEITO!$N$170*EFEITO!$AA$170</f>
        <v>75.307779800239985</v>
      </c>
      <c r="M170" s="56">
        <f>$J$170-EFEITO!$K$170*EFEITO!$Y$170</f>
        <v>0</v>
      </c>
      <c r="N170" s="56">
        <f ca="1">$K$170-EFEITO!$M$170*EFEITO!$Z$170</f>
        <v>0</v>
      </c>
      <c r="O170" s="56">
        <f>$L$170-EFEITO!$O$170*EFEITO!$AA$170</f>
        <v>0</v>
      </c>
      <c r="P170" s="39"/>
      <c r="Q170" s="39"/>
      <c r="R170" s="39"/>
      <c r="S170" s="39"/>
      <c r="T170" s="39"/>
      <c r="U170" s="39"/>
      <c r="V170" s="39"/>
      <c r="W170" s="3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35" t="s">
        <v>21</v>
      </c>
      <c r="B171" s="35" t="s">
        <v>39</v>
      </c>
      <c r="C171" s="35" t="s">
        <v>40</v>
      </c>
      <c r="D171" s="35" t="s">
        <v>38</v>
      </c>
      <c r="E171" s="35" t="s">
        <v>25</v>
      </c>
      <c r="F171" s="35" t="s">
        <v>25</v>
      </c>
      <c r="G171" s="35" t="s">
        <v>25</v>
      </c>
      <c r="H171" s="35" t="s">
        <v>34</v>
      </c>
      <c r="I171" s="55">
        <v>44593</v>
      </c>
      <c r="J171" s="56">
        <f>EFEITO!$J$171*EFEITO!$Y$171</f>
        <v>0</v>
      </c>
      <c r="K171" s="56">
        <f ca="1">EFEITO!$L$171*EFEITO!$Z$171</f>
        <v>5907.8511317278872</v>
      </c>
      <c r="L171" s="56">
        <f>EFEITO!$N$171*EFEITO!$AA$171</f>
        <v>128.00763398757147</v>
      </c>
      <c r="M171" s="56">
        <f>$J$171-EFEITO!$K$171*EFEITO!$Y$171</f>
        <v>0</v>
      </c>
      <c r="N171" s="56">
        <f ca="1">$K$171-EFEITO!$M$171*EFEITO!$Z$171</f>
        <v>0</v>
      </c>
      <c r="O171" s="56">
        <f>$L$171-EFEITO!$O$171*EFEITO!$AA$171</f>
        <v>0</v>
      </c>
      <c r="P171" s="39"/>
      <c r="Q171" s="39"/>
      <c r="R171" s="39"/>
      <c r="S171" s="39"/>
      <c r="T171" s="39"/>
      <c r="U171" s="39"/>
      <c r="V171" s="39"/>
      <c r="W171" s="3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35" t="s">
        <v>21</v>
      </c>
      <c r="B172" s="35" t="s">
        <v>39</v>
      </c>
      <c r="C172" s="35" t="s">
        <v>40</v>
      </c>
      <c r="D172" s="35" t="s">
        <v>38</v>
      </c>
      <c r="E172" s="35" t="s">
        <v>25</v>
      </c>
      <c r="F172" s="35" t="s">
        <v>25</v>
      </c>
      <c r="G172" s="35" t="s">
        <v>25</v>
      </c>
      <c r="H172" s="35" t="s">
        <v>34</v>
      </c>
      <c r="I172" s="55">
        <v>44621</v>
      </c>
      <c r="J172" s="56">
        <f>EFEITO!$J$172*EFEITO!$Y$172</f>
        <v>0</v>
      </c>
      <c r="K172" s="56">
        <f ca="1">EFEITO!$L$172*EFEITO!$Z$172</f>
        <v>8174.5662431703768</v>
      </c>
      <c r="L172" s="56">
        <f>EFEITO!$N$172*EFEITO!$AA$172</f>
        <v>177.12140342251058</v>
      </c>
      <c r="M172" s="56">
        <f>$J$172-EFEITO!$K$172*EFEITO!$Y$172</f>
        <v>0</v>
      </c>
      <c r="N172" s="56">
        <f ca="1">$K$172-EFEITO!$M$172*EFEITO!$Z$172</f>
        <v>0</v>
      </c>
      <c r="O172" s="56">
        <f>$L$172-EFEITO!$O$172*EFEITO!$AA$172</f>
        <v>0</v>
      </c>
      <c r="P172" s="39"/>
      <c r="Q172" s="39"/>
      <c r="R172" s="39"/>
      <c r="S172" s="39"/>
      <c r="T172" s="39"/>
      <c r="U172" s="39"/>
      <c r="V172" s="39"/>
      <c r="W172" s="3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35" t="s">
        <v>21</v>
      </c>
      <c r="B173" s="35" t="s">
        <v>39</v>
      </c>
      <c r="C173" s="35" t="s">
        <v>40</v>
      </c>
      <c r="D173" s="35" t="s">
        <v>38</v>
      </c>
      <c r="E173" s="35" t="s">
        <v>25</v>
      </c>
      <c r="F173" s="35" t="s">
        <v>25</v>
      </c>
      <c r="G173" s="35" t="s">
        <v>25</v>
      </c>
      <c r="H173" s="35" t="s">
        <v>34</v>
      </c>
      <c r="I173" s="55">
        <v>44652</v>
      </c>
      <c r="J173" s="56">
        <f>EFEITO!$J$173*EFEITO!$Y$173</f>
        <v>0</v>
      </c>
      <c r="K173" s="56">
        <f ca="1">EFEITO!$L$173*EFEITO!$Z$173</f>
        <v>10578.003853398288</v>
      </c>
      <c r="L173" s="56">
        <f>EFEITO!$N$173*EFEITO!$AA$173</f>
        <v>229.19759069638255</v>
      </c>
      <c r="M173" s="56">
        <f>$J$173-EFEITO!$K$173*EFEITO!$Y$173</f>
        <v>0</v>
      </c>
      <c r="N173" s="56">
        <f ca="1">$K$173-EFEITO!$M$173*EFEITO!$Z$173</f>
        <v>0</v>
      </c>
      <c r="O173" s="56">
        <f>$L$173-EFEITO!$O$173*EFEITO!$AA$173</f>
        <v>0</v>
      </c>
      <c r="P173" s="39"/>
      <c r="Q173" s="39"/>
      <c r="R173" s="39"/>
      <c r="S173" s="39"/>
      <c r="T173" s="39"/>
      <c r="U173" s="39"/>
      <c r="V173" s="39"/>
      <c r="W173" s="3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35" t="s">
        <v>21</v>
      </c>
      <c r="B174" s="35" t="s">
        <v>39</v>
      </c>
      <c r="C174" s="35" t="s">
        <v>40</v>
      </c>
      <c r="D174" s="35" t="s">
        <v>38</v>
      </c>
      <c r="E174" s="35" t="s">
        <v>25</v>
      </c>
      <c r="F174" s="35" t="s">
        <v>25</v>
      </c>
      <c r="G174" s="35" t="s">
        <v>25</v>
      </c>
      <c r="H174" s="35" t="s">
        <v>34</v>
      </c>
      <c r="I174" s="55">
        <v>44682</v>
      </c>
      <c r="J174" s="56">
        <f>EFEITO!$J$174*EFEITO!$Y$174</f>
        <v>0</v>
      </c>
      <c r="K174" s="56">
        <f ca="1">EFEITO!$L$174*EFEITO!$Z$174</f>
        <v>12747.574031493243</v>
      </c>
      <c r="L174" s="56">
        <f>EFEITO!$N$174*EFEITO!$AA$174</f>
        <v>276.20648429839571</v>
      </c>
      <c r="M174" s="56">
        <f>$J$174-EFEITO!$K$174*EFEITO!$Y$174</f>
        <v>0</v>
      </c>
      <c r="N174" s="56">
        <f ca="1">$K$174-EFEITO!$M$174*EFEITO!$Z$174</f>
        <v>0</v>
      </c>
      <c r="O174" s="56">
        <f>$L$174-EFEITO!$O$174*EFEITO!$AA$174</f>
        <v>0</v>
      </c>
      <c r="P174" s="39"/>
      <c r="Q174" s="39"/>
      <c r="R174" s="39"/>
      <c r="S174" s="39"/>
      <c r="T174" s="39"/>
      <c r="U174" s="39"/>
      <c r="V174" s="39"/>
      <c r="W174" s="3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35" t="s">
        <v>21</v>
      </c>
      <c r="B175" s="35" t="s">
        <v>39</v>
      </c>
      <c r="C175" s="35" t="s">
        <v>40</v>
      </c>
      <c r="D175" s="35" t="s">
        <v>38</v>
      </c>
      <c r="E175" s="35" t="s">
        <v>25</v>
      </c>
      <c r="F175" s="35" t="s">
        <v>25</v>
      </c>
      <c r="G175" s="35" t="s">
        <v>25</v>
      </c>
      <c r="H175" s="35" t="s">
        <v>34</v>
      </c>
      <c r="I175" s="55">
        <v>44713</v>
      </c>
      <c r="J175" s="56">
        <f>EFEITO!$J$175*EFEITO!$Y$175</f>
        <v>0</v>
      </c>
      <c r="K175" s="56">
        <f ca="1">EFEITO!$L$175*EFEITO!$Z$175</f>
        <v>11002.563191731959</v>
      </c>
      <c r="L175" s="56">
        <f>EFEITO!$N$175*EFEITO!$AA$175</f>
        <v>238.39667766991084</v>
      </c>
      <c r="M175" s="56">
        <f>$J$175-EFEITO!$K$175*EFEITO!$Y$175</f>
        <v>0</v>
      </c>
      <c r="N175" s="56">
        <f ca="1">$K$175-EFEITO!$M$175*EFEITO!$Z$175</f>
        <v>0</v>
      </c>
      <c r="O175" s="56">
        <f>$L$175-EFEITO!$O$175*EFEITO!$AA$175</f>
        <v>0</v>
      </c>
      <c r="P175" s="39"/>
      <c r="Q175" s="39"/>
      <c r="R175" s="39"/>
      <c r="S175" s="39"/>
      <c r="T175" s="39"/>
      <c r="U175" s="39"/>
      <c r="V175" s="39"/>
      <c r="W175" s="3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35" t="s">
        <v>21</v>
      </c>
      <c r="B176" s="35" t="s">
        <v>39</v>
      </c>
      <c r="C176" s="35" t="s">
        <v>40</v>
      </c>
      <c r="D176" s="35" t="s">
        <v>38</v>
      </c>
      <c r="E176" s="35" t="s">
        <v>25</v>
      </c>
      <c r="F176" s="35" t="s">
        <v>25</v>
      </c>
      <c r="G176" s="35" t="s">
        <v>25</v>
      </c>
      <c r="H176" s="35" t="s">
        <v>34</v>
      </c>
      <c r="I176" s="55">
        <v>44743</v>
      </c>
      <c r="J176" s="56">
        <f>EFEITO!$J$176*EFEITO!$Y$176</f>
        <v>0</v>
      </c>
      <c r="K176" s="56">
        <f ca="1">EFEITO!$L$176*EFEITO!$Z$176</f>
        <v>16000.130318388497</v>
      </c>
      <c r="L176" s="56">
        <f>EFEITO!$N$176*EFEITO!$AA$176</f>
        <v>346.68084551932424</v>
      </c>
      <c r="M176" s="56">
        <f>$J$176-EFEITO!$K$176*EFEITO!$Y$176</f>
        <v>0</v>
      </c>
      <c r="N176" s="56">
        <f ca="1">$K$176-EFEITO!$M$176*EFEITO!$Z$176</f>
        <v>0</v>
      </c>
      <c r="O176" s="56">
        <f>$L$176-EFEITO!$O$176*EFEITO!$AA$176</f>
        <v>0</v>
      </c>
      <c r="P176" s="39"/>
      <c r="Q176" s="39"/>
      <c r="R176" s="39"/>
      <c r="S176" s="39"/>
      <c r="T176" s="39"/>
      <c r="U176" s="39"/>
      <c r="V176" s="39"/>
      <c r="W176" s="3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35" t="s">
        <v>21</v>
      </c>
      <c r="B177" s="35" t="s">
        <v>39</v>
      </c>
      <c r="C177" s="35" t="s">
        <v>40</v>
      </c>
      <c r="D177" s="35" t="s">
        <v>38</v>
      </c>
      <c r="E177" s="35" t="s">
        <v>25</v>
      </c>
      <c r="F177" s="35" t="s">
        <v>25</v>
      </c>
      <c r="G177" s="35" t="s">
        <v>25</v>
      </c>
      <c r="H177" s="35" t="s">
        <v>34</v>
      </c>
      <c r="I177" s="55">
        <v>44774</v>
      </c>
      <c r="J177" s="56">
        <f>EFEITO!$J$177*EFEITO!$Y$177</f>
        <v>0</v>
      </c>
      <c r="K177" s="56">
        <f ca="1">EFEITO!$L$177*EFEITO!$Z$177</f>
        <v>12067.559498060496</v>
      </c>
      <c r="L177" s="56">
        <f>EFEITO!$N$177*EFEITO!$AA$177</f>
        <v>261.47235346791399</v>
      </c>
      <c r="M177" s="56">
        <f>$J$177-EFEITO!$K$177*EFEITO!$Y$177</f>
        <v>0</v>
      </c>
      <c r="N177" s="56">
        <f ca="1">$K$177-EFEITO!$M$177*EFEITO!$Z$177</f>
        <v>0</v>
      </c>
      <c r="O177" s="56">
        <f>$L$177-EFEITO!$O$177*EFEITO!$AA$177</f>
        <v>0</v>
      </c>
      <c r="P177" s="39"/>
      <c r="Q177" s="39"/>
      <c r="R177" s="39"/>
      <c r="S177" s="39"/>
      <c r="T177" s="39"/>
      <c r="U177" s="39"/>
      <c r="V177" s="39"/>
      <c r="W177" s="3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35" t="s">
        <v>28</v>
      </c>
      <c r="B178" s="35" t="s">
        <v>39</v>
      </c>
      <c r="C178" s="35" t="s">
        <v>40</v>
      </c>
      <c r="D178" s="35" t="s">
        <v>38</v>
      </c>
      <c r="E178" s="35" t="s">
        <v>25</v>
      </c>
      <c r="F178" s="35" t="s">
        <v>25</v>
      </c>
      <c r="G178" s="35" t="s">
        <v>25</v>
      </c>
      <c r="H178" s="35" t="s">
        <v>34</v>
      </c>
      <c r="I178" s="55">
        <v>44774</v>
      </c>
      <c r="J178" s="56">
        <f>EFEITO!$J$178*EFEITO!$Y$178</f>
        <v>0</v>
      </c>
      <c r="K178" s="56">
        <f ca="1">EFEITO!$L$178*EFEITO!$Z$178</f>
        <v>3540.3931264435082</v>
      </c>
      <c r="L178" s="56">
        <f>EFEITO!$N$178*EFEITO!$AA$178</f>
        <v>76.71103035552396</v>
      </c>
      <c r="M178" s="56">
        <f>$J$178-EFEITO!$K$178*EFEITO!$Y$178</f>
        <v>0</v>
      </c>
      <c r="N178" s="56">
        <f ca="1">$K$178-EFEITO!$M$178*EFEITO!$Z$178</f>
        <v>0</v>
      </c>
      <c r="O178" s="56">
        <f>$L$178-EFEITO!$O$178*EFEITO!$AA$178</f>
        <v>0</v>
      </c>
      <c r="P178" s="39"/>
      <c r="Q178" s="39"/>
      <c r="R178" s="39"/>
      <c r="S178" s="39"/>
      <c r="T178" s="39"/>
      <c r="U178" s="39"/>
      <c r="V178" s="39"/>
      <c r="W178" s="3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35" t="s">
        <v>21</v>
      </c>
      <c r="B179" s="35" t="s">
        <v>39</v>
      </c>
      <c r="C179" s="35" t="s">
        <v>40</v>
      </c>
      <c r="D179" s="35" t="s">
        <v>43</v>
      </c>
      <c r="E179" s="35" t="s">
        <v>25</v>
      </c>
      <c r="F179" s="35" t="s">
        <v>25</v>
      </c>
      <c r="G179" s="35" t="s">
        <v>25</v>
      </c>
      <c r="H179" s="35" t="s">
        <v>35</v>
      </c>
      <c r="I179" s="55">
        <v>44440</v>
      </c>
      <c r="J179" s="56">
        <f>EFEITO!$J$179*EFEITO!$Y$140</f>
        <v>0</v>
      </c>
      <c r="K179" s="56">
        <f ca="1">EFEITO!$L$179*EFEITO!$Z$140</f>
        <v>118.20787439469761</v>
      </c>
      <c r="L179" s="56">
        <f>EFEITO!$N$179*EFEITO!$AA$140</f>
        <v>100.80016488789886</v>
      </c>
      <c r="M179" s="56">
        <f>$J$179-EFEITO!$K$179*EFEITO!$Y$179</f>
        <v>0</v>
      </c>
      <c r="N179" s="56">
        <f ca="1">$K$179-EFEITO!$M$179*EFEITO!$Z$179</f>
        <v>2.3641574878939622</v>
      </c>
      <c r="O179" s="56">
        <f>$L$179-EFEITO!$O$179*EFEITO!$AA$179</f>
        <v>2.016003297757976</v>
      </c>
      <c r="P179" s="39"/>
      <c r="Q179" s="39"/>
      <c r="R179" s="39"/>
      <c r="S179" s="39"/>
      <c r="T179" s="39"/>
      <c r="U179" s="39"/>
      <c r="V179" s="39"/>
      <c r="W179" s="3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35" t="s">
        <v>21</v>
      </c>
      <c r="B180" s="35" t="s">
        <v>39</v>
      </c>
      <c r="C180" s="35" t="s">
        <v>40</v>
      </c>
      <c r="D180" s="35" t="s">
        <v>43</v>
      </c>
      <c r="E180" s="35" t="s">
        <v>25</v>
      </c>
      <c r="F180" s="35" t="s">
        <v>25</v>
      </c>
      <c r="G180" s="35" t="s">
        <v>25</v>
      </c>
      <c r="H180" s="35" t="s">
        <v>35</v>
      </c>
      <c r="I180" s="55">
        <v>44470</v>
      </c>
      <c r="J180" s="56">
        <f>EFEITO!$J$180*EFEITO!$Y$140</f>
        <v>0</v>
      </c>
      <c r="K180" s="56">
        <f ca="1">EFEITO!$L$180*EFEITO!$Z$140</f>
        <v>152.03379359503646</v>
      </c>
      <c r="L180" s="56">
        <f>EFEITO!$N$180*EFEITO!$AA$140</f>
        <v>129.64475963540281</v>
      </c>
      <c r="M180" s="56">
        <f>$J$180-EFEITO!$K$180*EFEITO!$Y$180</f>
        <v>0</v>
      </c>
      <c r="N180" s="56">
        <f ca="1">$K$180-EFEITO!$M$180*EFEITO!$Z$180</f>
        <v>3.0406758719007314</v>
      </c>
      <c r="O180" s="56">
        <f>$L$180-EFEITO!$O$180*EFEITO!$AA$180</f>
        <v>2.5928951927080703</v>
      </c>
      <c r="P180" s="39"/>
      <c r="Q180" s="39"/>
      <c r="R180" s="39"/>
      <c r="S180" s="39"/>
      <c r="T180" s="39"/>
      <c r="U180" s="39"/>
      <c r="V180" s="39"/>
      <c r="W180" s="3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35" t="s">
        <v>21</v>
      </c>
      <c r="B181" s="35" t="s">
        <v>39</v>
      </c>
      <c r="C181" s="35" t="s">
        <v>40</v>
      </c>
      <c r="D181" s="35" t="s">
        <v>43</v>
      </c>
      <c r="E181" s="35" t="s">
        <v>25</v>
      </c>
      <c r="F181" s="35" t="s">
        <v>25</v>
      </c>
      <c r="G181" s="35" t="s">
        <v>25</v>
      </c>
      <c r="H181" s="35" t="s">
        <v>35</v>
      </c>
      <c r="I181" s="55">
        <v>44501</v>
      </c>
      <c r="J181" s="56">
        <f>EFEITO!$J$181*EFEITO!$Y$140</f>
        <v>0</v>
      </c>
      <c r="K181" s="56">
        <f ca="1">EFEITO!$L$181*EFEITO!$Z$140</f>
        <v>261.55663468153898</v>
      </c>
      <c r="L181" s="56">
        <f>EFEITO!$N$181*EFEITO!$AA$140</f>
        <v>223.03887992596958</v>
      </c>
      <c r="M181" s="56">
        <f>$J$181-EFEITO!$K$181*EFEITO!$Y$181</f>
        <v>0</v>
      </c>
      <c r="N181" s="56">
        <f ca="1">$K$181-EFEITO!$M$181*EFEITO!$Z$181</f>
        <v>5.2311326936307978</v>
      </c>
      <c r="O181" s="56">
        <f>$L$181-EFEITO!$O$181*EFEITO!$AA$181</f>
        <v>4.4607775985193996</v>
      </c>
      <c r="P181" s="39"/>
      <c r="Q181" s="39"/>
      <c r="R181" s="39"/>
      <c r="S181" s="39"/>
      <c r="T181" s="39"/>
      <c r="U181" s="39"/>
      <c r="V181" s="39"/>
      <c r="W181" s="3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35" t="s">
        <v>21</v>
      </c>
      <c r="B182" s="35" t="s">
        <v>39</v>
      </c>
      <c r="C182" s="35" t="s">
        <v>40</v>
      </c>
      <c r="D182" s="35" t="s">
        <v>43</v>
      </c>
      <c r="E182" s="35" t="s">
        <v>25</v>
      </c>
      <c r="F182" s="35" t="s">
        <v>25</v>
      </c>
      <c r="G182" s="35" t="s">
        <v>25</v>
      </c>
      <c r="H182" s="35" t="s">
        <v>35</v>
      </c>
      <c r="I182" s="55">
        <v>44531</v>
      </c>
      <c r="J182" s="56">
        <f>EFEITO!$J$182*EFEITO!$Y$140</f>
        <v>0</v>
      </c>
      <c r="K182" s="56">
        <f ca="1">EFEITO!$L$182*EFEITO!$Z$140</f>
        <v>146.54850940038691</v>
      </c>
      <c r="L182" s="56">
        <f>EFEITO!$N$182*EFEITO!$AA$140</f>
        <v>124.96725778445621</v>
      </c>
      <c r="M182" s="56">
        <f>$J$182-EFEITO!$K$182*EFEITO!$Y$182</f>
        <v>0</v>
      </c>
      <c r="N182" s="56">
        <f ca="1">$K$182-EFEITO!$M$182*EFEITO!$Z$182</f>
        <v>2.9309701880077341</v>
      </c>
      <c r="O182" s="56">
        <f>$L$182-EFEITO!$O$182*EFEITO!$AA$182</f>
        <v>2.4993451556891273</v>
      </c>
      <c r="P182" s="39"/>
      <c r="Q182" s="39"/>
      <c r="R182" s="39"/>
      <c r="S182" s="39"/>
      <c r="T182" s="39"/>
      <c r="U182" s="39"/>
      <c r="V182" s="39"/>
      <c r="W182" s="3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35" t="s">
        <v>21</v>
      </c>
      <c r="B183" s="35" t="s">
        <v>39</v>
      </c>
      <c r="C183" s="35" t="s">
        <v>40</v>
      </c>
      <c r="D183" s="35" t="s">
        <v>43</v>
      </c>
      <c r="E183" s="35" t="s">
        <v>25</v>
      </c>
      <c r="F183" s="35" t="s">
        <v>25</v>
      </c>
      <c r="G183" s="35" t="s">
        <v>25</v>
      </c>
      <c r="H183" s="35" t="s">
        <v>35</v>
      </c>
      <c r="I183" s="55">
        <v>44562</v>
      </c>
      <c r="J183" s="56">
        <f>EFEITO!$J$183*EFEITO!$Y$140</f>
        <v>0</v>
      </c>
      <c r="K183" s="56">
        <f ca="1">EFEITO!$L$183*EFEITO!$Z$140</f>
        <v>314.21536295017455</v>
      </c>
      <c r="L183" s="56">
        <f>EFEITO!$N$183*EFEITO!$AA$140</f>
        <v>267.94289769505673</v>
      </c>
      <c r="M183" s="56">
        <f>$J$183-EFEITO!$K$183*EFEITO!$Y$183</f>
        <v>0</v>
      </c>
      <c r="N183" s="56">
        <f ca="1">$K$183-EFEITO!$M$183*EFEITO!$Z$183</f>
        <v>6.2843072590035263</v>
      </c>
      <c r="O183" s="56">
        <f>$L$183-EFEITO!$O$183*EFEITO!$AA$183</f>
        <v>5.3588579539011221</v>
      </c>
      <c r="P183" s="39"/>
      <c r="Q183" s="39"/>
      <c r="R183" s="39"/>
      <c r="S183" s="39"/>
      <c r="T183" s="39"/>
      <c r="U183" s="39"/>
      <c r="V183" s="39"/>
      <c r="W183" s="3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35" t="s">
        <v>21</v>
      </c>
      <c r="B184" s="35" t="s">
        <v>39</v>
      </c>
      <c r="C184" s="35" t="s">
        <v>40</v>
      </c>
      <c r="D184" s="35" t="s">
        <v>43</v>
      </c>
      <c r="E184" s="35" t="s">
        <v>25</v>
      </c>
      <c r="F184" s="35" t="s">
        <v>25</v>
      </c>
      <c r="G184" s="35" t="s">
        <v>25</v>
      </c>
      <c r="H184" s="35" t="s">
        <v>35</v>
      </c>
      <c r="I184" s="55">
        <v>44593</v>
      </c>
      <c r="J184" s="56">
        <f>EFEITO!$J$184*EFEITO!$Y$140</f>
        <v>0</v>
      </c>
      <c r="K184" s="56">
        <f ca="1">EFEITO!$L$184*EFEITO!$Z$140</f>
        <v>2669.4135533261997</v>
      </c>
      <c r="L184" s="56">
        <f>EFEITO!$N$184*EFEITO!$AA$140</f>
        <v>2276.3062757631546</v>
      </c>
      <c r="M184" s="56">
        <f>$J$184-EFEITO!$K$184*EFEITO!$Y$184</f>
        <v>0</v>
      </c>
      <c r="N184" s="56">
        <f ca="1">$K$184-EFEITO!$M$184*EFEITO!$Z$184</f>
        <v>53.388271066524339</v>
      </c>
      <c r="O184" s="56">
        <f>$L$184-EFEITO!$O$184*EFEITO!$AA$184</f>
        <v>45.526125515263175</v>
      </c>
      <c r="P184" s="39"/>
      <c r="Q184" s="39"/>
      <c r="R184" s="39"/>
      <c r="S184" s="39"/>
      <c r="T184" s="39"/>
      <c r="U184" s="39"/>
      <c r="V184" s="39"/>
      <c r="W184" s="3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35" t="s">
        <v>21</v>
      </c>
      <c r="B185" s="35" t="s">
        <v>39</v>
      </c>
      <c r="C185" s="35" t="s">
        <v>40</v>
      </c>
      <c r="D185" s="35" t="s">
        <v>43</v>
      </c>
      <c r="E185" s="35" t="s">
        <v>25</v>
      </c>
      <c r="F185" s="35" t="s">
        <v>25</v>
      </c>
      <c r="G185" s="35" t="s">
        <v>25</v>
      </c>
      <c r="H185" s="35" t="s">
        <v>35</v>
      </c>
      <c r="I185" s="55">
        <v>44621</v>
      </c>
      <c r="J185" s="56">
        <f>EFEITO!$J$185*EFEITO!$Y$140</f>
        <v>0</v>
      </c>
      <c r="K185" s="56">
        <f ca="1">EFEITO!$L$185*EFEITO!$Z$140</f>
        <v>4860.0532178627382</v>
      </c>
      <c r="L185" s="56">
        <f>EFEITO!$N$185*EFEITO!$AA$140</f>
        <v>4144.344598302855</v>
      </c>
      <c r="M185" s="56">
        <f>$J$185-EFEITO!$K$185*EFEITO!$Y$185</f>
        <v>0</v>
      </c>
      <c r="N185" s="56">
        <f ca="1">$K$185-EFEITO!$M$185*EFEITO!$Z$185</f>
        <v>97.201064357254836</v>
      </c>
      <c r="O185" s="56">
        <f>$L$185-EFEITO!$O$185*EFEITO!$AA$185</f>
        <v>82.886891966057192</v>
      </c>
      <c r="P185" s="39"/>
      <c r="Q185" s="39"/>
      <c r="R185" s="39"/>
      <c r="S185" s="39"/>
      <c r="T185" s="39"/>
      <c r="U185" s="39"/>
      <c r="V185" s="39"/>
      <c r="W185" s="3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35" t="s">
        <v>21</v>
      </c>
      <c r="B186" s="35" t="s">
        <v>39</v>
      </c>
      <c r="C186" s="35" t="s">
        <v>40</v>
      </c>
      <c r="D186" s="35" t="s">
        <v>43</v>
      </c>
      <c r="E186" s="35" t="s">
        <v>25</v>
      </c>
      <c r="F186" s="35" t="s">
        <v>25</v>
      </c>
      <c r="G186" s="35" t="s">
        <v>25</v>
      </c>
      <c r="H186" s="35" t="s">
        <v>35</v>
      </c>
      <c r="I186" s="55">
        <v>44652</v>
      </c>
      <c r="J186" s="56">
        <f>EFEITO!$J$186*EFEITO!$Y$140</f>
        <v>0</v>
      </c>
      <c r="K186" s="56">
        <f ca="1">EFEITO!$L$186*EFEITO!$Z$140</f>
        <v>3691.8705272088741</v>
      </c>
      <c r="L186" s="56">
        <f>EFEITO!$N$186*EFEITO!$AA$140</f>
        <v>3148.1926207795977</v>
      </c>
      <c r="M186" s="56">
        <f>$J$186-EFEITO!$K$186*EFEITO!$Y$186</f>
        <v>0</v>
      </c>
      <c r="N186" s="56">
        <f ca="1">$K$186-EFEITO!$M$186*EFEITO!$Z$186</f>
        <v>73.837410544177601</v>
      </c>
      <c r="O186" s="56">
        <f>$L$186-EFEITO!$O$186*EFEITO!$AA$186</f>
        <v>62.963852415591646</v>
      </c>
      <c r="P186" s="39"/>
      <c r="Q186" s="39"/>
      <c r="R186" s="39"/>
      <c r="S186" s="39"/>
      <c r="T186" s="39"/>
      <c r="U186" s="39"/>
      <c r="V186" s="39"/>
      <c r="W186" s="3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35" t="s">
        <v>21</v>
      </c>
      <c r="B187" s="35" t="s">
        <v>39</v>
      </c>
      <c r="C187" s="35" t="s">
        <v>40</v>
      </c>
      <c r="D187" s="35" t="s">
        <v>43</v>
      </c>
      <c r="E187" s="35" t="s">
        <v>25</v>
      </c>
      <c r="F187" s="35" t="s">
        <v>25</v>
      </c>
      <c r="G187" s="35" t="s">
        <v>25</v>
      </c>
      <c r="H187" s="35" t="s">
        <v>35</v>
      </c>
      <c r="I187" s="55">
        <v>44682</v>
      </c>
      <c r="J187" s="56">
        <f>EFEITO!$J$187*EFEITO!$Y$140</f>
        <v>0</v>
      </c>
      <c r="K187" s="56">
        <f ca="1">EFEITO!$L$187*EFEITO!$Z$140</f>
        <v>2281.4211179579884</v>
      </c>
      <c r="L187" s="56">
        <f>EFEITO!$N$187*EFEITO!$AA$140</f>
        <v>1945.4509781728661</v>
      </c>
      <c r="M187" s="56">
        <f>$J$187-EFEITO!$K$187*EFEITO!$Y$187</f>
        <v>0</v>
      </c>
      <c r="N187" s="56">
        <f ca="1">$K$187-EFEITO!$M$187*EFEITO!$Z$187</f>
        <v>45.62842235916014</v>
      </c>
      <c r="O187" s="56">
        <f>$L$187-EFEITO!$O$187*EFEITO!$AA$187</f>
        <v>38.909019563457377</v>
      </c>
      <c r="P187" s="39"/>
      <c r="Q187" s="39"/>
      <c r="R187" s="39"/>
      <c r="S187" s="39"/>
      <c r="T187" s="39"/>
      <c r="U187" s="39"/>
      <c r="V187" s="39"/>
      <c r="W187" s="3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35" t="s">
        <v>21</v>
      </c>
      <c r="B188" s="35" t="s">
        <v>39</v>
      </c>
      <c r="C188" s="35" t="s">
        <v>40</v>
      </c>
      <c r="D188" s="35" t="s">
        <v>43</v>
      </c>
      <c r="E188" s="35" t="s">
        <v>25</v>
      </c>
      <c r="F188" s="35" t="s">
        <v>25</v>
      </c>
      <c r="G188" s="35" t="s">
        <v>25</v>
      </c>
      <c r="H188" s="35" t="s">
        <v>35</v>
      </c>
      <c r="I188" s="55">
        <v>44713</v>
      </c>
      <c r="J188" s="56">
        <f>EFEITO!$J$188*EFEITO!$Y$140</f>
        <v>0</v>
      </c>
      <c r="K188" s="56">
        <f ca="1">EFEITO!$L$188*EFEITO!$Z$140</f>
        <v>762.36308165304217</v>
      </c>
      <c r="L188" s="56">
        <f>EFEITO!$N$188*EFEITO!$AA$140</f>
        <v>650.09479891739261</v>
      </c>
      <c r="M188" s="56">
        <f>$J$188-EFEITO!$K$188*EFEITO!$Y$188</f>
        <v>0</v>
      </c>
      <c r="N188" s="56">
        <f ca="1">$K$188-EFEITO!$M$188*EFEITO!$Z$188</f>
        <v>15.24726163306093</v>
      </c>
      <c r="O188" s="56">
        <f>$L$188-EFEITO!$O$188*EFEITO!$AA$188</f>
        <v>13.001895978347875</v>
      </c>
      <c r="P188" s="39"/>
      <c r="Q188" s="39"/>
      <c r="R188" s="39"/>
      <c r="S188" s="39"/>
      <c r="T188" s="39"/>
      <c r="U188" s="39"/>
      <c r="V188" s="39"/>
      <c r="W188" s="3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35" t="s">
        <v>21</v>
      </c>
      <c r="B189" s="35" t="s">
        <v>39</v>
      </c>
      <c r="C189" s="35" t="s">
        <v>40</v>
      </c>
      <c r="D189" s="35" t="s">
        <v>43</v>
      </c>
      <c r="E189" s="35" t="s">
        <v>25</v>
      </c>
      <c r="F189" s="35" t="s">
        <v>25</v>
      </c>
      <c r="G189" s="35" t="s">
        <v>25</v>
      </c>
      <c r="H189" s="35" t="s">
        <v>35</v>
      </c>
      <c r="I189" s="55">
        <v>44743</v>
      </c>
      <c r="J189" s="56">
        <f>EFEITO!$J$189*EFEITO!$Y$140</f>
        <v>0</v>
      </c>
      <c r="K189" s="56">
        <f ca="1">EFEITO!$L$189*EFEITO!$Z$140</f>
        <v>90.872874824694065</v>
      </c>
      <c r="L189" s="56">
        <f>EFEITO!$N$189*EFEITO!$AA$140</f>
        <v>77.49061399734839</v>
      </c>
      <c r="M189" s="56">
        <f>$J$189-EFEITO!$K$189*EFEITO!$Y$189</f>
        <v>0</v>
      </c>
      <c r="N189" s="56">
        <f ca="1">$K$189-EFEITO!$M$189*EFEITO!$Z$189</f>
        <v>1.817457496493887</v>
      </c>
      <c r="O189" s="56">
        <f>$L$189-EFEITO!$O$189*EFEITO!$AA$189</f>
        <v>1.5498122799469627</v>
      </c>
      <c r="P189" s="39"/>
      <c r="Q189" s="39"/>
      <c r="R189" s="39"/>
      <c r="S189" s="39"/>
      <c r="T189" s="39"/>
      <c r="U189" s="39"/>
      <c r="V189" s="39"/>
      <c r="W189" s="3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35" t="s">
        <v>21</v>
      </c>
      <c r="B190" s="35" t="s">
        <v>39</v>
      </c>
      <c r="C190" s="35" t="s">
        <v>40</v>
      </c>
      <c r="D190" s="35" t="s">
        <v>43</v>
      </c>
      <c r="E190" s="35" t="s">
        <v>25</v>
      </c>
      <c r="F190" s="35" t="s">
        <v>25</v>
      </c>
      <c r="G190" s="35" t="s">
        <v>25</v>
      </c>
      <c r="H190" s="35" t="s">
        <v>35</v>
      </c>
      <c r="I190" s="55">
        <v>44774</v>
      </c>
      <c r="J190" s="56">
        <f>EFEITO!$J$190*EFEITO!$Y$140</f>
        <v>0</v>
      </c>
      <c r="K190" s="56">
        <f ca="1">EFEITO!$L$190*EFEITO!$Z$140</f>
        <v>281.85218620174231</v>
      </c>
      <c r="L190" s="56">
        <f>EFEITO!$N$190*EFEITO!$AA$140</f>
        <v>240.34563677447193</v>
      </c>
      <c r="M190" s="56">
        <f>$J$190-EFEITO!$K$190*EFEITO!$Y$190</f>
        <v>0</v>
      </c>
      <c r="N190" s="56">
        <f ca="1">$K$190-EFEITO!$M$190*EFEITO!$Z$190</f>
        <v>5.6370437240348679</v>
      </c>
      <c r="O190" s="56">
        <f>$L$190-EFEITO!$O$190*EFEITO!$AA$190</f>
        <v>4.8069127354894476</v>
      </c>
      <c r="P190" s="39"/>
      <c r="Q190" s="39"/>
      <c r="R190" s="39"/>
      <c r="S190" s="39"/>
      <c r="T190" s="39"/>
      <c r="U190" s="39"/>
      <c r="V190" s="39"/>
      <c r="W190" s="3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35" t="s">
        <v>21</v>
      </c>
      <c r="B191" s="35" t="s">
        <v>39</v>
      </c>
      <c r="C191" s="35" t="s">
        <v>40</v>
      </c>
      <c r="D191" s="35" t="s">
        <v>43</v>
      </c>
      <c r="E191" s="35" t="s">
        <v>25</v>
      </c>
      <c r="F191" s="35" t="s">
        <v>25</v>
      </c>
      <c r="G191" s="35" t="s">
        <v>25</v>
      </c>
      <c r="H191" s="35" t="s">
        <v>25</v>
      </c>
      <c r="I191" s="55">
        <v>44440</v>
      </c>
      <c r="J191" s="56">
        <f ca="1">EFEITO!$J$191*EFEITO!$Y$163</f>
        <v>967.04481117498358</v>
      </c>
      <c r="K191" s="56">
        <f>EFEITO!$L$191*EFEITO!$Z$163</f>
        <v>0</v>
      </c>
      <c r="L191" s="56">
        <f>EFEITO!$N$191*EFEITO!$AA$163</f>
        <v>0</v>
      </c>
      <c r="M191" s="56">
        <f ca="1">$J$191-EFEITO!$K$191*EFEITO!$Y$191</f>
        <v>19.340896223499612</v>
      </c>
      <c r="N191" s="56">
        <f>$K$191-EFEITO!$M$191*EFEITO!$Z$191</f>
        <v>0</v>
      </c>
      <c r="O191" s="56">
        <f>$L$191-EFEITO!$O$191*EFEITO!$AA$191</f>
        <v>0</v>
      </c>
      <c r="P191" s="39"/>
      <c r="Q191" s="39"/>
      <c r="R191" s="39"/>
      <c r="S191" s="39"/>
      <c r="T191" s="39"/>
      <c r="U191" s="39"/>
      <c r="V191" s="39"/>
      <c r="W191" s="3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35" t="s">
        <v>21</v>
      </c>
      <c r="B192" s="35" t="s">
        <v>39</v>
      </c>
      <c r="C192" s="35" t="s">
        <v>40</v>
      </c>
      <c r="D192" s="35" t="s">
        <v>43</v>
      </c>
      <c r="E192" s="35" t="s">
        <v>25</v>
      </c>
      <c r="F192" s="35" t="s">
        <v>25</v>
      </c>
      <c r="G192" s="35" t="s">
        <v>25</v>
      </c>
      <c r="H192" s="35" t="s">
        <v>25</v>
      </c>
      <c r="I192" s="55">
        <v>44470</v>
      </c>
      <c r="J192" s="56">
        <f ca="1">EFEITO!$J$192*EFEITO!$Y$163</f>
        <v>2855.0846806118566</v>
      </c>
      <c r="K192" s="56">
        <f>EFEITO!$L$192*EFEITO!$Z$163</f>
        <v>0</v>
      </c>
      <c r="L192" s="56">
        <f>EFEITO!$N$192*EFEITO!$AA$163</f>
        <v>0</v>
      </c>
      <c r="M192" s="56">
        <f ca="1">$J$192-EFEITO!$K$192*EFEITO!$Y$192</f>
        <v>57.101693612237341</v>
      </c>
      <c r="N192" s="56">
        <f>$K$192-EFEITO!$M$192*EFEITO!$Z$192</f>
        <v>0</v>
      </c>
      <c r="O192" s="56">
        <f>$L$192-EFEITO!$O$192*EFEITO!$AA$192</f>
        <v>0</v>
      </c>
      <c r="P192" s="39"/>
      <c r="Q192" s="39"/>
      <c r="R192" s="39"/>
      <c r="S192" s="39"/>
      <c r="T192" s="39"/>
      <c r="U192" s="39"/>
      <c r="V192" s="39"/>
      <c r="W192" s="3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35" t="s">
        <v>21</v>
      </c>
      <c r="B193" s="35" t="s">
        <v>39</v>
      </c>
      <c r="C193" s="35" t="s">
        <v>40</v>
      </c>
      <c r="D193" s="35" t="s">
        <v>43</v>
      </c>
      <c r="E193" s="35" t="s">
        <v>25</v>
      </c>
      <c r="F193" s="35" t="s">
        <v>25</v>
      </c>
      <c r="G193" s="35" t="s">
        <v>25</v>
      </c>
      <c r="H193" s="35" t="s">
        <v>25</v>
      </c>
      <c r="I193" s="55">
        <v>44501</v>
      </c>
      <c r="J193" s="56">
        <f ca="1">EFEITO!$J$193*EFEITO!$Y$163</f>
        <v>2901.134433524951</v>
      </c>
      <c r="K193" s="56">
        <f>EFEITO!$L$193*EFEITO!$Z$163</f>
        <v>0</v>
      </c>
      <c r="L193" s="56">
        <f>EFEITO!$N$193*EFEITO!$AA$163</f>
        <v>0</v>
      </c>
      <c r="M193" s="56">
        <f ca="1">$J$193-EFEITO!$K$193*EFEITO!$Y$193</f>
        <v>58.022688670499065</v>
      </c>
      <c r="N193" s="56">
        <f>$K$193-EFEITO!$M$193*EFEITO!$Z$193</f>
        <v>0</v>
      </c>
      <c r="O193" s="56">
        <f>$L$193-EFEITO!$O$193*EFEITO!$AA$193</f>
        <v>0</v>
      </c>
      <c r="P193" s="39"/>
      <c r="Q193" s="39"/>
      <c r="R193" s="39"/>
      <c r="S193" s="39"/>
      <c r="T193" s="39"/>
      <c r="U193" s="39"/>
      <c r="V193" s="39"/>
      <c r="W193" s="3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35" t="s">
        <v>21</v>
      </c>
      <c r="B194" s="35" t="s">
        <v>39</v>
      </c>
      <c r="C194" s="35" t="s">
        <v>40</v>
      </c>
      <c r="D194" s="35" t="s">
        <v>43</v>
      </c>
      <c r="E194" s="35" t="s">
        <v>25</v>
      </c>
      <c r="F194" s="35" t="s">
        <v>25</v>
      </c>
      <c r="G194" s="35" t="s">
        <v>25</v>
      </c>
      <c r="H194" s="35" t="s">
        <v>25</v>
      </c>
      <c r="I194" s="55">
        <v>44531</v>
      </c>
      <c r="J194" s="56">
        <f ca="1">EFEITO!$J$194*EFEITO!$Y$163</f>
        <v>2026.1891281761561</v>
      </c>
      <c r="K194" s="56">
        <f>EFEITO!$L$194*EFEITO!$Z$163</f>
        <v>0</v>
      </c>
      <c r="L194" s="56">
        <f>EFEITO!$N$194*EFEITO!$AA$163</f>
        <v>0</v>
      </c>
      <c r="M194" s="56">
        <f ca="1">$J$194-EFEITO!$K$194*EFEITO!$Y$194</f>
        <v>40.5237825635229</v>
      </c>
      <c r="N194" s="56">
        <f>$K$194-EFEITO!$M$194*EFEITO!$Z$194</f>
        <v>0</v>
      </c>
      <c r="O194" s="56">
        <f>$L$194-EFEITO!$O$194*EFEITO!$AA$194</f>
        <v>0</v>
      </c>
      <c r="P194" s="39"/>
      <c r="Q194" s="39"/>
      <c r="R194" s="39"/>
      <c r="S194" s="39"/>
      <c r="T194" s="39"/>
      <c r="U194" s="39"/>
      <c r="V194" s="39"/>
      <c r="W194" s="3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35" t="s">
        <v>21</v>
      </c>
      <c r="B195" s="35" t="s">
        <v>39</v>
      </c>
      <c r="C195" s="35" t="s">
        <v>40</v>
      </c>
      <c r="D195" s="35" t="s">
        <v>43</v>
      </c>
      <c r="E195" s="35" t="s">
        <v>25</v>
      </c>
      <c r="F195" s="35" t="s">
        <v>25</v>
      </c>
      <c r="G195" s="35" t="s">
        <v>25</v>
      </c>
      <c r="H195" s="35" t="s">
        <v>25</v>
      </c>
      <c r="I195" s="55">
        <v>44562</v>
      </c>
      <c r="J195" s="56">
        <f ca="1">EFEITO!$J$195*EFEITO!$Y$163</f>
        <v>4558.9255383963518</v>
      </c>
      <c r="K195" s="56">
        <f>EFEITO!$L$195*EFEITO!$Z$163</f>
        <v>0</v>
      </c>
      <c r="L195" s="56">
        <f>EFEITO!$N$195*EFEITO!$AA$163</f>
        <v>0</v>
      </c>
      <c r="M195" s="56">
        <f ca="1">$J$195-EFEITO!$K$195*EFEITO!$Y$195</f>
        <v>91.178510767927037</v>
      </c>
      <c r="N195" s="56">
        <f>$K$195-EFEITO!$M$195*EFEITO!$Z$195</f>
        <v>0</v>
      </c>
      <c r="O195" s="56">
        <f>$L$195-EFEITO!$O$195*EFEITO!$AA$195</f>
        <v>0</v>
      </c>
      <c r="P195" s="39"/>
      <c r="Q195" s="39"/>
      <c r="R195" s="39"/>
      <c r="S195" s="39"/>
      <c r="T195" s="39"/>
      <c r="U195" s="39"/>
      <c r="V195" s="39"/>
      <c r="W195" s="3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35" t="s">
        <v>21</v>
      </c>
      <c r="B196" s="35" t="s">
        <v>39</v>
      </c>
      <c r="C196" s="35" t="s">
        <v>40</v>
      </c>
      <c r="D196" s="35" t="s">
        <v>43</v>
      </c>
      <c r="E196" s="35" t="s">
        <v>25</v>
      </c>
      <c r="F196" s="35" t="s">
        <v>25</v>
      </c>
      <c r="G196" s="35" t="s">
        <v>25</v>
      </c>
      <c r="H196" s="35" t="s">
        <v>25</v>
      </c>
      <c r="I196" s="55">
        <v>44593</v>
      </c>
      <c r="J196" s="56">
        <f ca="1">EFEITO!$J$196*EFEITO!$Y$163</f>
        <v>8749.4530534879468</v>
      </c>
      <c r="K196" s="56">
        <f>EFEITO!$L$196*EFEITO!$Z$163</f>
        <v>0</v>
      </c>
      <c r="L196" s="56">
        <f>EFEITO!$N$196*EFEITO!$AA$163</f>
        <v>0</v>
      </c>
      <c r="M196" s="56">
        <f ca="1">$J$196-EFEITO!$K$196*EFEITO!$Y$196</f>
        <v>174.98906106975846</v>
      </c>
      <c r="N196" s="56">
        <f>$K$196-EFEITO!$M$196*EFEITO!$Z$196</f>
        <v>0</v>
      </c>
      <c r="O196" s="56">
        <f>$L$196-EFEITO!$O$196*EFEITO!$AA$196</f>
        <v>0</v>
      </c>
      <c r="P196" s="39"/>
      <c r="Q196" s="39"/>
      <c r="R196" s="39"/>
      <c r="S196" s="39"/>
      <c r="T196" s="39"/>
      <c r="U196" s="39"/>
      <c r="V196" s="39"/>
      <c r="W196" s="3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35" t="s">
        <v>21</v>
      </c>
      <c r="B197" s="35" t="s">
        <v>39</v>
      </c>
      <c r="C197" s="35" t="s">
        <v>40</v>
      </c>
      <c r="D197" s="35" t="s">
        <v>43</v>
      </c>
      <c r="E197" s="35" t="s">
        <v>25</v>
      </c>
      <c r="F197" s="35" t="s">
        <v>25</v>
      </c>
      <c r="G197" s="35" t="s">
        <v>25</v>
      </c>
      <c r="H197" s="35" t="s">
        <v>25</v>
      </c>
      <c r="I197" s="55">
        <v>44621</v>
      </c>
      <c r="J197" s="56">
        <f ca="1">EFEITO!$J$197*EFEITO!$Y$163</f>
        <v>9394.14959427127</v>
      </c>
      <c r="K197" s="56">
        <f>EFEITO!$L$197*EFEITO!$Z$163</f>
        <v>0</v>
      </c>
      <c r="L197" s="56">
        <f>EFEITO!$N$197*EFEITO!$AA$163</f>
        <v>0</v>
      </c>
      <c r="M197" s="56">
        <f ca="1">$J$197-EFEITO!$K$197*EFEITO!$Y$197</f>
        <v>187.88299188542624</v>
      </c>
      <c r="N197" s="56">
        <f>$K$197-EFEITO!$M$197*EFEITO!$Z$197</f>
        <v>0</v>
      </c>
      <c r="O197" s="56">
        <f>$L$197-EFEITO!$O$197*EFEITO!$AA$197</f>
        <v>0</v>
      </c>
      <c r="P197" s="39"/>
      <c r="Q197" s="39"/>
      <c r="R197" s="39"/>
      <c r="S197" s="39"/>
      <c r="T197" s="39"/>
      <c r="U197" s="39"/>
      <c r="V197" s="39"/>
      <c r="W197" s="3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35" t="s">
        <v>21</v>
      </c>
      <c r="B198" s="35" t="s">
        <v>39</v>
      </c>
      <c r="C198" s="35" t="s">
        <v>40</v>
      </c>
      <c r="D198" s="35" t="s">
        <v>43</v>
      </c>
      <c r="E198" s="35" t="s">
        <v>25</v>
      </c>
      <c r="F198" s="35" t="s">
        <v>25</v>
      </c>
      <c r="G198" s="35" t="s">
        <v>25</v>
      </c>
      <c r="H198" s="35" t="s">
        <v>25</v>
      </c>
      <c r="I198" s="55">
        <v>44652</v>
      </c>
      <c r="J198" s="56">
        <f ca="1">EFEITO!$J$198*EFEITO!$Y$163</f>
        <v>9117.8510767927037</v>
      </c>
      <c r="K198" s="56">
        <f>EFEITO!$L$198*EFEITO!$Z$163</f>
        <v>0</v>
      </c>
      <c r="L198" s="56">
        <f>EFEITO!$N$198*EFEITO!$AA$163</f>
        <v>0</v>
      </c>
      <c r="M198" s="56">
        <f ca="1">$J$198-EFEITO!$K$198*EFEITO!$Y$198</f>
        <v>182.35702153585407</v>
      </c>
      <c r="N198" s="56">
        <f>$K$198-EFEITO!$M$198*EFEITO!$Z$198</f>
        <v>0</v>
      </c>
      <c r="O198" s="56">
        <f>$L$198-EFEITO!$O$198*EFEITO!$AA$198</f>
        <v>0</v>
      </c>
      <c r="P198" s="39"/>
      <c r="Q198" s="39"/>
      <c r="R198" s="39"/>
      <c r="S198" s="39"/>
      <c r="T198" s="39"/>
      <c r="U198" s="39"/>
      <c r="V198" s="39"/>
      <c r="W198" s="3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35" t="s">
        <v>21</v>
      </c>
      <c r="B199" s="35" t="s">
        <v>39</v>
      </c>
      <c r="C199" s="35" t="s">
        <v>40</v>
      </c>
      <c r="D199" s="35" t="s">
        <v>43</v>
      </c>
      <c r="E199" s="35" t="s">
        <v>25</v>
      </c>
      <c r="F199" s="35" t="s">
        <v>25</v>
      </c>
      <c r="G199" s="35" t="s">
        <v>25</v>
      </c>
      <c r="H199" s="35" t="s">
        <v>25</v>
      </c>
      <c r="I199" s="55">
        <v>44682</v>
      </c>
      <c r="J199" s="56">
        <f ca="1">EFEITO!$J$199*EFEITO!$Y$163</f>
        <v>8887.6023122272309</v>
      </c>
      <c r="K199" s="56">
        <f>EFEITO!$L$199*EFEITO!$Z$163</f>
        <v>0</v>
      </c>
      <c r="L199" s="56">
        <f>EFEITO!$N$199*EFEITO!$AA$163</f>
        <v>0</v>
      </c>
      <c r="M199" s="56">
        <f ca="1">$J$199-EFEITO!$K$199*EFEITO!$Y$199</f>
        <v>177.75204624454454</v>
      </c>
      <c r="N199" s="56">
        <f>$K$199-EFEITO!$M$199*EFEITO!$Z$199</f>
        <v>0</v>
      </c>
      <c r="O199" s="56">
        <f>$L$199-EFEITO!$O$199*EFEITO!$AA$199</f>
        <v>0</v>
      </c>
      <c r="P199" s="39"/>
      <c r="Q199" s="39"/>
      <c r="R199" s="39"/>
      <c r="S199" s="39"/>
      <c r="T199" s="39"/>
      <c r="U199" s="39"/>
      <c r="V199" s="39"/>
      <c r="W199" s="3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35" t="s">
        <v>21</v>
      </c>
      <c r="B200" s="35" t="s">
        <v>39</v>
      </c>
      <c r="C200" s="35" t="s">
        <v>40</v>
      </c>
      <c r="D200" s="35" t="s">
        <v>43</v>
      </c>
      <c r="E200" s="35" t="s">
        <v>25</v>
      </c>
      <c r="F200" s="35" t="s">
        <v>25</v>
      </c>
      <c r="G200" s="35" t="s">
        <v>25</v>
      </c>
      <c r="H200" s="35" t="s">
        <v>25</v>
      </c>
      <c r="I200" s="55">
        <v>44713</v>
      </c>
      <c r="J200" s="56">
        <f ca="1">EFEITO!$J$200*EFEITO!$Y$163</f>
        <v>9025.7515709665131</v>
      </c>
      <c r="K200" s="56">
        <f>EFEITO!$L$200*EFEITO!$Z$163</f>
        <v>0</v>
      </c>
      <c r="L200" s="56">
        <f>EFEITO!$N$200*EFEITO!$AA$163</f>
        <v>0</v>
      </c>
      <c r="M200" s="56">
        <f ca="1">$J$200-EFEITO!$K$200*EFEITO!$Y$200</f>
        <v>180.51503141932881</v>
      </c>
      <c r="N200" s="56">
        <f>$K$200-EFEITO!$M$200*EFEITO!$Z$200</f>
        <v>0</v>
      </c>
      <c r="O200" s="56">
        <f>$L$200-EFEITO!$O$200*EFEITO!$AA$200</f>
        <v>0</v>
      </c>
      <c r="P200" s="39"/>
      <c r="Q200" s="39"/>
      <c r="R200" s="39"/>
      <c r="S200" s="39"/>
      <c r="T200" s="39"/>
      <c r="U200" s="39"/>
      <c r="V200" s="39"/>
      <c r="W200" s="3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35" t="s">
        <v>21</v>
      </c>
      <c r="B201" s="35" t="s">
        <v>39</v>
      </c>
      <c r="C201" s="35" t="s">
        <v>40</v>
      </c>
      <c r="D201" s="35" t="s">
        <v>43</v>
      </c>
      <c r="E201" s="35" t="s">
        <v>25</v>
      </c>
      <c r="F201" s="35" t="s">
        <v>25</v>
      </c>
      <c r="G201" s="35" t="s">
        <v>25</v>
      </c>
      <c r="H201" s="35" t="s">
        <v>25</v>
      </c>
      <c r="I201" s="55">
        <v>44743</v>
      </c>
      <c r="J201" s="56">
        <f ca="1">EFEITO!$J$201*EFEITO!$Y$163</f>
        <v>920.9950582618892</v>
      </c>
      <c r="K201" s="56">
        <f>EFEITO!$L$201*EFEITO!$Z$163</f>
        <v>0</v>
      </c>
      <c r="L201" s="56">
        <f>EFEITO!$N$201*EFEITO!$AA$163</f>
        <v>0</v>
      </c>
      <c r="M201" s="56">
        <f ca="1">$J$201-EFEITO!$K$201*EFEITO!$Y$201</f>
        <v>18.419901165237775</v>
      </c>
      <c r="N201" s="56">
        <f>$K$201-EFEITO!$M$201*EFEITO!$Z$201</f>
        <v>0</v>
      </c>
      <c r="O201" s="56">
        <f>$L$201-EFEITO!$O$201*EFEITO!$AA$201</f>
        <v>0</v>
      </c>
      <c r="P201" s="39"/>
      <c r="Q201" s="39"/>
      <c r="R201" s="39"/>
      <c r="S201" s="39"/>
      <c r="T201" s="39"/>
      <c r="U201" s="39"/>
      <c r="V201" s="39"/>
      <c r="W201" s="3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35" t="s">
        <v>21</v>
      </c>
      <c r="B202" s="35" t="s">
        <v>39</v>
      </c>
      <c r="C202" s="35" t="s">
        <v>40</v>
      </c>
      <c r="D202" s="35" t="s">
        <v>43</v>
      </c>
      <c r="E202" s="35" t="s">
        <v>25</v>
      </c>
      <c r="F202" s="35" t="s">
        <v>25</v>
      </c>
      <c r="G202" s="35" t="s">
        <v>25</v>
      </c>
      <c r="H202" s="35" t="s">
        <v>25</v>
      </c>
      <c r="I202" s="55">
        <v>44774</v>
      </c>
      <c r="J202" s="56">
        <f ca="1">EFEITO!$J$202*EFEITO!$Y$163</f>
        <v>9117.8510767927037</v>
      </c>
      <c r="K202" s="56">
        <f>EFEITO!$L$202*EFEITO!$Z$163</f>
        <v>0</v>
      </c>
      <c r="L202" s="56">
        <f>EFEITO!$N$202*EFEITO!$AA$163</f>
        <v>0</v>
      </c>
      <c r="M202" s="56">
        <f ca="1">$J$202-EFEITO!$K$202*EFEITO!$Y$202</f>
        <v>182.35702153585407</v>
      </c>
      <c r="N202" s="56">
        <f>$K$202-EFEITO!$M$202*EFEITO!$Z$202</f>
        <v>0</v>
      </c>
      <c r="O202" s="56">
        <f>$L$202-EFEITO!$O$202*EFEITO!$AA$202</f>
        <v>0</v>
      </c>
      <c r="P202" s="39"/>
      <c r="Q202" s="39"/>
      <c r="R202" s="39"/>
      <c r="S202" s="39"/>
      <c r="T202" s="39"/>
      <c r="U202" s="39"/>
      <c r="V202" s="39"/>
      <c r="W202" s="3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35" t="s">
        <v>21</v>
      </c>
      <c r="B203" s="35" t="s">
        <v>39</v>
      </c>
      <c r="C203" s="35" t="s">
        <v>40</v>
      </c>
      <c r="D203" s="35" t="s">
        <v>43</v>
      </c>
      <c r="E203" s="35" t="s">
        <v>25</v>
      </c>
      <c r="F203" s="35" t="s">
        <v>25</v>
      </c>
      <c r="G203" s="35" t="s">
        <v>25</v>
      </c>
      <c r="H203" s="35" t="s">
        <v>34</v>
      </c>
      <c r="I203" s="55">
        <v>44440</v>
      </c>
      <c r="J203" s="56">
        <f>EFEITO!$J$203*EFEITO!$Y$178</f>
        <v>0</v>
      </c>
      <c r="K203" s="56">
        <f ca="1">EFEITO!$L$203*EFEITO!$Z$178</f>
        <v>723.19005936498502</v>
      </c>
      <c r="L203" s="56">
        <f>EFEITO!$N$203*EFEITO!$AA$178</f>
        <v>15.669631200671054</v>
      </c>
      <c r="M203" s="56">
        <f>$J$203-EFEITO!$K$203*EFEITO!$Y$203</f>
        <v>0</v>
      </c>
      <c r="N203" s="56">
        <f ca="1">$K$203-EFEITO!$M$203*EFEITO!$Z$203</f>
        <v>14.463801187299737</v>
      </c>
      <c r="O203" s="56">
        <f>$L$203-EFEITO!$O$203*EFEITO!$AA$203</f>
        <v>0.31339262401342083</v>
      </c>
      <c r="P203" s="39"/>
      <c r="Q203" s="39"/>
      <c r="R203" s="39"/>
      <c r="S203" s="39"/>
      <c r="T203" s="39"/>
      <c r="U203" s="39"/>
      <c r="V203" s="39"/>
      <c r="W203" s="3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35" t="s">
        <v>21</v>
      </c>
      <c r="B204" s="35" t="s">
        <v>39</v>
      </c>
      <c r="C204" s="35" t="s">
        <v>40</v>
      </c>
      <c r="D204" s="35" t="s">
        <v>43</v>
      </c>
      <c r="E204" s="35" t="s">
        <v>25</v>
      </c>
      <c r="F204" s="35" t="s">
        <v>25</v>
      </c>
      <c r="G204" s="35" t="s">
        <v>25</v>
      </c>
      <c r="H204" s="35" t="s">
        <v>34</v>
      </c>
      <c r="I204" s="55">
        <v>44470</v>
      </c>
      <c r="J204" s="56">
        <f>EFEITO!$J$204*EFEITO!$Y$178</f>
        <v>0</v>
      </c>
      <c r="K204" s="56">
        <f ca="1">EFEITO!$L$204*EFEITO!$Z$178</f>
        <v>748.37578282545701</v>
      </c>
      <c r="L204" s="56">
        <f>EFEITO!$N$204*EFEITO!$AA$178</f>
        <v>16.215339749948154</v>
      </c>
      <c r="M204" s="56">
        <f>$J$204-EFEITO!$K$204*EFEITO!$Y$204</f>
        <v>0</v>
      </c>
      <c r="N204" s="56">
        <f ca="1">$K$204-EFEITO!$M$204*EFEITO!$Z$204</f>
        <v>14.967515656509136</v>
      </c>
      <c r="O204" s="56">
        <f>$L$204-EFEITO!$O$204*EFEITO!$AA$204</f>
        <v>0.32430679499896264</v>
      </c>
      <c r="P204" s="39"/>
      <c r="Q204" s="39"/>
      <c r="R204" s="39"/>
      <c r="S204" s="39"/>
      <c r="T204" s="39"/>
      <c r="U204" s="39"/>
      <c r="V204" s="39"/>
      <c r="W204" s="3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35" t="s">
        <v>21</v>
      </c>
      <c r="B205" s="35" t="s">
        <v>39</v>
      </c>
      <c r="C205" s="35" t="s">
        <v>40</v>
      </c>
      <c r="D205" s="35" t="s">
        <v>43</v>
      </c>
      <c r="E205" s="35" t="s">
        <v>25</v>
      </c>
      <c r="F205" s="35" t="s">
        <v>25</v>
      </c>
      <c r="G205" s="35" t="s">
        <v>25</v>
      </c>
      <c r="H205" s="35" t="s">
        <v>34</v>
      </c>
      <c r="I205" s="55">
        <v>44501</v>
      </c>
      <c r="J205" s="56">
        <f>EFEITO!$J$205*EFEITO!$Y$178</f>
        <v>0</v>
      </c>
      <c r="K205" s="56">
        <f ca="1">EFEITO!$L$205*EFEITO!$Z$178</f>
        <v>881.50032111652399</v>
      </c>
      <c r="L205" s="56">
        <f>EFEITO!$N$205*EFEITO!$AA$178</f>
        <v>19.099799224698547</v>
      </c>
      <c r="M205" s="56">
        <f>$J$205-EFEITO!$K$205*EFEITO!$Y$205</f>
        <v>0</v>
      </c>
      <c r="N205" s="56">
        <f ca="1">$K$205-EFEITO!$M$205*EFEITO!$Z$205</f>
        <v>17.630006422330439</v>
      </c>
      <c r="O205" s="56">
        <f>$L$205-EFEITO!$O$205*EFEITO!$AA$205</f>
        <v>0.38199598449397243</v>
      </c>
      <c r="P205" s="39"/>
      <c r="Q205" s="39"/>
      <c r="R205" s="39"/>
      <c r="S205" s="39"/>
      <c r="T205" s="39"/>
      <c r="U205" s="39"/>
      <c r="V205" s="39"/>
      <c r="W205" s="3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35" t="s">
        <v>21</v>
      </c>
      <c r="B206" s="35" t="s">
        <v>39</v>
      </c>
      <c r="C206" s="35" t="s">
        <v>40</v>
      </c>
      <c r="D206" s="35" t="s">
        <v>43</v>
      </c>
      <c r="E206" s="35" t="s">
        <v>25</v>
      </c>
      <c r="F206" s="35" t="s">
        <v>25</v>
      </c>
      <c r="G206" s="35" t="s">
        <v>25</v>
      </c>
      <c r="H206" s="35" t="s">
        <v>34</v>
      </c>
      <c r="I206" s="55">
        <v>44531</v>
      </c>
      <c r="J206" s="56">
        <f>EFEITO!$J$206*EFEITO!$Y$178</f>
        <v>0</v>
      </c>
      <c r="K206" s="56">
        <f ca="1">EFEITO!$L$206*EFEITO!$Z$178</f>
        <v>730.38598035369137</v>
      </c>
      <c r="L206" s="56">
        <f>EFEITO!$N$206*EFEITO!$AA$178</f>
        <v>15.82554792903594</v>
      </c>
      <c r="M206" s="56">
        <f>$J$206-EFEITO!$K$206*EFEITO!$Y$206</f>
        <v>0</v>
      </c>
      <c r="N206" s="56">
        <f ca="1">$K$206-EFEITO!$M$206*EFEITO!$Z$206</f>
        <v>14.607719607073818</v>
      </c>
      <c r="O206" s="56">
        <f>$L$206-EFEITO!$O$206*EFEITO!$AA$206</f>
        <v>0.31651095858071976</v>
      </c>
      <c r="P206" s="39"/>
      <c r="Q206" s="39"/>
      <c r="R206" s="39"/>
      <c r="S206" s="39"/>
      <c r="T206" s="39"/>
      <c r="U206" s="39"/>
      <c r="V206" s="39"/>
      <c r="W206" s="3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35" t="s">
        <v>21</v>
      </c>
      <c r="B207" s="35" t="s">
        <v>39</v>
      </c>
      <c r="C207" s="35" t="s">
        <v>40</v>
      </c>
      <c r="D207" s="35" t="s">
        <v>43</v>
      </c>
      <c r="E207" s="35" t="s">
        <v>25</v>
      </c>
      <c r="F207" s="35" t="s">
        <v>25</v>
      </c>
      <c r="G207" s="35" t="s">
        <v>25</v>
      </c>
      <c r="H207" s="35" t="s">
        <v>34</v>
      </c>
      <c r="I207" s="55">
        <v>44562</v>
      </c>
      <c r="J207" s="56">
        <f>EFEITO!$J$207*EFEITO!$Y$178</f>
        <v>0</v>
      </c>
      <c r="K207" s="56">
        <f ca="1">EFEITO!$L$207*EFEITO!$Z$178</f>
        <v>575.67367909650545</v>
      </c>
      <c r="L207" s="56">
        <f>EFEITO!$N$207*EFEITO!$AA$178</f>
        <v>12.473338269190888</v>
      </c>
      <c r="M207" s="56">
        <f>$J$207-EFEITO!$K$207*EFEITO!$Y$207</f>
        <v>0</v>
      </c>
      <c r="N207" s="56">
        <f ca="1">$K$207-EFEITO!$M$207*EFEITO!$Z$207</f>
        <v>11.513473581930043</v>
      </c>
      <c r="O207" s="56">
        <f>$L$207-EFEITO!$O$207*EFEITO!$AA$207</f>
        <v>0.24946676538381851</v>
      </c>
      <c r="P207" s="39"/>
      <c r="Q207" s="39"/>
      <c r="R207" s="39"/>
      <c r="S207" s="39"/>
      <c r="T207" s="39"/>
      <c r="U207" s="39"/>
      <c r="V207" s="39"/>
      <c r="W207" s="3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35" t="s">
        <v>21</v>
      </c>
      <c r="B208" s="35" t="s">
        <v>39</v>
      </c>
      <c r="C208" s="35" t="s">
        <v>40</v>
      </c>
      <c r="D208" s="35" t="s">
        <v>43</v>
      </c>
      <c r="E208" s="35" t="s">
        <v>25</v>
      </c>
      <c r="F208" s="35" t="s">
        <v>25</v>
      </c>
      <c r="G208" s="35" t="s">
        <v>25</v>
      </c>
      <c r="H208" s="35" t="s">
        <v>34</v>
      </c>
      <c r="I208" s="55">
        <v>44593</v>
      </c>
      <c r="J208" s="56">
        <f>EFEITO!$J$208*EFEITO!$Y$178</f>
        <v>0</v>
      </c>
      <c r="K208" s="56">
        <f ca="1">EFEITO!$L$208*EFEITO!$Z$178</f>
        <v>2327.880439846494</v>
      </c>
      <c r="L208" s="56">
        <f>EFEITO!$N$208*EFEITO!$AA$178</f>
        <v>50.439061626040655</v>
      </c>
      <c r="M208" s="56">
        <f>$J$208-EFEITO!$K$208*EFEITO!$Y$208</f>
        <v>0</v>
      </c>
      <c r="N208" s="56">
        <f ca="1">$K$208-EFEITO!$M$208*EFEITO!$Z$208</f>
        <v>46.557608796929799</v>
      </c>
      <c r="O208" s="56">
        <f>$L$208-EFEITO!$O$208*EFEITO!$AA$208</f>
        <v>1.0087812325208105</v>
      </c>
      <c r="P208" s="39"/>
      <c r="Q208" s="39"/>
      <c r="R208" s="39"/>
      <c r="S208" s="39"/>
      <c r="T208" s="39"/>
      <c r="U208" s="39"/>
      <c r="V208" s="39"/>
      <c r="W208" s="3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35" t="s">
        <v>21</v>
      </c>
      <c r="B209" s="35" t="s">
        <v>39</v>
      </c>
      <c r="C209" s="35" t="s">
        <v>40</v>
      </c>
      <c r="D209" s="35" t="s">
        <v>43</v>
      </c>
      <c r="E209" s="35" t="s">
        <v>25</v>
      </c>
      <c r="F209" s="35" t="s">
        <v>25</v>
      </c>
      <c r="G209" s="35" t="s">
        <v>25</v>
      </c>
      <c r="H209" s="35" t="s">
        <v>34</v>
      </c>
      <c r="I209" s="55">
        <v>44621</v>
      </c>
      <c r="J209" s="56">
        <f>EFEITO!$J$209*EFEITO!$Y$178</f>
        <v>0</v>
      </c>
      <c r="K209" s="56">
        <f ca="1">EFEITO!$L$209*EFEITO!$Z$178</f>
        <v>1802.5782076709327</v>
      </c>
      <c r="L209" s="56">
        <f>EFEITO!$N$209*EFEITO!$AA$178</f>
        <v>39.057140455403967</v>
      </c>
      <c r="M209" s="56">
        <f>$J$209-EFEITO!$K$209*EFEITO!$Y$209</f>
        <v>0</v>
      </c>
      <c r="N209" s="56">
        <f ca="1">$K$209-EFEITO!$M$209*EFEITO!$Z$209</f>
        <v>36.051564153418667</v>
      </c>
      <c r="O209" s="56">
        <f>$L$209-EFEITO!$O$209*EFEITO!$AA$209</f>
        <v>0.78114280910808276</v>
      </c>
      <c r="P209" s="39"/>
      <c r="Q209" s="39"/>
      <c r="R209" s="39"/>
      <c r="S209" s="39"/>
      <c r="T209" s="39"/>
      <c r="U209" s="39"/>
      <c r="V209" s="39"/>
      <c r="W209" s="3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35" t="s">
        <v>21</v>
      </c>
      <c r="B210" s="35" t="s">
        <v>39</v>
      </c>
      <c r="C210" s="35" t="s">
        <v>40</v>
      </c>
      <c r="D210" s="35" t="s">
        <v>43</v>
      </c>
      <c r="E210" s="35" t="s">
        <v>25</v>
      </c>
      <c r="F210" s="35" t="s">
        <v>25</v>
      </c>
      <c r="G210" s="35" t="s">
        <v>25</v>
      </c>
      <c r="H210" s="35" t="s">
        <v>34</v>
      </c>
      <c r="I210" s="55">
        <v>44652</v>
      </c>
      <c r="J210" s="56">
        <f>EFEITO!$J$210*EFEITO!$Y$178</f>
        <v>0</v>
      </c>
      <c r="K210" s="56">
        <f ca="1">EFEITO!$L$210*EFEITO!$Z$178</f>
        <v>1590.2985385040963</v>
      </c>
      <c r="L210" s="56">
        <f>EFEITO!$N$210*EFEITO!$AA$178</f>
        <v>34.457596968639827</v>
      </c>
      <c r="M210" s="56">
        <f>$J$210-EFEITO!$K$210*EFEITO!$Y$210</f>
        <v>0</v>
      </c>
      <c r="N210" s="56">
        <f ca="1">$K$210-EFEITO!$M$210*EFEITO!$Z$210</f>
        <v>31.805970770081785</v>
      </c>
      <c r="O210" s="56">
        <f>$L$210-EFEITO!$O$210*EFEITO!$AA$210</f>
        <v>0.68915193937279895</v>
      </c>
      <c r="P210" s="39"/>
      <c r="Q210" s="39"/>
      <c r="R210" s="39"/>
      <c r="S210" s="39"/>
      <c r="T210" s="39"/>
      <c r="U210" s="39"/>
      <c r="V210" s="39"/>
      <c r="W210" s="3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35" t="s">
        <v>21</v>
      </c>
      <c r="B211" s="35" t="s">
        <v>39</v>
      </c>
      <c r="C211" s="35" t="s">
        <v>40</v>
      </c>
      <c r="D211" s="35" t="s">
        <v>43</v>
      </c>
      <c r="E211" s="35" t="s">
        <v>25</v>
      </c>
      <c r="F211" s="35" t="s">
        <v>25</v>
      </c>
      <c r="G211" s="35" t="s">
        <v>25</v>
      </c>
      <c r="H211" s="35" t="s">
        <v>34</v>
      </c>
      <c r="I211" s="55">
        <v>44682</v>
      </c>
      <c r="J211" s="56">
        <f>EFEITO!$J$211*EFEITO!$Y$178</f>
        <v>0</v>
      </c>
      <c r="K211" s="56">
        <f ca="1">EFEITO!$L$211*EFEITO!$Z$178</f>
        <v>611.65328404003708</v>
      </c>
      <c r="L211" s="56">
        <f>EFEITO!$N$211*EFEITO!$AA$178</f>
        <v>13.252921911015319</v>
      </c>
      <c r="M211" s="56">
        <f>$J$211-EFEITO!$K$211*EFEITO!$Y$211</f>
        <v>0</v>
      </c>
      <c r="N211" s="56">
        <f ca="1">$K$211-EFEITO!$M$211*EFEITO!$Z$211</f>
        <v>12.233065680800678</v>
      </c>
      <c r="O211" s="56">
        <f>$L$211-EFEITO!$O$211*EFEITO!$AA$211</f>
        <v>0.26505843822030606</v>
      </c>
      <c r="P211" s="39"/>
      <c r="Q211" s="39"/>
      <c r="R211" s="39"/>
      <c r="S211" s="39"/>
      <c r="T211" s="39"/>
      <c r="U211" s="39"/>
      <c r="V211" s="39"/>
      <c r="W211" s="3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35" t="s">
        <v>21</v>
      </c>
      <c r="B212" s="35" t="s">
        <v>39</v>
      </c>
      <c r="C212" s="35" t="s">
        <v>40</v>
      </c>
      <c r="D212" s="35" t="s">
        <v>43</v>
      </c>
      <c r="E212" s="35" t="s">
        <v>25</v>
      </c>
      <c r="F212" s="35" t="s">
        <v>25</v>
      </c>
      <c r="G212" s="35" t="s">
        <v>25</v>
      </c>
      <c r="H212" s="35" t="s">
        <v>34</v>
      </c>
      <c r="I212" s="55">
        <v>44713</v>
      </c>
      <c r="J212" s="56">
        <f>EFEITO!$J$212*EFEITO!$Y$178</f>
        <v>0</v>
      </c>
      <c r="K212" s="56">
        <f ca="1">EFEITO!$L$212*EFEITO!$Z$178</f>
        <v>572.07571860215228</v>
      </c>
      <c r="L212" s="56">
        <f>EFEITO!$N$212*EFEITO!$AA$178</f>
        <v>12.395379905008445</v>
      </c>
      <c r="M212" s="56">
        <f>$J$212-EFEITO!$K$212*EFEITO!$Y$212</f>
        <v>0</v>
      </c>
      <c r="N212" s="56">
        <f ca="1">$K$212-EFEITO!$M$212*EFEITO!$Z$212</f>
        <v>11.441514372043002</v>
      </c>
      <c r="O212" s="56">
        <f>$L$212-EFEITO!$O$212*EFEITO!$AA$212</f>
        <v>0.24790759810016993</v>
      </c>
      <c r="P212" s="39"/>
      <c r="Q212" s="39"/>
      <c r="R212" s="39"/>
      <c r="S212" s="39"/>
      <c r="T212" s="39"/>
      <c r="U212" s="39"/>
      <c r="V212" s="39"/>
      <c r="W212" s="3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35" t="s">
        <v>21</v>
      </c>
      <c r="B213" s="35" t="s">
        <v>39</v>
      </c>
      <c r="C213" s="35" t="s">
        <v>40</v>
      </c>
      <c r="D213" s="35" t="s">
        <v>43</v>
      </c>
      <c r="E213" s="35" t="s">
        <v>25</v>
      </c>
      <c r="F213" s="35" t="s">
        <v>25</v>
      </c>
      <c r="G213" s="35" t="s">
        <v>25</v>
      </c>
      <c r="H213" s="35" t="s">
        <v>34</v>
      </c>
      <c r="I213" s="55">
        <v>44743</v>
      </c>
      <c r="J213" s="56">
        <f>EFEITO!$J$213*EFEITO!$Y$178</f>
        <v>0</v>
      </c>
      <c r="K213" s="56">
        <f ca="1">EFEITO!$L$213*EFEITO!$Z$178</f>
        <v>525.30223217556113</v>
      </c>
      <c r="L213" s="56">
        <f>EFEITO!$N$213*EFEITO!$AA$178</f>
        <v>11.381921170636684</v>
      </c>
      <c r="M213" s="56">
        <f>$J$213-EFEITO!$K$213*EFEITO!$Y$213</f>
        <v>0</v>
      </c>
      <c r="N213" s="56">
        <f ca="1">$K$213-EFEITO!$M$213*EFEITO!$Z$213</f>
        <v>10.506044643511132</v>
      </c>
      <c r="O213" s="56">
        <f>$L$213-EFEITO!$O$213*EFEITO!$AA$213</f>
        <v>0.2276384234127331</v>
      </c>
      <c r="P213" s="39"/>
      <c r="Q213" s="39"/>
      <c r="R213" s="39"/>
      <c r="S213" s="39"/>
      <c r="T213" s="39"/>
      <c r="U213" s="39"/>
      <c r="V213" s="39"/>
      <c r="W213" s="3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35" t="s">
        <v>21</v>
      </c>
      <c r="B214" s="35" t="s">
        <v>39</v>
      </c>
      <c r="C214" s="35" t="s">
        <v>40</v>
      </c>
      <c r="D214" s="35" t="s">
        <v>43</v>
      </c>
      <c r="E214" s="35" t="s">
        <v>25</v>
      </c>
      <c r="F214" s="35" t="s">
        <v>25</v>
      </c>
      <c r="G214" s="35" t="s">
        <v>25</v>
      </c>
      <c r="H214" s="35" t="s">
        <v>34</v>
      </c>
      <c r="I214" s="55">
        <v>44774</v>
      </c>
      <c r="J214" s="56">
        <f>EFEITO!$J$214*EFEITO!$Y$178</f>
        <v>0</v>
      </c>
      <c r="K214" s="56">
        <f ca="1">EFEITO!$L$214*EFEITO!$Z$178</f>
        <v>507.31242970379537</v>
      </c>
      <c r="L214" s="56">
        <f>EFEITO!$N$214*EFEITO!$AA$178</f>
        <v>10.992129349724468</v>
      </c>
      <c r="M214" s="56">
        <f>$J$214-EFEITO!$K$214*EFEITO!$Y$214</f>
        <v>0</v>
      </c>
      <c r="N214" s="56">
        <f ca="1">$K$214-EFEITO!$M$214*EFEITO!$Z$214</f>
        <v>10.146248594075871</v>
      </c>
      <c r="O214" s="56">
        <f>$L$214-EFEITO!$O$214*EFEITO!$AA$214</f>
        <v>0.21984258699448844</v>
      </c>
      <c r="P214" s="39"/>
      <c r="Q214" s="39"/>
      <c r="R214" s="39"/>
      <c r="S214" s="39"/>
      <c r="T214" s="39"/>
      <c r="U214" s="39"/>
      <c r="V214" s="39"/>
      <c r="W214" s="3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35" t="s">
        <v>21</v>
      </c>
      <c r="B215" s="35" t="s">
        <v>39</v>
      </c>
      <c r="C215" s="35" t="s">
        <v>40</v>
      </c>
      <c r="D215" s="35" t="s">
        <v>48</v>
      </c>
      <c r="E215" s="35" t="s">
        <v>49</v>
      </c>
      <c r="F215" s="35" t="s">
        <v>25</v>
      </c>
      <c r="G215" s="35" t="s">
        <v>25</v>
      </c>
      <c r="H215" s="35" t="s">
        <v>35</v>
      </c>
      <c r="I215" s="55">
        <v>44440</v>
      </c>
      <c r="J215" s="56">
        <f>EFEITO!$J$215*EFEITO!$Y$140</f>
        <v>0</v>
      </c>
      <c r="K215" s="56">
        <f ca="1">EFEITO!$L$215*EFEITO!$Z$140</f>
        <v>12626.849951873512</v>
      </c>
      <c r="L215" s="56">
        <f>EFEITO!$N$215*EFEITO!$AA$140</f>
        <v>10767.375385786485</v>
      </c>
      <c r="M215" s="56">
        <f>$J$215-EFEITO!$K$215*EFEITO!$Y$215</f>
        <v>0</v>
      </c>
      <c r="N215" s="56">
        <f ca="1">$K$215-EFEITO!$M$215*EFEITO!$Z$215</f>
        <v>378.80549855620666</v>
      </c>
      <c r="O215" s="56">
        <f>$L$215-EFEITO!$O$215*EFEITO!$AA$215</f>
        <v>323.02126157359453</v>
      </c>
      <c r="P215" s="39"/>
      <c r="Q215" s="39"/>
      <c r="R215" s="39"/>
      <c r="S215" s="39"/>
      <c r="T215" s="39"/>
      <c r="U215" s="39"/>
      <c r="V215" s="39"/>
      <c r="W215" s="3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35" t="s">
        <v>21</v>
      </c>
      <c r="B216" s="35" t="s">
        <v>39</v>
      </c>
      <c r="C216" s="35" t="s">
        <v>40</v>
      </c>
      <c r="D216" s="35" t="s">
        <v>48</v>
      </c>
      <c r="E216" s="35" t="s">
        <v>49</v>
      </c>
      <c r="F216" s="35" t="s">
        <v>25</v>
      </c>
      <c r="G216" s="35" t="s">
        <v>25</v>
      </c>
      <c r="H216" s="35" t="s">
        <v>35</v>
      </c>
      <c r="I216" s="55">
        <v>44470</v>
      </c>
      <c r="J216" s="56">
        <f>EFEITO!$J$216*EFEITO!$Y$140</f>
        <v>0</v>
      </c>
      <c r="K216" s="56">
        <f ca="1">EFEITO!$L$216*EFEITO!$Z$140</f>
        <v>13901.629998710067</v>
      </c>
      <c r="L216" s="56">
        <f>EFEITO!$N$216*EFEITO!$AA$140</f>
        <v>11854.426815946474</v>
      </c>
      <c r="M216" s="56">
        <f>$J$216-EFEITO!$K$216*EFEITO!$Y$216</f>
        <v>0</v>
      </c>
      <c r="N216" s="56">
        <f ca="1">$K$216-EFEITO!$M$216*EFEITO!$Z$216</f>
        <v>417.0488999613026</v>
      </c>
      <c r="O216" s="56">
        <f>$L$216-EFEITO!$O$216*EFEITO!$AA$216</f>
        <v>355.63280447839497</v>
      </c>
      <c r="P216" s="39"/>
      <c r="Q216" s="39"/>
      <c r="R216" s="39"/>
      <c r="S216" s="39"/>
      <c r="T216" s="39"/>
      <c r="U216" s="39"/>
      <c r="V216" s="39"/>
      <c r="W216" s="3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35" t="s">
        <v>21</v>
      </c>
      <c r="B217" s="35" t="s">
        <v>39</v>
      </c>
      <c r="C217" s="35" t="s">
        <v>40</v>
      </c>
      <c r="D217" s="35" t="s">
        <v>48</v>
      </c>
      <c r="E217" s="35" t="s">
        <v>49</v>
      </c>
      <c r="F217" s="35" t="s">
        <v>25</v>
      </c>
      <c r="G217" s="35" t="s">
        <v>25</v>
      </c>
      <c r="H217" s="35" t="s">
        <v>35</v>
      </c>
      <c r="I217" s="55">
        <v>44501</v>
      </c>
      <c r="J217" s="56">
        <f>EFEITO!$J$217*EFEITO!$Y$140</f>
        <v>0</v>
      </c>
      <c r="K217" s="56">
        <f ca="1">EFEITO!$L$217*EFEITO!$Z$140</f>
        <v>14176.351315458764</v>
      </c>
      <c r="L217" s="56">
        <f>EFEITO!$N$217*EFEITO!$AA$140</f>
        <v>12088.691700314714</v>
      </c>
      <c r="M217" s="56">
        <f>$J$217-EFEITO!$K$217*EFEITO!$Y$217</f>
        <v>0</v>
      </c>
      <c r="N217" s="56">
        <f ca="1">$K$217-EFEITO!$M$217*EFEITO!$Z$217</f>
        <v>425.29053946376371</v>
      </c>
      <c r="O217" s="56">
        <f>$L$217-EFEITO!$O$217*EFEITO!$AA$217</f>
        <v>362.66075100944181</v>
      </c>
      <c r="P217" s="39"/>
      <c r="Q217" s="39"/>
      <c r="R217" s="39"/>
      <c r="S217" s="39"/>
      <c r="T217" s="39"/>
      <c r="U217" s="39"/>
      <c r="V217" s="39"/>
      <c r="W217" s="3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35" t="s">
        <v>21</v>
      </c>
      <c r="B218" s="35" t="s">
        <v>39</v>
      </c>
      <c r="C218" s="35" t="s">
        <v>40</v>
      </c>
      <c r="D218" s="35" t="s">
        <v>48</v>
      </c>
      <c r="E218" s="35" t="s">
        <v>49</v>
      </c>
      <c r="F218" s="35" t="s">
        <v>25</v>
      </c>
      <c r="G218" s="35" t="s">
        <v>25</v>
      </c>
      <c r="H218" s="35" t="s">
        <v>35</v>
      </c>
      <c r="I218" s="55">
        <v>44531</v>
      </c>
      <c r="J218" s="56">
        <f>EFEITO!$J$218*EFEITO!$Y$140</f>
        <v>0</v>
      </c>
      <c r="K218" s="56">
        <f ca="1">EFEITO!$L$218*EFEITO!$Z$140</f>
        <v>16474.319707403945</v>
      </c>
      <c r="L218" s="56">
        <f>EFEITO!$N$218*EFEITO!$AA$140</f>
        <v>14048.253142404603</v>
      </c>
      <c r="M218" s="56">
        <f>$J$218-EFEITO!$K$218*EFEITO!$Y$218</f>
        <v>0</v>
      </c>
      <c r="N218" s="56">
        <f ca="1">$K$218-EFEITO!$M$218*EFEITO!$Z$218</f>
        <v>494.22959122211978</v>
      </c>
      <c r="O218" s="56">
        <f>$L$218-EFEITO!$O$218*EFEITO!$AA$218</f>
        <v>421.4475942721383</v>
      </c>
      <c r="P218" s="39"/>
      <c r="Q218" s="39"/>
      <c r="R218" s="39"/>
      <c r="S218" s="39"/>
      <c r="T218" s="39"/>
      <c r="U218" s="39"/>
      <c r="V218" s="39"/>
      <c r="W218" s="3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35" t="s">
        <v>21</v>
      </c>
      <c r="B219" s="35" t="s">
        <v>39</v>
      </c>
      <c r="C219" s="35" t="s">
        <v>40</v>
      </c>
      <c r="D219" s="35" t="s">
        <v>48</v>
      </c>
      <c r="E219" s="35" t="s">
        <v>49</v>
      </c>
      <c r="F219" s="35" t="s">
        <v>25</v>
      </c>
      <c r="G219" s="35" t="s">
        <v>25</v>
      </c>
      <c r="H219" s="35" t="s">
        <v>35</v>
      </c>
      <c r="I219" s="55">
        <v>44562</v>
      </c>
      <c r="J219" s="56">
        <f>EFEITO!$J$219*EFEITO!$Y$140</f>
        <v>0</v>
      </c>
      <c r="K219" s="56">
        <f ca="1">EFEITO!$L$219*EFEITO!$Z$140</f>
        <v>20304.693660527719</v>
      </c>
      <c r="L219" s="56">
        <f>EFEITO!$N$219*EFEITO!$AA$140</f>
        <v>17314.5526849206</v>
      </c>
      <c r="M219" s="56">
        <f>$J$219-EFEITO!$K$219*EFEITO!$Y$219</f>
        <v>0</v>
      </c>
      <c r="N219" s="56">
        <f ca="1">$K$219-EFEITO!$M$219*EFEITO!$Z$219</f>
        <v>609.14080981583174</v>
      </c>
      <c r="O219" s="56">
        <f>$L$219-EFEITO!$O$219*EFEITO!$AA$219</f>
        <v>519.43658054761909</v>
      </c>
      <c r="P219" s="39"/>
      <c r="Q219" s="39"/>
      <c r="R219" s="39"/>
      <c r="S219" s="39"/>
      <c r="T219" s="39"/>
      <c r="U219" s="39"/>
      <c r="V219" s="39"/>
      <c r="W219" s="3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35" t="s">
        <v>21</v>
      </c>
      <c r="B220" s="35" t="s">
        <v>39</v>
      </c>
      <c r="C220" s="35" t="s">
        <v>40</v>
      </c>
      <c r="D220" s="35" t="s">
        <v>48</v>
      </c>
      <c r="E220" s="35" t="s">
        <v>49</v>
      </c>
      <c r="F220" s="35" t="s">
        <v>25</v>
      </c>
      <c r="G220" s="35" t="s">
        <v>25</v>
      </c>
      <c r="H220" s="35" t="s">
        <v>35</v>
      </c>
      <c r="I220" s="55">
        <v>44593</v>
      </c>
      <c r="J220" s="56">
        <f>EFEITO!$J$220*EFEITO!$Y$140</f>
        <v>0</v>
      </c>
      <c r="K220" s="56">
        <f ca="1">EFEITO!$L$220*EFEITO!$Z$140</f>
        <v>17426.199357982128</v>
      </c>
      <c r="L220" s="56">
        <f>EFEITO!$N$220*EFEITO!$AA$140</f>
        <v>14859.955630272199</v>
      </c>
      <c r="M220" s="56">
        <f>$J$220-EFEITO!$K$220*EFEITO!$Y$220</f>
        <v>0</v>
      </c>
      <c r="N220" s="56">
        <f ca="1">$K$220-EFEITO!$M$220*EFEITO!$Z$220</f>
        <v>522.78598073946341</v>
      </c>
      <c r="O220" s="56">
        <f>$L$220-EFEITO!$O$220*EFEITO!$AA$220</f>
        <v>445.79866890816629</v>
      </c>
      <c r="P220" s="39"/>
      <c r="Q220" s="39"/>
      <c r="R220" s="39"/>
      <c r="S220" s="39"/>
      <c r="T220" s="39"/>
      <c r="U220" s="39"/>
      <c r="V220" s="39"/>
      <c r="W220" s="3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35" t="s">
        <v>21</v>
      </c>
      <c r="B221" s="35" t="s">
        <v>39</v>
      </c>
      <c r="C221" s="35" t="s">
        <v>40</v>
      </c>
      <c r="D221" s="35" t="s">
        <v>48</v>
      </c>
      <c r="E221" s="35" t="s">
        <v>49</v>
      </c>
      <c r="F221" s="35" t="s">
        <v>25</v>
      </c>
      <c r="G221" s="35" t="s">
        <v>25</v>
      </c>
      <c r="H221" s="35" t="s">
        <v>35</v>
      </c>
      <c r="I221" s="55">
        <v>44621</v>
      </c>
      <c r="J221" s="56">
        <f>EFEITO!$J$221*EFEITO!$Y$140</f>
        <v>0</v>
      </c>
      <c r="K221" s="56">
        <f ca="1">EFEITO!$L$221*EFEITO!$Z$140</f>
        <v>16710.826877596584</v>
      </c>
      <c r="L221" s="56">
        <f>EFEITO!$N$221*EFEITO!$AA$140</f>
        <v>14249.931430544582</v>
      </c>
      <c r="M221" s="56">
        <f>$J$221-EFEITO!$K$221*EFEITO!$Y$221</f>
        <v>0</v>
      </c>
      <c r="N221" s="56">
        <f ca="1">$K$221-EFEITO!$M$221*EFEITO!$Z$221</f>
        <v>501.32480632790066</v>
      </c>
      <c r="O221" s="56">
        <f>$L$221-EFEITO!$O$221*EFEITO!$AA$221</f>
        <v>427.49794291633771</v>
      </c>
      <c r="P221" s="39"/>
      <c r="Q221" s="39"/>
      <c r="R221" s="39"/>
      <c r="S221" s="39"/>
      <c r="T221" s="39"/>
      <c r="U221" s="39"/>
      <c r="V221" s="39"/>
      <c r="W221" s="3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35" t="s">
        <v>21</v>
      </c>
      <c r="B222" s="35" t="s">
        <v>39</v>
      </c>
      <c r="C222" s="35" t="s">
        <v>40</v>
      </c>
      <c r="D222" s="35" t="s">
        <v>48</v>
      </c>
      <c r="E222" s="35" t="s">
        <v>49</v>
      </c>
      <c r="F222" s="35" t="s">
        <v>25</v>
      </c>
      <c r="G222" s="35" t="s">
        <v>25</v>
      </c>
      <c r="H222" s="35" t="s">
        <v>35</v>
      </c>
      <c r="I222" s="55">
        <v>44652</v>
      </c>
      <c r="J222" s="56">
        <f>EFEITO!$J$222*EFEITO!$Y$140</f>
        <v>0</v>
      </c>
      <c r="K222" s="56">
        <f ca="1">EFEITO!$L$222*EFEITO!$Z$140</f>
        <v>16659.08236336039</v>
      </c>
      <c r="L222" s="56">
        <f>EFEITO!$N$222*EFEITO!$AA$140</f>
        <v>14205.806996417321</v>
      </c>
      <c r="M222" s="56">
        <f>$J$222-EFEITO!$K$222*EFEITO!$Y$222</f>
        <v>0</v>
      </c>
      <c r="N222" s="56">
        <f ca="1">$K$222-EFEITO!$M$222*EFEITO!$Z$222</f>
        <v>499.77247090081255</v>
      </c>
      <c r="O222" s="56">
        <f>$L$222-EFEITO!$O$222*EFEITO!$AA$222</f>
        <v>426.17420989252059</v>
      </c>
      <c r="P222" s="39"/>
      <c r="Q222" s="39"/>
      <c r="R222" s="39"/>
      <c r="S222" s="39"/>
      <c r="T222" s="39"/>
      <c r="U222" s="39"/>
      <c r="V222" s="39"/>
      <c r="W222" s="3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35" t="s">
        <v>21</v>
      </c>
      <c r="B223" s="35" t="s">
        <v>39</v>
      </c>
      <c r="C223" s="35" t="s">
        <v>40</v>
      </c>
      <c r="D223" s="35" t="s">
        <v>48</v>
      </c>
      <c r="E223" s="35" t="s">
        <v>49</v>
      </c>
      <c r="F223" s="35" t="s">
        <v>25</v>
      </c>
      <c r="G223" s="35" t="s">
        <v>25</v>
      </c>
      <c r="H223" s="35" t="s">
        <v>35</v>
      </c>
      <c r="I223" s="55">
        <v>44682</v>
      </c>
      <c r="J223" s="56">
        <f>EFEITO!$J$223*EFEITO!$Y$140</f>
        <v>0</v>
      </c>
      <c r="K223" s="56">
        <f ca="1">EFEITO!$L$223*EFEITO!$Z$140</f>
        <v>15790.396189734391</v>
      </c>
      <c r="L223" s="56">
        <f>EFEITO!$N$223*EFEITO!$AA$140</f>
        <v>13465.046619955747</v>
      </c>
      <c r="M223" s="56">
        <f>$J$223-EFEITO!$K$223*EFEITO!$Y$223</f>
        <v>0</v>
      </c>
      <c r="N223" s="56">
        <f ca="1">$K$223-EFEITO!$M$223*EFEITO!$Z$223</f>
        <v>473.7118856920315</v>
      </c>
      <c r="O223" s="56">
        <f>$L$223-EFEITO!$O$223*EFEITO!$AA$223</f>
        <v>403.95139859867231</v>
      </c>
      <c r="P223" s="39"/>
      <c r="Q223" s="39"/>
      <c r="R223" s="39"/>
      <c r="S223" s="39"/>
      <c r="T223" s="39"/>
      <c r="U223" s="39"/>
      <c r="V223" s="39"/>
      <c r="W223" s="3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35" t="s">
        <v>21</v>
      </c>
      <c r="B224" s="35" t="s">
        <v>39</v>
      </c>
      <c r="C224" s="35" t="s">
        <v>40</v>
      </c>
      <c r="D224" s="35" t="s">
        <v>48</v>
      </c>
      <c r="E224" s="35" t="s">
        <v>49</v>
      </c>
      <c r="F224" s="35" t="s">
        <v>25</v>
      </c>
      <c r="G224" s="35" t="s">
        <v>25</v>
      </c>
      <c r="H224" s="35" t="s">
        <v>35</v>
      </c>
      <c r="I224" s="55">
        <v>44713</v>
      </c>
      <c r="J224" s="56">
        <f>EFEITO!$J$224*EFEITO!$Y$140</f>
        <v>0</v>
      </c>
      <c r="K224" s="56">
        <f ca="1">EFEITO!$L$224*EFEITO!$Z$140</f>
        <v>13800.975033738247</v>
      </c>
      <c r="L224" s="56">
        <f>EFEITO!$N$224*EFEITO!$AA$140</f>
        <v>11768.594656981602</v>
      </c>
      <c r="M224" s="56">
        <f>$J$224-EFEITO!$K$224*EFEITO!$Y$224</f>
        <v>0</v>
      </c>
      <c r="N224" s="56">
        <f ca="1">$K$224-EFEITO!$M$224*EFEITO!$Z$224</f>
        <v>414.02925101214714</v>
      </c>
      <c r="O224" s="56">
        <f>$L$224-EFEITO!$O$224*EFEITO!$AA$224</f>
        <v>353.05783970944685</v>
      </c>
      <c r="P224" s="39"/>
      <c r="Q224" s="39"/>
      <c r="R224" s="39"/>
      <c r="S224" s="39"/>
      <c r="T224" s="39"/>
      <c r="U224" s="39"/>
      <c r="V224" s="39"/>
      <c r="W224" s="3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35" t="s">
        <v>21</v>
      </c>
      <c r="B225" s="35" t="s">
        <v>39</v>
      </c>
      <c r="C225" s="35" t="s">
        <v>40</v>
      </c>
      <c r="D225" s="35" t="s">
        <v>48</v>
      </c>
      <c r="E225" s="35" t="s">
        <v>49</v>
      </c>
      <c r="F225" s="35" t="s">
        <v>25</v>
      </c>
      <c r="G225" s="35" t="s">
        <v>25</v>
      </c>
      <c r="H225" s="35" t="s">
        <v>35</v>
      </c>
      <c r="I225" s="55">
        <v>44743</v>
      </c>
      <c r="J225" s="56">
        <f>EFEITO!$J$225*EFEITO!$Y$140</f>
        <v>0</v>
      </c>
      <c r="K225" s="56">
        <f ca="1">EFEITO!$L$225*EFEITO!$Z$140</f>
        <v>15306.411280959812</v>
      </c>
      <c r="L225" s="56">
        <f>EFEITO!$N$225*EFEITO!$AA$140</f>
        <v>13052.335039973892</v>
      </c>
      <c r="M225" s="56">
        <f>$J$225-EFEITO!$K$225*EFEITO!$Y$225</f>
        <v>0</v>
      </c>
      <c r="N225" s="56">
        <f ca="1">$K$225-EFEITO!$M$225*EFEITO!$Z$225</f>
        <v>459.19233842879476</v>
      </c>
      <c r="O225" s="56">
        <f>$L$225-EFEITO!$O$225*EFEITO!$AA$225</f>
        <v>391.57005119921632</v>
      </c>
      <c r="P225" s="39"/>
      <c r="Q225" s="39"/>
      <c r="R225" s="39"/>
      <c r="S225" s="39"/>
      <c r="T225" s="39"/>
      <c r="U225" s="39"/>
      <c r="V225" s="39"/>
      <c r="W225" s="3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35" t="s">
        <v>21</v>
      </c>
      <c r="B226" s="35" t="s">
        <v>39</v>
      </c>
      <c r="C226" s="35" t="s">
        <v>40</v>
      </c>
      <c r="D226" s="35" t="s">
        <v>48</v>
      </c>
      <c r="E226" s="35" t="s">
        <v>49</v>
      </c>
      <c r="F226" s="35" t="s">
        <v>25</v>
      </c>
      <c r="G226" s="35" t="s">
        <v>25</v>
      </c>
      <c r="H226" s="35" t="s">
        <v>35</v>
      </c>
      <c r="I226" s="55">
        <v>44774</v>
      </c>
      <c r="J226" s="56">
        <f>EFEITO!$J$226*EFEITO!$Y$140</f>
        <v>0</v>
      </c>
      <c r="K226" s="56">
        <f ca="1">EFEITO!$L$226*EFEITO!$Z$140</f>
        <v>14788.874717194627</v>
      </c>
      <c r="L226" s="56">
        <f>EFEITO!$N$226*EFEITO!$AA$140</f>
        <v>12611.012740337081</v>
      </c>
      <c r="M226" s="56">
        <f>$J$226-EFEITO!$K$226*EFEITO!$Y$226</f>
        <v>0</v>
      </c>
      <c r="N226" s="56">
        <f ca="1">$K$226-EFEITO!$M$226*EFEITO!$Z$226</f>
        <v>443.66624151583892</v>
      </c>
      <c r="O226" s="56">
        <f>$L$226-EFEITO!$O$226*EFEITO!$AA$226</f>
        <v>378.33038221011157</v>
      </c>
      <c r="P226" s="39"/>
      <c r="Q226" s="39"/>
      <c r="R226" s="39"/>
      <c r="S226" s="39"/>
      <c r="T226" s="39"/>
      <c r="U226" s="39"/>
      <c r="V226" s="39"/>
      <c r="W226" s="3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35" t="s">
        <v>21</v>
      </c>
      <c r="B227" s="35" t="s">
        <v>39</v>
      </c>
      <c r="C227" s="35" t="s">
        <v>40</v>
      </c>
      <c r="D227" s="35" t="s">
        <v>48</v>
      </c>
      <c r="E227" s="35" t="s">
        <v>49</v>
      </c>
      <c r="F227" s="35" t="s">
        <v>25</v>
      </c>
      <c r="G227" s="35" t="s">
        <v>25</v>
      </c>
      <c r="H227" s="35" t="s">
        <v>25</v>
      </c>
      <c r="I227" s="55">
        <v>44440</v>
      </c>
      <c r="J227" s="56">
        <f ca="1">EFEITO!$J$227*EFEITO!$Y$163</f>
        <v>14966.169696755698</v>
      </c>
      <c r="K227" s="56">
        <f>EFEITO!$L$227*EFEITO!$Z$163</f>
        <v>0</v>
      </c>
      <c r="L227" s="56">
        <f>EFEITO!$N$227*EFEITO!$AA$163</f>
        <v>0</v>
      </c>
      <c r="M227" s="56">
        <f ca="1">$J$227-EFEITO!$K$227*EFEITO!$Y$227</f>
        <v>448.98509090266998</v>
      </c>
      <c r="N227" s="56">
        <f>$K$227-EFEITO!$M$227*EFEITO!$Z$227</f>
        <v>0</v>
      </c>
      <c r="O227" s="56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35" t="s">
        <v>21</v>
      </c>
      <c r="B228" s="35" t="s">
        <v>39</v>
      </c>
      <c r="C228" s="35" t="s">
        <v>40</v>
      </c>
      <c r="D228" s="35" t="s">
        <v>48</v>
      </c>
      <c r="E228" s="35" t="s">
        <v>49</v>
      </c>
      <c r="F228" s="35" t="s">
        <v>25</v>
      </c>
      <c r="G228" s="35" t="s">
        <v>25</v>
      </c>
      <c r="H228" s="35" t="s">
        <v>25</v>
      </c>
      <c r="I228" s="55">
        <v>44470</v>
      </c>
      <c r="J228" s="56">
        <f ca="1">EFEITO!$J$228*EFEITO!$Y$163</f>
        <v>15334.567720060455</v>
      </c>
      <c r="K228" s="56">
        <f>EFEITO!$L$228*EFEITO!$Z$163</f>
        <v>0</v>
      </c>
      <c r="L228" s="56">
        <f>EFEITO!$N$228*EFEITO!$AA$163</f>
        <v>0</v>
      </c>
      <c r="M228" s="56">
        <f ca="1">$J$228-EFEITO!$K$228*EFEITO!$Y$228</f>
        <v>460.03703160181431</v>
      </c>
      <c r="N228" s="56">
        <f>$K$228-EFEITO!$M$228*EFEITO!$Z$228</f>
        <v>0</v>
      </c>
      <c r="O228" s="56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35" t="s">
        <v>21</v>
      </c>
      <c r="B229" s="35" t="s">
        <v>39</v>
      </c>
      <c r="C229" s="35" t="s">
        <v>40</v>
      </c>
      <c r="D229" s="35" t="s">
        <v>48</v>
      </c>
      <c r="E229" s="35" t="s">
        <v>49</v>
      </c>
      <c r="F229" s="35" t="s">
        <v>25</v>
      </c>
      <c r="G229" s="35" t="s">
        <v>25</v>
      </c>
      <c r="H229" s="35" t="s">
        <v>25</v>
      </c>
      <c r="I229" s="55">
        <v>44501</v>
      </c>
      <c r="J229" s="56">
        <f ca="1">EFEITO!$J$229*EFEITO!$Y$163</f>
        <v>15196.418461321171</v>
      </c>
      <c r="K229" s="56">
        <f>EFEITO!$L$229*EFEITO!$Z$163</f>
        <v>0</v>
      </c>
      <c r="L229" s="56">
        <f>EFEITO!$N$229*EFEITO!$AA$163</f>
        <v>0</v>
      </c>
      <c r="M229" s="56">
        <f ca="1">$J$229-EFEITO!$K$229*EFEITO!$Y$229</f>
        <v>455.89255383963427</v>
      </c>
      <c r="N229" s="56">
        <f>$K$229-EFEITO!$M$229*EFEITO!$Z$229</f>
        <v>0</v>
      </c>
      <c r="O229" s="56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35" t="s">
        <v>21</v>
      </c>
      <c r="B230" s="35" t="s">
        <v>39</v>
      </c>
      <c r="C230" s="35" t="s">
        <v>40</v>
      </c>
      <c r="D230" s="35" t="s">
        <v>48</v>
      </c>
      <c r="E230" s="35" t="s">
        <v>49</v>
      </c>
      <c r="F230" s="35" t="s">
        <v>25</v>
      </c>
      <c r="G230" s="35" t="s">
        <v>25</v>
      </c>
      <c r="H230" s="35" t="s">
        <v>25</v>
      </c>
      <c r="I230" s="55">
        <v>44531</v>
      </c>
      <c r="J230" s="56">
        <f ca="1">EFEITO!$J$230*EFEITO!$Y$163</f>
        <v>17544.955859888989</v>
      </c>
      <c r="K230" s="56">
        <f>EFEITO!$L$230*EFEITO!$Z$163</f>
        <v>0</v>
      </c>
      <c r="L230" s="56">
        <f>EFEITO!$N$230*EFEITO!$AA$163</f>
        <v>0</v>
      </c>
      <c r="M230" s="56">
        <f ca="1">$J$230-EFEITO!$K$230*EFEITO!$Y$230</f>
        <v>526.34867579667116</v>
      </c>
      <c r="N230" s="56">
        <f>$K$230-EFEITO!$M$230*EFEITO!$Z$230</f>
        <v>0</v>
      </c>
      <c r="O230" s="56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35" t="s">
        <v>21</v>
      </c>
      <c r="B231" s="35" t="s">
        <v>39</v>
      </c>
      <c r="C231" s="35" t="s">
        <v>40</v>
      </c>
      <c r="D231" s="35" t="s">
        <v>48</v>
      </c>
      <c r="E231" s="35" t="s">
        <v>49</v>
      </c>
      <c r="F231" s="35" t="s">
        <v>25</v>
      </c>
      <c r="G231" s="35" t="s">
        <v>25</v>
      </c>
      <c r="H231" s="35" t="s">
        <v>25</v>
      </c>
      <c r="I231" s="55">
        <v>44562</v>
      </c>
      <c r="J231" s="56">
        <f ca="1">EFEITO!$J$231*EFEITO!$Y$163</f>
        <v>17544.955859888989</v>
      </c>
      <c r="K231" s="56">
        <f>EFEITO!$L$231*EFEITO!$Z$163</f>
        <v>0</v>
      </c>
      <c r="L231" s="56">
        <f>EFEITO!$N$231*EFEITO!$AA$163</f>
        <v>0</v>
      </c>
      <c r="M231" s="56">
        <f ca="1">$J$231-EFEITO!$K$231*EFEITO!$Y$231</f>
        <v>526.34867579667116</v>
      </c>
      <c r="N231" s="56">
        <f>$K$231-EFEITO!$M$231*EFEITO!$Z$231</f>
        <v>0</v>
      </c>
      <c r="O231" s="56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35" t="s">
        <v>21</v>
      </c>
      <c r="B232" s="35" t="s">
        <v>39</v>
      </c>
      <c r="C232" s="35" t="s">
        <v>40</v>
      </c>
      <c r="D232" s="35" t="s">
        <v>48</v>
      </c>
      <c r="E232" s="35" t="s">
        <v>49</v>
      </c>
      <c r="F232" s="35" t="s">
        <v>25</v>
      </c>
      <c r="G232" s="35" t="s">
        <v>25</v>
      </c>
      <c r="H232" s="35" t="s">
        <v>25</v>
      </c>
      <c r="I232" s="55">
        <v>44593</v>
      </c>
      <c r="J232" s="56">
        <f ca="1">EFEITO!$J$232*EFEITO!$Y$163</f>
        <v>18051.503141933026</v>
      </c>
      <c r="K232" s="56">
        <f>EFEITO!$L$232*EFEITO!$Z$163</f>
        <v>0</v>
      </c>
      <c r="L232" s="56">
        <f>EFEITO!$N$232*EFEITO!$AA$163</f>
        <v>0</v>
      </c>
      <c r="M232" s="56">
        <f ca="1">$J$232-EFEITO!$K$232*EFEITO!$Y$232</f>
        <v>541.54509425798824</v>
      </c>
      <c r="N232" s="56">
        <f>$K$232-EFEITO!$M$232*EFEITO!$Z$232</f>
        <v>0</v>
      </c>
      <c r="O232" s="56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35" t="s">
        <v>21</v>
      </c>
      <c r="B233" s="35" t="s">
        <v>39</v>
      </c>
      <c r="C233" s="35" t="s">
        <v>40</v>
      </c>
      <c r="D233" s="35" t="s">
        <v>48</v>
      </c>
      <c r="E233" s="35" t="s">
        <v>49</v>
      </c>
      <c r="F233" s="35" t="s">
        <v>25</v>
      </c>
      <c r="G233" s="35" t="s">
        <v>25</v>
      </c>
      <c r="H233" s="35" t="s">
        <v>25</v>
      </c>
      <c r="I233" s="55">
        <v>44621</v>
      </c>
      <c r="J233" s="56">
        <f ca="1">EFEITO!$J$233*EFEITO!$Y$163</f>
        <v>17452.856354062798</v>
      </c>
      <c r="K233" s="56">
        <f>EFEITO!$L$233*EFEITO!$Z$163</f>
        <v>0</v>
      </c>
      <c r="L233" s="56">
        <f>EFEITO!$N$233*EFEITO!$AA$163</f>
        <v>0</v>
      </c>
      <c r="M233" s="56">
        <f ca="1">$J$233-EFEITO!$K$233*EFEITO!$Y$233</f>
        <v>523.58569062188326</v>
      </c>
      <c r="N233" s="56">
        <f>$K$233-EFEITO!$M$233*EFEITO!$Z$233</f>
        <v>0</v>
      </c>
      <c r="O233" s="56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35" t="s">
        <v>21</v>
      </c>
      <c r="B234" s="35" t="s">
        <v>39</v>
      </c>
      <c r="C234" s="35" t="s">
        <v>40</v>
      </c>
      <c r="D234" s="35" t="s">
        <v>48</v>
      </c>
      <c r="E234" s="35" t="s">
        <v>49</v>
      </c>
      <c r="F234" s="35" t="s">
        <v>25</v>
      </c>
      <c r="G234" s="35" t="s">
        <v>25</v>
      </c>
      <c r="H234" s="35" t="s">
        <v>25</v>
      </c>
      <c r="I234" s="55">
        <v>44652</v>
      </c>
      <c r="J234" s="56">
        <f ca="1">EFEITO!$J$234*EFEITO!$Y$163</f>
        <v>17222.607589497329</v>
      </c>
      <c r="K234" s="56">
        <f>EFEITO!$L$234*EFEITO!$Z$163</f>
        <v>0</v>
      </c>
      <c r="L234" s="56">
        <f>EFEITO!$N$234*EFEITO!$AA$163</f>
        <v>0</v>
      </c>
      <c r="M234" s="56">
        <f ca="1">$J$234-EFEITO!$K$234*EFEITO!$Y$234</f>
        <v>516.6782276849226</v>
      </c>
      <c r="N234" s="56">
        <f>$K$234-EFEITO!$M$234*EFEITO!$Z$234</f>
        <v>0</v>
      </c>
      <c r="O234" s="56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35" t="s">
        <v>21</v>
      </c>
      <c r="B235" s="35" t="s">
        <v>39</v>
      </c>
      <c r="C235" s="35" t="s">
        <v>40</v>
      </c>
      <c r="D235" s="35" t="s">
        <v>48</v>
      </c>
      <c r="E235" s="35" t="s">
        <v>49</v>
      </c>
      <c r="F235" s="35" t="s">
        <v>25</v>
      </c>
      <c r="G235" s="35" t="s">
        <v>25</v>
      </c>
      <c r="H235" s="35" t="s">
        <v>25</v>
      </c>
      <c r="I235" s="55">
        <v>44682</v>
      </c>
      <c r="J235" s="56">
        <f ca="1">EFEITO!$J$235*EFEITO!$Y$163</f>
        <v>17591.005612802084</v>
      </c>
      <c r="K235" s="56">
        <f>EFEITO!$L$235*EFEITO!$Z$163</f>
        <v>0</v>
      </c>
      <c r="L235" s="56">
        <f>EFEITO!$N$235*EFEITO!$AA$163</f>
        <v>0</v>
      </c>
      <c r="M235" s="56">
        <f ca="1">$J$235-EFEITO!$K$235*EFEITO!$Y$235</f>
        <v>527.73016838406329</v>
      </c>
      <c r="N235" s="56">
        <f>$K$235-EFEITO!$M$235*EFEITO!$Z$235</f>
        <v>0</v>
      </c>
      <c r="O235" s="56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35" t="s">
        <v>21</v>
      </c>
      <c r="B236" s="35" t="s">
        <v>39</v>
      </c>
      <c r="C236" s="35" t="s">
        <v>40</v>
      </c>
      <c r="D236" s="35" t="s">
        <v>48</v>
      </c>
      <c r="E236" s="35" t="s">
        <v>49</v>
      </c>
      <c r="F236" s="35" t="s">
        <v>25</v>
      </c>
      <c r="G236" s="35" t="s">
        <v>25</v>
      </c>
      <c r="H236" s="35" t="s">
        <v>25</v>
      </c>
      <c r="I236" s="55">
        <v>44713</v>
      </c>
      <c r="J236" s="56">
        <f ca="1">EFEITO!$J$236*EFEITO!$Y$163</f>
        <v>16808.159813279479</v>
      </c>
      <c r="K236" s="56">
        <f>EFEITO!$L$236*EFEITO!$Z$163</f>
        <v>0</v>
      </c>
      <c r="L236" s="56">
        <f>EFEITO!$N$236*EFEITO!$AA$163</f>
        <v>0</v>
      </c>
      <c r="M236" s="56">
        <f ca="1">$J$236-EFEITO!$K$236*EFEITO!$Y$236</f>
        <v>504.24479439838615</v>
      </c>
      <c r="N236" s="56">
        <f>$K$236-EFEITO!$M$236*EFEITO!$Z$236</f>
        <v>0</v>
      </c>
      <c r="O236" s="56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35" t="s">
        <v>21</v>
      </c>
      <c r="B237" s="35" t="s">
        <v>39</v>
      </c>
      <c r="C237" s="35" t="s">
        <v>40</v>
      </c>
      <c r="D237" s="35" t="s">
        <v>48</v>
      </c>
      <c r="E237" s="35" t="s">
        <v>49</v>
      </c>
      <c r="F237" s="35" t="s">
        <v>25</v>
      </c>
      <c r="G237" s="35" t="s">
        <v>25</v>
      </c>
      <c r="H237" s="35" t="s">
        <v>25</v>
      </c>
      <c r="I237" s="55">
        <v>44743</v>
      </c>
      <c r="J237" s="56">
        <f ca="1">EFEITO!$J$237*EFEITO!$Y$163</f>
        <v>17130.508083671139</v>
      </c>
      <c r="K237" s="56">
        <f>EFEITO!$L$237*EFEITO!$Z$163</f>
        <v>0</v>
      </c>
      <c r="L237" s="56">
        <f>EFEITO!$N$237*EFEITO!$AA$163</f>
        <v>0</v>
      </c>
      <c r="M237" s="56">
        <f ca="1">$J$237-EFEITO!$K$237*EFEITO!$Y$237</f>
        <v>513.9152425101347</v>
      </c>
      <c r="N237" s="56">
        <f>$K$237-EFEITO!$M$237*EFEITO!$Z$237</f>
        <v>0</v>
      </c>
      <c r="O237" s="56">
        <f>$L$237-EFEITO!$O$237*EFEITO!$AA$237</f>
        <v>0</v>
      </c>
      <c r="P237" s="39"/>
      <c r="Q237" s="39"/>
      <c r="R237" s="39"/>
      <c r="S237" s="39"/>
      <c r="T237" s="39"/>
      <c r="U237" s="39"/>
      <c r="V237" s="39"/>
      <c r="W237" s="3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35" t="s">
        <v>21</v>
      </c>
      <c r="B238" s="35" t="s">
        <v>39</v>
      </c>
      <c r="C238" s="35" t="s">
        <v>40</v>
      </c>
      <c r="D238" s="35" t="s">
        <v>48</v>
      </c>
      <c r="E238" s="35" t="s">
        <v>49</v>
      </c>
      <c r="F238" s="35" t="s">
        <v>25</v>
      </c>
      <c r="G238" s="35" t="s">
        <v>25</v>
      </c>
      <c r="H238" s="35" t="s">
        <v>25</v>
      </c>
      <c r="I238" s="55">
        <v>44774</v>
      </c>
      <c r="J238" s="56">
        <f ca="1">EFEITO!$J$238*EFEITO!$Y$163</f>
        <v>19525.09523515205</v>
      </c>
      <c r="K238" s="56">
        <f>EFEITO!$L$238*EFEITO!$Z$163</f>
        <v>0</v>
      </c>
      <c r="L238" s="56">
        <f>EFEITO!$N$238*EFEITO!$AA$163</f>
        <v>0</v>
      </c>
      <c r="M238" s="56">
        <f ca="1">$J$238-EFEITO!$K$238*EFEITO!$Y$238</f>
        <v>585.7528570545619</v>
      </c>
      <c r="N238" s="56">
        <f>$K$238-EFEITO!$M$238*EFEITO!$Z$238</f>
        <v>0</v>
      </c>
      <c r="O238" s="56">
        <f>$L$238-EFEITO!$O$238*EFEITO!$AA$238</f>
        <v>0</v>
      </c>
      <c r="P238" s="39"/>
      <c r="Q238" s="39"/>
      <c r="R238" s="39"/>
      <c r="S238" s="39"/>
      <c r="T238" s="39"/>
      <c r="U238" s="39"/>
      <c r="V238" s="39"/>
      <c r="W238" s="3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35" t="s">
        <v>21</v>
      </c>
      <c r="B239" s="35" t="s">
        <v>39</v>
      </c>
      <c r="C239" s="35" t="s">
        <v>40</v>
      </c>
      <c r="D239" s="35" t="s">
        <v>48</v>
      </c>
      <c r="E239" s="35" t="s">
        <v>49</v>
      </c>
      <c r="F239" s="35" t="s">
        <v>25</v>
      </c>
      <c r="G239" s="35" t="s">
        <v>25</v>
      </c>
      <c r="H239" s="35" t="s">
        <v>34</v>
      </c>
      <c r="I239" s="55">
        <v>44440</v>
      </c>
      <c r="J239" s="56">
        <f>EFEITO!$J$239*EFEITO!$Y$178</f>
        <v>0</v>
      </c>
      <c r="K239" s="56">
        <f ca="1">EFEITO!$L$239*EFEITO!$Z$178</f>
        <v>53109.494857146979</v>
      </c>
      <c r="L239" s="56">
        <f>EFEITO!$N$239*EFEITO!$AA$178</f>
        <v>1150.7434136970419</v>
      </c>
      <c r="M239" s="56">
        <f>$J$239-EFEITO!$K$239*EFEITO!$Y$239</f>
        <v>0</v>
      </c>
      <c r="N239" s="56">
        <f ca="1">$K$239-EFEITO!$M$239*EFEITO!$Z$239</f>
        <v>1593.2848457144137</v>
      </c>
      <c r="O239" s="56">
        <f>$L$239-EFEITO!$O$239*EFEITO!$AA$239</f>
        <v>34.522302410911379</v>
      </c>
      <c r="P239" s="39"/>
      <c r="Q239" s="39"/>
      <c r="R239" s="39"/>
      <c r="S239" s="39"/>
      <c r="T239" s="39"/>
      <c r="U239" s="39"/>
      <c r="V239" s="39"/>
      <c r="W239" s="3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35" t="s">
        <v>21</v>
      </c>
      <c r="B240" s="35" t="s">
        <v>39</v>
      </c>
      <c r="C240" s="35" t="s">
        <v>40</v>
      </c>
      <c r="D240" s="35" t="s">
        <v>48</v>
      </c>
      <c r="E240" s="35" t="s">
        <v>49</v>
      </c>
      <c r="F240" s="35" t="s">
        <v>25</v>
      </c>
      <c r="G240" s="35" t="s">
        <v>25</v>
      </c>
      <c r="H240" s="35" t="s">
        <v>34</v>
      </c>
      <c r="I240" s="55">
        <v>44470</v>
      </c>
      <c r="J240" s="56">
        <f>EFEITO!$J$240*EFEITO!$Y$178</f>
        <v>0</v>
      </c>
      <c r="K240" s="56">
        <f ca="1">EFEITO!$L$240*EFEITO!$Z$178</f>
        <v>54419.152477091528</v>
      </c>
      <c r="L240" s="56">
        <f>EFEITO!$N$240*EFEITO!$AA$178</f>
        <v>1179.120258259451</v>
      </c>
      <c r="M240" s="56">
        <f>$J$240-EFEITO!$K$240*EFEITO!$Y$240</f>
        <v>0</v>
      </c>
      <c r="N240" s="56">
        <f ca="1">$K$240-EFEITO!$M$240*EFEITO!$Z$240</f>
        <v>1632.5745743127409</v>
      </c>
      <c r="O240" s="56">
        <f>$L$240-EFEITO!$O$240*EFEITO!$AA$240</f>
        <v>35.373607747783353</v>
      </c>
      <c r="P240" s="39"/>
      <c r="Q240" s="39"/>
      <c r="R240" s="39"/>
      <c r="S240" s="39"/>
      <c r="T240" s="39"/>
      <c r="U240" s="39"/>
      <c r="V240" s="39"/>
      <c r="W240" s="3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35" t="s">
        <v>21</v>
      </c>
      <c r="B241" s="35" t="s">
        <v>39</v>
      </c>
      <c r="C241" s="35" t="s">
        <v>40</v>
      </c>
      <c r="D241" s="35" t="s">
        <v>48</v>
      </c>
      <c r="E241" s="35" t="s">
        <v>49</v>
      </c>
      <c r="F241" s="35" t="s">
        <v>25</v>
      </c>
      <c r="G241" s="35" t="s">
        <v>25</v>
      </c>
      <c r="H241" s="35" t="s">
        <v>34</v>
      </c>
      <c r="I241" s="55">
        <v>44501</v>
      </c>
      <c r="J241" s="56">
        <f>EFEITO!$J$241*EFEITO!$Y$178</f>
        <v>0</v>
      </c>
      <c r="K241" s="56">
        <f ca="1">EFEITO!$L$241*EFEITO!$Z$178</f>
        <v>48561.672792284589</v>
      </c>
      <c r="L241" s="56">
        <f>EFEITO!$N$241*EFEITO!$AA$178</f>
        <v>1052.2040413704337</v>
      </c>
      <c r="M241" s="56">
        <f>$J$241-EFEITO!$K$241*EFEITO!$Y$241</f>
        <v>0</v>
      </c>
      <c r="N241" s="56">
        <f ca="1">$K$241-EFEITO!$M$241*EFEITO!$Z$241</f>
        <v>1456.8501837685399</v>
      </c>
      <c r="O241" s="56">
        <f>$L$241-EFEITO!$O$241*EFEITO!$AA$241</f>
        <v>31.56612124111291</v>
      </c>
      <c r="P241" s="39"/>
      <c r="Q241" s="39"/>
      <c r="R241" s="39"/>
      <c r="S241" s="39"/>
      <c r="T241" s="39"/>
      <c r="U241" s="39"/>
      <c r="V241" s="39"/>
      <c r="W241" s="3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35" t="s">
        <v>21</v>
      </c>
      <c r="B242" s="35" t="s">
        <v>39</v>
      </c>
      <c r="C242" s="35" t="s">
        <v>40</v>
      </c>
      <c r="D242" s="35" t="s">
        <v>48</v>
      </c>
      <c r="E242" s="35" t="s">
        <v>49</v>
      </c>
      <c r="F242" s="35" t="s">
        <v>25</v>
      </c>
      <c r="G242" s="35" t="s">
        <v>25</v>
      </c>
      <c r="H242" s="35" t="s">
        <v>34</v>
      </c>
      <c r="I242" s="55">
        <v>44531</v>
      </c>
      <c r="J242" s="56">
        <f>EFEITO!$J$242*EFEITO!$Y$178</f>
        <v>0</v>
      </c>
      <c r="K242" s="56">
        <f ca="1">EFEITO!$L$242*EFEITO!$Z$178</f>
        <v>68940.52103230088</v>
      </c>
      <c r="L242" s="56">
        <f>EFEITO!$N$242*EFEITO!$AA$178</f>
        <v>1493.7602160997913</v>
      </c>
      <c r="M242" s="56">
        <f>$J$242-EFEITO!$K$242*EFEITO!$Y$242</f>
        <v>0</v>
      </c>
      <c r="N242" s="56">
        <f ca="1">$K$242-EFEITO!$M$242*EFEITO!$Z$242</f>
        <v>2068.2156309690181</v>
      </c>
      <c r="O242" s="56">
        <f>$L$242-EFEITO!$O$242*EFEITO!$AA$242</f>
        <v>44.812806482993665</v>
      </c>
      <c r="P242" s="39"/>
      <c r="Q242" s="39"/>
      <c r="R242" s="39"/>
      <c r="S242" s="39"/>
      <c r="T242" s="39"/>
      <c r="U242" s="39"/>
      <c r="V242" s="39"/>
      <c r="W242" s="3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35" t="s">
        <v>21</v>
      </c>
      <c r="B243" s="35" t="s">
        <v>39</v>
      </c>
      <c r="C243" s="35" t="s">
        <v>40</v>
      </c>
      <c r="D243" s="35" t="s">
        <v>48</v>
      </c>
      <c r="E243" s="35" t="s">
        <v>49</v>
      </c>
      <c r="F243" s="35" t="s">
        <v>25</v>
      </c>
      <c r="G243" s="35" t="s">
        <v>25</v>
      </c>
      <c r="H243" s="35" t="s">
        <v>34</v>
      </c>
      <c r="I243" s="55">
        <v>44562</v>
      </c>
      <c r="J243" s="56">
        <f>EFEITO!$J$243*EFEITO!$Y$178</f>
        <v>0</v>
      </c>
      <c r="K243" s="56">
        <f ca="1">EFEITO!$L$243*EFEITO!$Z$178</f>
        <v>79766.78415980954</v>
      </c>
      <c r="L243" s="56">
        <f>EFEITO!$N$243*EFEITO!$AA$178</f>
        <v>1728.3369339247624</v>
      </c>
      <c r="M243" s="56">
        <f>$J$243-EFEITO!$K$243*EFEITO!$Y$243</f>
        <v>0</v>
      </c>
      <c r="N243" s="56">
        <f ca="1">$K$243-EFEITO!$M$243*EFEITO!$Z$243</f>
        <v>2393.0035247942869</v>
      </c>
      <c r="O243" s="56">
        <f>$L$243-EFEITO!$O$243*EFEITO!$AA$243</f>
        <v>51.850108017742741</v>
      </c>
      <c r="P243" s="39"/>
      <c r="Q243" s="39"/>
      <c r="R243" s="39"/>
      <c r="S243" s="39"/>
      <c r="T243" s="39"/>
      <c r="U243" s="39"/>
      <c r="V243" s="39"/>
      <c r="W243" s="3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35" t="s">
        <v>21</v>
      </c>
      <c r="B244" s="35" t="s">
        <v>39</v>
      </c>
      <c r="C244" s="35" t="s">
        <v>40</v>
      </c>
      <c r="D244" s="35" t="s">
        <v>48</v>
      </c>
      <c r="E244" s="35" t="s">
        <v>49</v>
      </c>
      <c r="F244" s="35" t="s">
        <v>25</v>
      </c>
      <c r="G244" s="35" t="s">
        <v>25</v>
      </c>
      <c r="H244" s="35" t="s">
        <v>34</v>
      </c>
      <c r="I244" s="55">
        <v>44593</v>
      </c>
      <c r="J244" s="56">
        <f>EFEITO!$J$244*EFEITO!$Y$178</f>
        <v>0</v>
      </c>
      <c r="K244" s="56">
        <f ca="1">EFEITO!$L$244*EFEITO!$Z$178</f>
        <v>75996.121561727428</v>
      </c>
      <c r="L244" s="56">
        <f>EFEITO!$N$244*EFEITO!$AA$178</f>
        <v>1646.6365682615622</v>
      </c>
      <c r="M244" s="56">
        <f>$J$244-EFEITO!$K$244*EFEITO!$Y$244</f>
        <v>0</v>
      </c>
      <c r="N244" s="56">
        <f ca="1">$K$244-EFEITO!$M$244*EFEITO!$Z$244</f>
        <v>2279.8836468518275</v>
      </c>
      <c r="O244" s="56">
        <f>$L$244-EFEITO!$O$244*EFEITO!$AA$244</f>
        <v>49.399097047846908</v>
      </c>
      <c r="P244" s="39"/>
      <c r="Q244" s="39"/>
      <c r="R244" s="39"/>
      <c r="S244" s="39"/>
      <c r="T244" s="39"/>
      <c r="U244" s="39"/>
      <c r="V244" s="39"/>
      <c r="W244" s="3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35" t="s">
        <v>21</v>
      </c>
      <c r="B245" s="35" t="s">
        <v>39</v>
      </c>
      <c r="C245" s="35" t="s">
        <v>40</v>
      </c>
      <c r="D245" s="35" t="s">
        <v>48</v>
      </c>
      <c r="E245" s="35" t="s">
        <v>49</v>
      </c>
      <c r="F245" s="35" t="s">
        <v>25</v>
      </c>
      <c r="G245" s="35" t="s">
        <v>25</v>
      </c>
      <c r="H245" s="35" t="s">
        <v>34</v>
      </c>
      <c r="I245" s="55">
        <v>44621</v>
      </c>
      <c r="J245" s="56">
        <f>EFEITO!$J$245*EFEITO!$Y$178</f>
        <v>0</v>
      </c>
      <c r="K245" s="56">
        <f ca="1">EFEITO!$L$245*EFEITO!$Z$178</f>
        <v>71635.393442571396</v>
      </c>
      <c r="L245" s="56">
        <f>EFEITO!$N$245*EFEITO!$AA$178</f>
        <v>1552.1510308724412</v>
      </c>
      <c r="M245" s="56">
        <f>$J$245-EFEITO!$K$245*EFEITO!$Y$245</f>
        <v>0</v>
      </c>
      <c r="N245" s="56">
        <f ca="1">$K$245-EFEITO!$M$245*EFEITO!$Z$245</f>
        <v>2149.0618032771454</v>
      </c>
      <c r="O245" s="56">
        <f>$L$245-EFEITO!$O$245*EFEITO!$AA$245</f>
        <v>46.564530926173347</v>
      </c>
      <c r="P245" s="39"/>
      <c r="Q245" s="39"/>
      <c r="R245" s="39"/>
      <c r="S245" s="39"/>
      <c r="T245" s="39"/>
      <c r="U245" s="39"/>
      <c r="V245" s="39"/>
      <c r="W245" s="3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35" t="s">
        <v>21</v>
      </c>
      <c r="B246" s="35" t="s">
        <v>39</v>
      </c>
      <c r="C246" s="35" t="s">
        <v>40</v>
      </c>
      <c r="D246" s="35" t="s">
        <v>48</v>
      </c>
      <c r="E246" s="35" t="s">
        <v>49</v>
      </c>
      <c r="F246" s="35" t="s">
        <v>25</v>
      </c>
      <c r="G246" s="35" t="s">
        <v>25</v>
      </c>
      <c r="H246" s="35" t="s">
        <v>34</v>
      </c>
      <c r="I246" s="55">
        <v>44652</v>
      </c>
      <c r="J246" s="56">
        <f>EFEITO!$J$246*EFEITO!$Y$178</f>
        <v>0</v>
      </c>
      <c r="K246" s="56">
        <f ca="1">EFEITO!$L$246*EFEITO!$Z$178</f>
        <v>62064.81852759199</v>
      </c>
      <c r="L246" s="56">
        <f>EFEITO!$N$246*EFEITO!$AA$178</f>
        <v>1344.7817821471426</v>
      </c>
      <c r="M246" s="56">
        <f>$J$246-EFEITO!$K$246*EFEITO!$Y$246</f>
        <v>0</v>
      </c>
      <c r="N246" s="56">
        <f ca="1">$K$246-EFEITO!$M$246*EFEITO!$Z$246</f>
        <v>1861.9445558277584</v>
      </c>
      <c r="O246" s="56">
        <f>$L$246-EFEITO!$O$246*EFEITO!$AA$246</f>
        <v>40.343453464414324</v>
      </c>
      <c r="P246" s="39"/>
      <c r="Q246" s="39"/>
      <c r="R246" s="39"/>
      <c r="S246" s="39"/>
      <c r="T246" s="39"/>
      <c r="U246" s="39"/>
      <c r="V246" s="39"/>
      <c r="W246" s="3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35" t="s">
        <v>21</v>
      </c>
      <c r="B247" s="35" t="s">
        <v>39</v>
      </c>
      <c r="C247" s="35" t="s">
        <v>40</v>
      </c>
      <c r="D247" s="35" t="s">
        <v>48</v>
      </c>
      <c r="E247" s="35" t="s">
        <v>49</v>
      </c>
      <c r="F247" s="35" t="s">
        <v>25</v>
      </c>
      <c r="G247" s="35" t="s">
        <v>25</v>
      </c>
      <c r="H247" s="35" t="s">
        <v>34</v>
      </c>
      <c r="I247" s="55">
        <v>44682</v>
      </c>
      <c r="J247" s="56">
        <f>EFEITO!$J$247*EFEITO!$Y$178</f>
        <v>0</v>
      </c>
      <c r="K247" s="56">
        <f ca="1">EFEITO!$L$247*EFEITO!$Z$178</f>
        <v>62885.15352030452</v>
      </c>
      <c r="L247" s="56">
        <f>EFEITO!$N$247*EFEITO!$AA$178</f>
        <v>1362.5562891807397</v>
      </c>
      <c r="M247" s="56">
        <f>$J$247-EFEITO!$K$247*EFEITO!$Y$247</f>
        <v>0</v>
      </c>
      <c r="N247" s="56">
        <f ca="1">$K$247-EFEITO!$M$247*EFEITO!$Z$247</f>
        <v>1886.5546056091407</v>
      </c>
      <c r="O247" s="56">
        <f>$L$247-EFEITO!$O$247*EFEITO!$AA$247</f>
        <v>40.876688675422201</v>
      </c>
      <c r="P247" s="39"/>
      <c r="Q247" s="39"/>
      <c r="R247" s="39"/>
      <c r="S247" s="39"/>
      <c r="T247" s="39"/>
      <c r="U247" s="39"/>
      <c r="V247" s="39"/>
      <c r="W247" s="3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35" t="s">
        <v>21</v>
      </c>
      <c r="B248" s="35" t="s">
        <v>39</v>
      </c>
      <c r="C248" s="35" t="s">
        <v>40</v>
      </c>
      <c r="D248" s="35" t="s">
        <v>48</v>
      </c>
      <c r="E248" s="35" t="s">
        <v>49</v>
      </c>
      <c r="F248" s="35" t="s">
        <v>25</v>
      </c>
      <c r="G248" s="35" t="s">
        <v>25</v>
      </c>
      <c r="H248" s="35" t="s">
        <v>34</v>
      </c>
      <c r="I248" s="55">
        <v>44713</v>
      </c>
      <c r="J248" s="56">
        <f>EFEITO!$J$248*EFEITO!$Y$178</f>
        <v>0</v>
      </c>
      <c r="K248" s="56">
        <f ca="1">EFEITO!$L$248*EFEITO!$Z$178</f>
        <v>59463.493090174663</v>
      </c>
      <c r="L248" s="56">
        <f>EFEITO!$N$248*EFEITO!$AA$178</f>
        <v>1288.4178848432364</v>
      </c>
      <c r="M248" s="56">
        <f>$J$248-EFEITO!$K$248*EFEITO!$Y$248</f>
        <v>0</v>
      </c>
      <c r="N248" s="56">
        <f ca="1">$K$248-EFEITO!$M$248*EFEITO!$Z$248</f>
        <v>1783.9047927052379</v>
      </c>
      <c r="O248" s="56">
        <f>$L$248-EFEITO!$O$248*EFEITO!$AA$248</f>
        <v>38.652536545297153</v>
      </c>
      <c r="P248" s="39"/>
      <c r="Q248" s="39"/>
      <c r="R248" s="39"/>
      <c r="S248" s="39"/>
      <c r="T248" s="39"/>
      <c r="U248" s="39"/>
      <c r="V248" s="39"/>
      <c r="W248" s="3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35" t="s">
        <v>21</v>
      </c>
      <c r="B249" s="35" t="s">
        <v>39</v>
      </c>
      <c r="C249" s="35" t="s">
        <v>40</v>
      </c>
      <c r="D249" s="35" t="s">
        <v>48</v>
      </c>
      <c r="E249" s="35" t="s">
        <v>49</v>
      </c>
      <c r="F249" s="35" t="s">
        <v>25</v>
      </c>
      <c r="G249" s="35" t="s">
        <v>25</v>
      </c>
      <c r="H249" s="35" t="s">
        <v>34</v>
      </c>
      <c r="I249" s="55">
        <v>44743</v>
      </c>
      <c r="J249" s="56">
        <f>EFEITO!$J$249*EFEITO!$Y$178</f>
        <v>0</v>
      </c>
      <c r="K249" s="56">
        <f ca="1">EFEITO!$L$249*EFEITO!$Z$178</f>
        <v>62946.318848708521</v>
      </c>
      <c r="L249" s="56">
        <f>EFEITO!$N$249*EFEITO!$AA$178</f>
        <v>1363.8815813718413</v>
      </c>
      <c r="M249" s="56">
        <f>$J$249-EFEITO!$K$249*EFEITO!$Y$249</f>
        <v>0</v>
      </c>
      <c r="N249" s="56">
        <f ca="1">$K$249-EFEITO!$M$249*EFEITO!$Z$249</f>
        <v>1888.389565461257</v>
      </c>
      <c r="O249" s="56">
        <f>$L$249-EFEITO!$O$249*EFEITO!$AA$249</f>
        <v>40.916447441155242</v>
      </c>
      <c r="P249" s="39"/>
      <c r="Q249" s="39"/>
      <c r="R249" s="39"/>
      <c r="S249" s="39"/>
      <c r="T249" s="39"/>
      <c r="U249" s="39"/>
      <c r="V249" s="39"/>
      <c r="W249" s="3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35" t="s">
        <v>21</v>
      </c>
      <c r="B250" s="35" t="s">
        <v>39</v>
      </c>
      <c r="C250" s="35" t="s">
        <v>40</v>
      </c>
      <c r="D250" s="35" t="s">
        <v>48</v>
      </c>
      <c r="E250" s="35" t="s">
        <v>49</v>
      </c>
      <c r="F250" s="35" t="s">
        <v>25</v>
      </c>
      <c r="G250" s="35" t="s">
        <v>25</v>
      </c>
      <c r="H250" s="35" t="s">
        <v>34</v>
      </c>
      <c r="I250" s="55">
        <v>44774</v>
      </c>
      <c r="J250" s="56">
        <f>EFEITO!$J$250*EFEITO!$Y$178</f>
        <v>0</v>
      </c>
      <c r="K250" s="56">
        <f ca="1">EFEITO!$L$250*EFEITO!$Z$178</f>
        <v>64515.029624246497</v>
      </c>
      <c r="L250" s="56">
        <f>EFEITO!$N$250*EFEITO!$AA$178</f>
        <v>1397.8714281553864</v>
      </c>
      <c r="M250" s="56">
        <f>$J$250-EFEITO!$K$250*EFEITO!$Y$250</f>
        <v>0</v>
      </c>
      <c r="N250" s="56">
        <f ca="1">$K$250-EFEITO!$M$250*EFEITO!$Z$250</f>
        <v>1935.4508887273914</v>
      </c>
      <c r="O250" s="56">
        <f>$L$250-EFEITO!$O$250*EFEITO!$AA$250</f>
        <v>41.936142844661617</v>
      </c>
      <c r="P250" s="39"/>
      <c r="Q250" s="39"/>
      <c r="R250" s="39"/>
      <c r="S250" s="39"/>
      <c r="T250" s="39"/>
      <c r="U250" s="39"/>
      <c r="V250" s="39"/>
      <c r="W250" s="3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35" t="s">
        <v>21</v>
      </c>
      <c r="B251" s="35" t="s">
        <v>22</v>
      </c>
      <c r="C251" s="35" t="s">
        <v>33</v>
      </c>
      <c r="D251" s="35" t="s">
        <v>24</v>
      </c>
      <c r="E251" s="35" t="s">
        <v>24</v>
      </c>
      <c r="F251" s="35" t="s">
        <v>25</v>
      </c>
      <c r="G251" s="35" t="s">
        <v>25</v>
      </c>
      <c r="H251" s="35" t="s">
        <v>35</v>
      </c>
      <c r="I251" s="55">
        <v>44440</v>
      </c>
      <c r="J251" s="56">
        <f>EFEITO!$J$251*EFEITO!$Y$251</f>
        <v>0</v>
      </c>
      <c r="K251" s="56">
        <f ca="1">EFEITO!$L$251*EFEITO!$Z$251</f>
        <v>274.97919400334905</v>
      </c>
      <c r="L251" s="56">
        <f>EFEITO!$N$251*EFEITO!$AA$251</f>
        <v>51.296603632047528</v>
      </c>
      <c r="M251" s="56">
        <f>$J$251-EFEITO!$K$251*EFEITO!$Y$251</f>
        <v>0</v>
      </c>
      <c r="N251" s="56">
        <f ca="1">$K$251-EFEITO!$M$251*EFEITO!$Z$251</f>
        <v>0</v>
      </c>
      <c r="O251" s="56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35" t="s">
        <v>21</v>
      </c>
      <c r="B252" s="35" t="s">
        <v>22</v>
      </c>
      <c r="C252" s="35" t="s">
        <v>33</v>
      </c>
      <c r="D252" s="35" t="s">
        <v>24</v>
      </c>
      <c r="E252" s="35" t="s">
        <v>24</v>
      </c>
      <c r="F252" s="35" t="s">
        <v>25</v>
      </c>
      <c r="G252" s="35" t="s">
        <v>25</v>
      </c>
      <c r="H252" s="35" t="s">
        <v>35</v>
      </c>
      <c r="I252" s="55">
        <v>44470</v>
      </c>
      <c r="J252" s="56">
        <f>EFEITO!$J$252*EFEITO!$Y$252</f>
        <v>0</v>
      </c>
      <c r="K252" s="56">
        <f ca="1">EFEITO!$L$252*EFEITO!$Z$252</f>
        <v>265.36745925855115</v>
      </c>
      <c r="L252" s="56">
        <f>EFEITO!$N$252*EFEITO!$AA$252</f>
        <v>49.503561255851338</v>
      </c>
      <c r="M252" s="56">
        <f>$J$252-EFEITO!$K$252*EFEITO!$Y$252</f>
        <v>0</v>
      </c>
      <c r="N252" s="56">
        <f ca="1">$K$252-EFEITO!$M$252*EFEITO!$Z$252</f>
        <v>0</v>
      </c>
      <c r="O252" s="56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35" t="s">
        <v>21</v>
      </c>
      <c r="B253" s="35" t="s">
        <v>22</v>
      </c>
      <c r="C253" s="35" t="s">
        <v>33</v>
      </c>
      <c r="D253" s="35" t="s">
        <v>24</v>
      </c>
      <c r="E253" s="35" t="s">
        <v>24</v>
      </c>
      <c r="F253" s="35" t="s">
        <v>25</v>
      </c>
      <c r="G253" s="35" t="s">
        <v>25</v>
      </c>
      <c r="H253" s="35" t="s">
        <v>35</v>
      </c>
      <c r="I253" s="55">
        <v>44501</v>
      </c>
      <c r="J253" s="56">
        <f>EFEITO!$J$253*EFEITO!$Y$253</f>
        <v>0</v>
      </c>
      <c r="K253" s="56">
        <f ca="1">EFEITO!$L$253*EFEITO!$Z$253</f>
        <v>282.91932270557345</v>
      </c>
      <c r="L253" s="56">
        <f>EFEITO!$N$253*EFEITO!$AA$253</f>
        <v>52.777812551513946</v>
      </c>
      <c r="M253" s="56">
        <f>$J$253-EFEITO!$K$253*EFEITO!$Y$253</f>
        <v>0</v>
      </c>
      <c r="N253" s="56">
        <f ca="1">$K$253-EFEITO!$M$253*EFEITO!$Z$253</f>
        <v>0</v>
      </c>
      <c r="O253" s="56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35" t="s">
        <v>21</v>
      </c>
      <c r="B254" s="35" t="s">
        <v>22</v>
      </c>
      <c r="C254" s="35" t="s">
        <v>33</v>
      </c>
      <c r="D254" s="35" t="s">
        <v>24</v>
      </c>
      <c r="E254" s="35" t="s">
        <v>24</v>
      </c>
      <c r="F254" s="35" t="s">
        <v>25</v>
      </c>
      <c r="G254" s="35" t="s">
        <v>25</v>
      </c>
      <c r="H254" s="35" t="s">
        <v>35</v>
      </c>
      <c r="I254" s="55">
        <v>44531</v>
      </c>
      <c r="J254" s="56">
        <f>EFEITO!$J$254*EFEITO!$Y$254</f>
        <v>0</v>
      </c>
      <c r="K254" s="56">
        <f ca="1">EFEITO!$L$254*EFEITO!$Z$254</f>
        <v>300.0532846419523</v>
      </c>
      <c r="L254" s="56">
        <f>EFEITO!$N$254*EFEITO!$AA$254</f>
        <v>55.974105482994105</v>
      </c>
      <c r="M254" s="56">
        <f>$J$254-EFEITO!$K$254*EFEITO!$Y$254</f>
        <v>0</v>
      </c>
      <c r="N254" s="56">
        <f ca="1">$K$254-EFEITO!$M$254*EFEITO!$Z$254</f>
        <v>0</v>
      </c>
      <c r="O254" s="56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35" t="s">
        <v>21</v>
      </c>
      <c r="B255" s="35" t="s">
        <v>22</v>
      </c>
      <c r="C255" s="35" t="s">
        <v>33</v>
      </c>
      <c r="D255" s="35" t="s">
        <v>24</v>
      </c>
      <c r="E255" s="35" t="s">
        <v>24</v>
      </c>
      <c r="F255" s="35" t="s">
        <v>25</v>
      </c>
      <c r="G255" s="35" t="s">
        <v>25</v>
      </c>
      <c r="H255" s="35" t="s">
        <v>35</v>
      </c>
      <c r="I255" s="55">
        <v>44562</v>
      </c>
      <c r="J255" s="56">
        <f>EFEITO!$J$255*EFEITO!$Y$255</f>
        <v>0</v>
      </c>
      <c r="K255" s="56">
        <f ca="1">EFEITO!$L$255*EFEITO!$Z$255</f>
        <v>312.59032996125393</v>
      </c>
      <c r="L255" s="56">
        <f>EFEITO!$N$255*EFEITO!$AA$255</f>
        <v>58.312856408467397</v>
      </c>
      <c r="M255" s="56">
        <f>$J$255-EFEITO!$K$255*EFEITO!$Y$255</f>
        <v>0</v>
      </c>
      <c r="N255" s="56">
        <f ca="1">$K$255-EFEITO!$M$255*EFEITO!$Z$255</f>
        <v>0</v>
      </c>
      <c r="O255" s="56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35" t="s">
        <v>21</v>
      </c>
      <c r="B256" s="35" t="s">
        <v>22</v>
      </c>
      <c r="C256" s="35" t="s">
        <v>33</v>
      </c>
      <c r="D256" s="35" t="s">
        <v>24</v>
      </c>
      <c r="E256" s="35" t="s">
        <v>24</v>
      </c>
      <c r="F256" s="35" t="s">
        <v>25</v>
      </c>
      <c r="G256" s="35" t="s">
        <v>25</v>
      </c>
      <c r="H256" s="35" t="s">
        <v>35</v>
      </c>
      <c r="I256" s="55">
        <v>44593</v>
      </c>
      <c r="J256" s="56">
        <f>EFEITO!$J$256*EFEITO!$Y$256</f>
        <v>0</v>
      </c>
      <c r="K256" s="56">
        <f ca="1">EFEITO!$L$256*EFEITO!$Z$256</f>
        <v>284.59092874814701</v>
      </c>
      <c r="L256" s="56">
        <f>EFEITO!$N$256*EFEITO!$AA$256</f>
        <v>53.089646008243719</v>
      </c>
      <c r="M256" s="56">
        <f>$J$256-EFEITO!$K$256*EFEITO!$Y$256</f>
        <v>0</v>
      </c>
      <c r="N256" s="56">
        <f ca="1">$K$256-EFEITO!$M$256*EFEITO!$Z$256</f>
        <v>0</v>
      </c>
      <c r="O256" s="56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35" t="s">
        <v>21</v>
      </c>
      <c r="B257" s="35" t="s">
        <v>22</v>
      </c>
      <c r="C257" s="35" t="s">
        <v>33</v>
      </c>
      <c r="D257" s="35" t="s">
        <v>24</v>
      </c>
      <c r="E257" s="35" t="s">
        <v>24</v>
      </c>
      <c r="F257" s="35" t="s">
        <v>25</v>
      </c>
      <c r="G257" s="35" t="s">
        <v>25</v>
      </c>
      <c r="H257" s="35" t="s">
        <v>35</v>
      </c>
      <c r="I257" s="55">
        <v>44621</v>
      </c>
      <c r="J257" s="56">
        <f>EFEITO!$J$257*EFEITO!$Y$257</f>
        <v>0</v>
      </c>
      <c r="K257" s="56">
        <f ca="1">EFEITO!$L$257*EFEITO!$Z$257</f>
        <v>327.63478434441589</v>
      </c>
      <c r="L257" s="56">
        <f>EFEITO!$N$257*EFEITO!$AA$257</f>
        <v>61.119357519035354</v>
      </c>
      <c r="M257" s="56">
        <f>$J$257-EFEITO!$K$257*EFEITO!$Y$257</f>
        <v>0</v>
      </c>
      <c r="N257" s="56">
        <f ca="1">$K$257-EFEITO!$M$257*EFEITO!$Z$257</f>
        <v>0</v>
      </c>
      <c r="O257" s="56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35" t="s">
        <v>21</v>
      </c>
      <c r="B258" s="35" t="s">
        <v>22</v>
      </c>
      <c r="C258" s="35" t="s">
        <v>33</v>
      </c>
      <c r="D258" s="35" t="s">
        <v>24</v>
      </c>
      <c r="E258" s="35" t="s">
        <v>24</v>
      </c>
      <c r="F258" s="35" t="s">
        <v>25</v>
      </c>
      <c r="G258" s="35" t="s">
        <v>25</v>
      </c>
      <c r="H258" s="35" t="s">
        <v>35</v>
      </c>
      <c r="I258" s="55">
        <v>44652</v>
      </c>
      <c r="J258" s="56">
        <f>EFEITO!$J$258*EFEITO!$Y$258</f>
        <v>0</v>
      </c>
      <c r="K258" s="56">
        <f ca="1">EFEITO!$L$258*EFEITO!$Z$258</f>
        <v>186.38407374695089</v>
      </c>
      <c r="L258" s="56">
        <f>EFEITO!$N$258*EFEITO!$AA$258</f>
        <v>34.769430425369599</v>
      </c>
      <c r="M258" s="56">
        <f>$J$258-EFEITO!$K$258*EFEITO!$Y$258</f>
        <v>0</v>
      </c>
      <c r="N258" s="56">
        <f ca="1">$K$258-EFEITO!$M$258*EFEITO!$Z$258</f>
        <v>0</v>
      </c>
      <c r="O258" s="56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35" t="s">
        <v>21</v>
      </c>
      <c r="B259" s="35" t="s">
        <v>22</v>
      </c>
      <c r="C259" s="35" t="s">
        <v>33</v>
      </c>
      <c r="D259" s="35" t="s">
        <v>24</v>
      </c>
      <c r="E259" s="35" t="s">
        <v>24</v>
      </c>
      <c r="F259" s="35" t="s">
        <v>25</v>
      </c>
      <c r="G259" s="35" t="s">
        <v>25</v>
      </c>
      <c r="H259" s="35" t="s">
        <v>35</v>
      </c>
      <c r="I259" s="55">
        <v>44682</v>
      </c>
      <c r="J259" s="56">
        <f>EFEITO!$J$259*EFEITO!$Y$259</f>
        <v>0</v>
      </c>
      <c r="K259" s="56">
        <f ca="1">EFEITO!$L$259*EFEITO!$Z$259</f>
        <v>123.69884715044273</v>
      </c>
      <c r="L259" s="56">
        <f>EFEITO!$N$259*EFEITO!$AA$259</f>
        <v>23.07567579800314</v>
      </c>
      <c r="M259" s="56">
        <f>$J$259-EFEITO!$K$259*EFEITO!$Y$259</f>
        <v>0</v>
      </c>
      <c r="N259" s="56">
        <f ca="1">$K$259-EFEITO!$M$259*EFEITO!$Z$259</f>
        <v>0</v>
      </c>
      <c r="O259" s="56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35" t="s">
        <v>21</v>
      </c>
      <c r="B260" s="35" t="s">
        <v>22</v>
      </c>
      <c r="C260" s="35" t="s">
        <v>33</v>
      </c>
      <c r="D260" s="35" t="s">
        <v>24</v>
      </c>
      <c r="E260" s="35" t="s">
        <v>24</v>
      </c>
      <c r="F260" s="35" t="s">
        <v>25</v>
      </c>
      <c r="G260" s="35" t="s">
        <v>25</v>
      </c>
      <c r="H260" s="35" t="s">
        <v>35</v>
      </c>
      <c r="I260" s="55">
        <v>44713</v>
      </c>
      <c r="J260" s="56">
        <f>EFEITO!$J$260*EFEITO!$Y$260</f>
        <v>0</v>
      </c>
      <c r="K260" s="56">
        <f ca="1">EFEITO!$L$260*EFEITO!$Z$260</f>
        <v>118.26612751207868</v>
      </c>
      <c r="L260" s="56">
        <f>EFEITO!$N$260*EFEITO!$AA$260</f>
        <v>22.06221706363138</v>
      </c>
      <c r="M260" s="56">
        <f>$J$260-EFEITO!$K$260*EFEITO!$Y$260</f>
        <v>0</v>
      </c>
      <c r="N260" s="56">
        <f ca="1">$K$260-EFEITO!$M$260*EFEITO!$Z$260</f>
        <v>0</v>
      </c>
      <c r="O260" s="56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35" t="s">
        <v>21</v>
      </c>
      <c r="B261" s="35" t="s">
        <v>22</v>
      </c>
      <c r="C261" s="35" t="s">
        <v>33</v>
      </c>
      <c r="D261" s="35" t="s">
        <v>24</v>
      </c>
      <c r="E261" s="35" t="s">
        <v>24</v>
      </c>
      <c r="F261" s="35" t="s">
        <v>25</v>
      </c>
      <c r="G261" s="35" t="s">
        <v>25</v>
      </c>
      <c r="H261" s="35" t="s">
        <v>35</v>
      </c>
      <c r="I261" s="55">
        <v>44743</v>
      </c>
      <c r="J261" s="56">
        <f>EFEITO!$J$261*EFEITO!$Y$261</f>
        <v>0</v>
      </c>
      <c r="K261" s="56">
        <f ca="1">EFEITO!$L$261*EFEITO!$Z$261</f>
        <v>110.32599880985434</v>
      </c>
      <c r="L261" s="56">
        <f>EFEITO!$N$261*EFEITO!$AA$261</f>
        <v>20.581008144164965</v>
      </c>
      <c r="M261" s="56">
        <f>$J$261-EFEITO!$K$261*EFEITO!$Y$261</f>
        <v>0</v>
      </c>
      <c r="N261" s="56">
        <f ca="1">$K$261-EFEITO!$M$261*EFEITO!$Z$261</f>
        <v>0</v>
      </c>
      <c r="O261" s="56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35" t="s">
        <v>21</v>
      </c>
      <c r="B262" s="35" t="s">
        <v>22</v>
      </c>
      <c r="C262" s="35" t="s">
        <v>33</v>
      </c>
      <c r="D262" s="35" t="s">
        <v>24</v>
      </c>
      <c r="E262" s="35" t="s">
        <v>24</v>
      </c>
      <c r="F262" s="35" t="s">
        <v>25</v>
      </c>
      <c r="G262" s="35" t="s">
        <v>25</v>
      </c>
      <c r="H262" s="35" t="s">
        <v>35</v>
      </c>
      <c r="I262" s="55">
        <v>44774</v>
      </c>
      <c r="J262" s="56">
        <f>EFEITO!$J$262*EFEITO!$Y$262</f>
        <v>0</v>
      </c>
      <c r="K262" s="56">
        <f ca="1">EFEITO!$L$262*EFEITO!$Z$262</f>
        <v>148.35503627840259</v>
      </c>
      <c r="L262" s="56">
        <f>EFEITO!$N$262*EFEITO!$AA$262</f>
        <v>27.67521928476728</v>
      </c>
      <c r="M262" s="56">
        <f>$J$262-EFEITO!$K$262*EFEITO!$Y$262</f>
        <v>0</v>
      </c>
      <c r="N262" s="56">
        <f ca="1">$K$262-EFEITO!$M$262*EFEITO!$Z$262</f>
        <v>0</v>
      </c>
      <c r="O262" s="56">
        <f>$L$262-EFEITO!$O$262*EFEITO!$AA$262</f>
        <v>0</v>
      </c>
      <c r="P262" s="39"/>
      <c r="Q262" s="39"/>
      <c r="R262" s="39"/>
      <c r="S262" s="39"/>
      <c r="T262" s="39"/>
      <c r="U262" s="39"/>
      <c r="V262" s="39"/>
      <c r="W262" s="39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35" t="s">
        <v>21</v>
      </c>
      <c r="B263" s="35" t="s">
        <v>22</v>
      </c>
      <c r="C263" s="35" t="s">
        <v>33</v>
      </c>
      <c r="D263" s="35" t="s">
        <v>24</v>
      </c>
      <c r="E263" s="35" t="s">
        <v>24</v>
      </c>
      <c r="F263" s="35" t="s">
        <v>25</v>
      </c>
      <c r="G263" s="35" t="s">
        <v>25</v>
      </c>
      <c r="H263" s="35" t="s">
        <v>36</v>
      </c>
      <c r="I263" s="55">
        <v>44440</v>
      </c>
      <c r="J263" s="56">
        <f>EFEITO!$J$263*EFEITO!$Y$263</f>
        <v>0</v>
      </c>
      <c r="K263" s="56">
        <f ca="1">EFEITO!$L$263*EFEITO!$Z$263</f>
        <v>19.602948386823261</v>
      </c>
      <c r="L263" s="56">
        <f>EFEITO!$N$263*EFEITO!$AA$263</f>
        <v>1.481208919466418</v>
      </c>
      <c r="M263" s="56">
        <f>$J$263-EFEITO!$K$263*EFEITO!$Y$263</f>
        <v>0</v>
      </c>
      <c r="N263" s="56">
        <f ca="1">$K$263-EFEITO!$M$263*EFEITO!$Z$263</f>
        <v>0</v>
      </c>
      <c r="O263" s="56">
        <f>$L$263-EFEITO!$O$263*EFEITO!$AA$263</f>
        <v>0</v>
      </c>
      <c r="P263" s="39"/>
      <c r="Q263" s="39"/>
      <c r="R263" s="39"/>
      <c r="S263" s="39"/>
      <c r="T263" s="39"/>
      <c r="U263" s="39"/>
      <c r="V263" s="39"/>
      <c r="W263" s="39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35" t="s">
        <v>21</v>
      </c>
      <c r="B264" s="35" t="s">
        <v>22</v>
      </c>
      <c r="C264" s="35" t="s">
        <v>33</v>
      </c>
      <c r="D264" s="35" t="s">
        <v>24</v>
      </c>
      <c r="E264" s="35" t="s">
        <v>24</v>
      </c>
      <c r="F264" s="35" t="s">
        <v>25</v>
      </c>
      <c r="G264" s="35" t="s">
        <v>25</v>
      </c>
      <c r="H264" s="35" t="s">
        <v>36</v>
      </c>
      <c r="I264" s="55">
        <v>44470</v>
      </c>
      <c r="J264" s="56">
        <f>EFEITO!$J$264*EFEITO!$Y$264</f>
        <v>0</v>
      </c>
      <c r="K264" s="56">
        <f ca="1">EFEITO!$L$264*EFEITO!$Z$264</f>
        <v>16.507746009956431</v>
      </c>
      <c r="L264" s="56">
        <f>EFEITO!$N$264*EFEITO!$AA$264</f>
        <v>1.2473338269190888</v>
      </c>
      <c r="M264" s="56">
        <f>$J$264-EFEITO!$K$264*EFEITO!$Y$264</f>
        <v>0</v>
      </c>
      <c r="N264" s="56">
        <f ca="1">$K$264-EFEITO!$M$264*EFEITO!$Z$264</f>
        <v>0</v>
      </c>
      <c r="O264" s="56">
        <f>$L$264-EFEITO!$O$264*EFEITO!$AA$264</f>
        <v>0</v>
      </c>
      <c r="P264" s="39"/>
      <c r="Q264" s="39"/>
      <c r="R264" s="39"/>
      <c r="S264" s="39"/>
      <c r="T264" s="39"/>
      <c r="U264" s="39"/>
      <c r="V264" s="39"/>
      <c r="W264" s="39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35" t="s">
        <v>21</v>
      </c>
      <c r="B265" s="35" t="s">
        <v>22</v>
      </c>
      <c r="C265" s="35" t="s">
        <v>33</v>
      </c>
      <c r="D265" s="35" t="s">
        <v>24</v>
      </c>
      <c r="E265" s="35" t="s">
        <v>24</v>
      </c>
      <c r="F265" s="35" t="s">
        <v>25</v>
      </c>
      <c r="G265" s="35" t="s">
        <v>25</v>
      </c>
      <c r="H265" s="35" t="s">
        <v>36</v>
      </c>
      <c r="I265" s="55">
        <v>44501</v>
      </c>
      <c r="J265" s="56">
        <f>EFEITO!$J$265*EFEITO!$Y$265</f>
        <v>0</v>
      </c>
      <c r="K265" s="56">
        <f ca="1">EFEITO!$L$265*EFEITO!$Z$265</f>
        <v>24.761619014934645</v>
      </c>
      <c r="L265" s="56">
        <f>EFEITO!$N$265*EFEITO!$AA$265</f>
        <v>1.8710007403786333</v>
      </c>
      <c r="M265" s="56">
        <f>$J$265-EFEITO!$K$265*EFEITO!$Y$265</f>
        <v>0</v>
      </c>
      <c r="N265" s="56">
        <f ca="1">$K$265-EFEITO!$M$265*EFEITO!$Z$265</f>
        <v>0</v>
      </c>
      <c r="O265" s="56">
        <f>$L$265-EFEITO!$O$265*EFEITO!$AA$265</f>
        <v>0</v>
      </c>
      <c r="P265" s="39"/>
      <c r="Q265" s="39"/>
      <c r="R265" s="39"/>
      <c r="S265" s="39"/>
      <c r="T265" s="39"/>
      <c r="U265" s="39"/>
      <c r="V265" s="39"/>
      <c r="W265" s="39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35" t="s">
        <v>21</v>
      </c>
      <c r="B266" s="35" t="s">
        <v>22</v>
      </c>
      <c r="C266" s="35" t="s">
        <v>33</v>
      </c>
      <c r="D266" s="35" t="s">
        <v>24</v>
      </c>
      <c r="E266" s="35" t="s">
        <v>24</v>
      </c>
      <c r="F266" s="35" t="s">
        <v>25</v>
      </c>
      <c r="G266" s="35" t="s">
        <v>25</v>
      </c>
      <c r="H266" s="35" t="s">
        <v>36</v>
      </c>
      <c r="I266" s="55">
        <v>44531</v>
      </c>
      <c r="J266" s="56">
        <f>EFEITO!$J$266*EFEITO!$Y$266</f>
        <v>0</v>
      </c>
      <c r="K266" s="56">
        <f ca="1">EFEITO!$L$266*EFEITO!$Z$266</f>
        <v>15.476011884334152</v>
      </c>
      <c r="L266" s="56">
        <f>EFEITO!$N$266*EFEITO!$AA$266</f>
        <v>1.1693754627366457</v>
      </c>
      <c r="M266" s="56">
        <f>$J$266-EFEITO!$K$266*EFEITO!$Y$266</f>
        <v>0</v>
      </c>
      <c r="N266" s="56">
        <f ca="1">$K$266-EFEITO!$M$266*EFEITO!$Z$266</f>
        <v>0</v>
      </c>
      <c r="O266" s="56">
        <f>$L$266-EFEITO!$O$266*EFEITO!$AA$266</f>
        <v>0</v>
      </c>
      <c r="P266" s="39"/>
      <c r="Q266" s="39"/>
      <c r="R266" s="39"/>
      <c r="S266" s="39"/>
      <c r="T266" s="39"/>
      <c r="U266" s="39"/>
      <c r="V266" s="39"/>
      <c r="W266" s="39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35" t="s">
        <v>21</v>
      </c>
      <c r="B267" s="35" t="s">
        <v>22</v>
      </c>
      <c r="C267" s="35" t="s">
        <v>33</v>
      </c>
      <c r="D267" s="35" t="s">
        <v>24</v>
      </c>
      <c r="E267" s="35" t="s">
        <v>24</v>
      </c>
      <c r="F267" s="35" t="s">
        <v>25</v>
      </c>
      <c r="G267" s="35" t="s">
        <v>25</v>
      </c>
      <c r="H267" s="35" t="s">
        <v>36</v>
      </c>
      <c r="I267" s="55">
        <v>44562</v>
      </c>
      <c r="J267" s="56">
        <f>EFEITO!$J$267*EFEITO!$Y$267</f>
        <v>0</v>
      </c>
      <c r="K267" s="56">
        <f ca="1">EFEITO!$L$267*EFEITO!$Z$267</f>
        <v>35.07896027115742</v>
      </c>
      <c r="L267" s="56">
        <f>EFEITO!$N$267*EFEITO!$AA$267</f>
        <v>2.6505843822030637</v>
      </c>
      <c r="M267" s="56">
        <f>$J$267-EFEITO!$K$267*EFEITO!$Y$267</f>
        <v>0</v>
      </c>
      <c r="N267" s="56">
        <f ca="1">$K$267-EFEITO!$M$267*EFEITO!$Z$267</f>
        <v>0</v>
      </c>
      <c r="O267" s="56">
        <f>$L$267-EFEITO!$O$267*EFEITO!$AA$267</f>
        <v>0</v>
      </c>
      <c r="P267" s="39"/>
      <c r="Q267" s="39"/>
      <c r="R267" s="39"/>
      <c r="S267" s="39"/>
      <c r="T267" s="39"/>
      <c r="U267" s="39"/>
      <c r="V267" s="39"/>
      <c r="W267" s="39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35" t="s">
        <v>21</v>
      </c>
      <c r="B268" s="35" t="s">
        <v>22</v>
      </c>
      <c r="C268" s="35" t="s">
        <v>33</v>
      </c>
      <c r="D268" s="35" t="s">
        <v>24</v>
      </c>
      <c r="E268" s="35" t="s">
        <v>24</v>
      </c>
      <c r="F268" s="35" t="s">
        <v>25</v>
      </c>
      <c r="G268" s="35" t="s">
        <v>25</v>
      </c>
      <c r="H268" s="35" t="s">
        <v>36</v>
      </c>
      <c r="I268" s="55">
        <v>44593</v>
      </c>
      <c r="J268" s="56">
        <f>EFEITO!$J$268*EFEITO!$Y$268</f>
        <v>0</v>
      </c>
      <c r="K268" s="56">
        <f ca="1">EFEITO!$L$268*EFEITO!$Z$268</f>
        <v>22.698150763690091</v>
      </c>
      <c r="L268" s="56">
        <f>EFEITO!$N$268*EFEITO!$AA$268</f>
        <v>1.7150840120137469</v>
      </c>
      <c r="M268" s="56">
        <f>$J$268-EFEITO!$K$268*EFEITO!$Y$268</f>
        <v>0</v>
      </c>
      <c r="N268" s="56">
        <f ca="1">$K$268-EFEITO!$M$268*EFEITO!$Z$268</f>
        <v>0</v>
      </c>
      <c r="O268" s="56">
        <f>$L$268-EFEITO!$O$268*EFEITO!$AA$268</f>
        <v>0</v>
      </c>
      <c r="P268" s="39"/>
      <c r="Q268" s="39"/>
      <c r="R268" s="39"/>
      <c r="S268" s="39"/>
      <c r="T268" s="39"/>
      <c r="U268" s="39"/>
      <c r="V268" s="39"/>
      <c r="W268" s="39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35" t="s">
        <v>21</v>
      </c>
      <c r="B269" s="35" t="s">
        <v>22</v>
      </c>
      <c r="C269" s="35" t="s">
        <v>33</v>
      </c>
      <c r="D269" s="35" t="s">
        <v>24</v>
      </c>
      <c r="E269" s="35" t="s">
        <v>24</v>
      </c>
      <c r="F269" s="35" t="s">
        <v>25</v>
      </c>
      <c r="G269" s="35" t="s">
        <v>25</v>
      </c>
      <c r="H269" s="35" t="s">
        <v>36</v>
      </c>
      <c r="I269" s="55">
        <v>44621</v>
      </c>
      <c r="J269" s="56">
        <f>EFEITO!$J$269*EFEITO!$Y$269</f>
        <v>0</v>
      </c>
      <c r="K269" s="56">
        <f ca="1">EFEITO!$L$269*EFEITO!$Z$269</f>
        <v>38.174162648024243</v>
      </c>
      <c r="L269" s="56">
        <f>EFEITO!$N$269*EFEITO!$AA$269</f>
        <v>2.8844594747503924</v>
      </c>
      <c r="M269" s="56">
        <f>$J$269-EFEITO!$K$269*EFEITO!$Y$269</f>
        <v>0</v>
      </c>
      <c r="N269" s="56">
        <f ca="1">$K$269-EFEITO!$M$269*EFEITO!$Z$269</f>
        <v>0</v>
      </c>
      <c r="O269" s="56">
        <f>$L$269-EFEITO!$O$269*EFEITO!$AA$269</f>
        <v>0</v>
      </c>
      <c r="P269" s="39"/>
      <c r="Q269" s="39"/>
      <c r="R269" s="39"/>
      <c r="S269" s="39"/>
      <c r="T269" s="39"/>
      <c r="U269" s="39"/>
      <c r="V269" s="39"/>
      <c r="W269" s="3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35" t="s">
        <v>21</v>
      </c>
      <c r="B270" s="35" t="s">
        <v>22</v>
      </c>
      <c r="C270" s="35" t="s">
        <v>33</v>
      </c>
      <c r="D270" s="35" t="s">
        <v>24</v>
      </c>
      <c r="E270" s="35" t="s">
        <v>24</v>
      </c>
      <c r="F270" s="35" t="s">
        <v>25</v>
      </c>
      <c r="G270" s="35" t="s">
        <v>25</v>
      </c>
      <c r="H270" s="35" t="s">
        <v>36</v>
      </c>
      <c r="I270" s="55">
        <v>44652</v>
      </c>
      <c r="J270" s="56">
        <f>EFEITO!$J$270*EFEITO!$Y$270</f>
        <v>0</v>
      </c>
      <c r="K270" s="56">
        <f ca="1">EFEITO!$L$270*EFEITO!$Z$270</f>
        <v>22.698150763690091</v>
      </c>
      <c r="L270" s="56">
        <f>EFEITO!$N$270*EFEITO!$AA$270</f>
        <v>1.7150840120137469</v>
      </c>
      <c r="M270" s="56">
        <f>$J$270-EFEITO!$K$270*EFEITO!$Y$270</f>
        <v>0</v>
      </c>
      <c r="N270" s="56">
        <f ca="1">$K$270-EFEITO!$M$270*EFEITO!$Z$270</f>
        <v>0</v>
      </c>
      <c r="O270" s="56">
        <f>$L$270-EFEITO!$O$270*EFEITO!$AA$270</f>
        <v>0</v>
      </c>
      <c r="P270" s="39"/>
      <c r="Q270" s="39"/>
      <c r="R270" s="39"/>
      <c r="S270" s="39"/>
      <c r="T270" s="39"/>
      <c r="U270" s="39"/>
      <c r="V270" s="39"/>
      <c r="W270" s="3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35" t="s">
        <v>21</v>
      </c>
      <c r="B271" s="35" t="s">
        <v>22</v>
      </c>
      <c r="C271" s="35" t="s">
        <v>33</v>
      </c>
      <c r="D271" s="35" t="s">
        <v>24</v>
      </c>
      <c r="E271" s="35" t="s">
        <v>24</v>
      </c>
      <c r="F271" s="35" t="s">
        <v>25</v>
      </c>
      <c r="G271" s="35" t="s">
        <v>25</v>
      </c>
      <c r="H271" s="35" t="s">
        <v>36</v>
      </c>
      <c r="I271" s="55">
        <v>44682</v>
      </c>
      <c r="J271" s="56">
        <f>EFEITO!$J$271*EFEITO!$Y$271</f>
        <v>0</v>
      </c>
      <c r="K271" s="56">
        <f ca="1">EFEITO!$L$271*EFEITO!$Z$271</f>
        <v>12.380809507467323</v>
      </c>
      <c r="L271" s="56">
        <f>EFEITO!$N$271*EFEITO!$AA$271</f>
        <v>0.93550037018931664</v>
      </c>
      <c r="M271" s="56">
        <f>$J$271-EFEITO!$K$271*EFEITO!$Y$271</f>
        <v>0</v>
      </c>
      <c r="N271" s="56">
        <f ca="1">$K$271-EFEITO!$M$271*EFEITO!$Z$271</f>
        <v>0</v>
      </c>
      <c r="O271" s="56">
        <f>$L$271-EFEITO!$O$271*EFEITO!$AA$271</f>
        <v>0</v>
      </c>
      <c r="P271" s="39"/>
      <c r="Q271" s="39"/>
      <c r="R271" s="39"/>
      <c r="S271" s="39"/>
      <c r="T271" s="39"/>
      <c r="U271" s="39"/>
      <c r="V271" s="39"/>
      <c r="W271" s="3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35" t="s">
        <v>21</v>
      </c>
      <c r="B272" s="35" t="s">
        <v>22</v>
      </c>
      <c r="C272" s="35" t="s">
        <v>33</v>
      </c>
      <c r="D272" s="35" t="s">
        <v>24</v>
      </c>
      <c r="E272" s="35" t="s">
        <v>24</v>
      </c>
      <c r="F272" s="35" t="s">
        <v>25</v>
      </c>
      <c r="G272" s="35" t="s">
        <v>25</v>
      </c>
      <c r="H272" s="35" t="s">
        <v>36</v>
      </c>
      <c r="I272" s="55">
        <v>44713</v>
      </c>
      <c r="J272" s="56">
        <f>EFEITO!$J$272*EFEITO!$Y$272</f>
        <v>0</v>
      </c>
      <c r="K272" s="56">
        <f ca="1">EFEITO!$L$272*EFEITO!$Z$272</f>
        <v>15.476011884334152</v>
      </c>
      <c r="L272" s="56">
        <f>EFEITO!$N$272*EFEITO!$AA$272</f>
        <v>1.1693754627366457</v>
      </c>
      <c r="M272" s="56">
        <f>$J$272-EFEITO!$K$272*EFEITO!$Y$272</f>
        <v>0</v>
      </c>
      <c r="N272" s="56">
        <f ca="1">$K$272-EFEITO!$M$272*EFEITO!$Z$272</f>
        <v>0</v>
      </c>
      <c r="O272" s="56">
        <f>$L$272-EFEITO!$O$272*EFEITO!$AA$272</f>
        <v>0</v>
      </c>
      <c r="P272" s="39"/>
      <c r="Q272" s="39"/>
      <c r="R272" s="39"/>
      <c r="S272" s="39"/>
      <c r="T272" s="39"/>
      <c r="U272" s="39"/>
      <c r="V272" s="39"/>
      <c r="W272" s="3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35" t="s">
        <v>21</v>
      </c>
      <c r="B273" s="35" t="s">
        <v>22</v>
      </c>
      <c r="C273" s="35" t="s">
        <v>33</v>
      </c>
      <c r="D273" s="35" t="s">
        <v>24</v>
      </c>
      <c r="E273" s="35" t="s">
        <v>24</v>
      </c>
      <c r="F273" s="35" t="s">
        <v>25</v>
      </c>
      <c r="G273" s="35" t="s">
        <v>25</v>
      </c>
      <c r="H273" s="35" t="s">
        <v>36</v>
      </c>
      <c r="I273" s="55">
        <v>44743</v>
      </c>
      <c r="J273" s="56">
        <f>EFEITO!$J$273*EFEITO!$Y$273</f>
        <v>0</v>
      </c>
      <c r="K273" s="56">
        <f ca="1">EFEITO!$L$273*EFEITO!$Z$273</f>
        <v>13.4125436330896</v>
      </c>
      <c r="L273" s="56">
        <f>EFEITO!$N$273*EFEITO!$AA$273</f>
        <v>1.0134587343717596</v>
      </c>
      <c r="M273" s="56">
        <f>$J$273-EFEITO!$K$273*EFEITO!$Y$273</f>
        <v>0</v>
      </c>
      <c r="N273" s="56">
        <f ca="1">$K$273-EFEITO!$M$273*EFEITO!$Z$273</f>
        <v>0</v>
      </c>
      <c r="O273" s="56">
        <f>$L$273-EFEITO!$O$273*EFEITO!$AA$273</f>
        <v>0</v>
      </c>
      <c r="P273" s="39"/>
      <c r="Q273" s="39"/>
      <c r="R273" s="39"/>
      <c r="S273" s="39"/>
      <c r="T273" s="39"/>
      <c r="U273" s="39"/>
      <c r="V273" s="39"/>
      <c r="W273" s="39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35" t="s">
        <v>21</v>
      </c>
      <c r="B274" s="35" t="s">
        <v>22</v>
      </c>
      <c r="C274" s="35" t="s">
        <v>33</v>
      </c>
      <c r="D274" s="35" t="s">
        <v>24</v>
      </c>
      <c r="E274" s="35" t="s">
        <v>24</v>
      </c>
      <c r="F274" s="35" t="s">
        <v>25</v>
      </c>
      <c r="G274" s="35" t="s">
        <v>25</v>
      </c>
      <c r="H274" s="35" t="s">
        <v>36</v>
      </c>
      <c r="I274" s="55">
        <v>44774</v>
      </c>
      <c r="J274" s="56">
        <f>EFEITO!$J$274*EFEITO!$Y$274</f>
        <v>0</v>
      </c>
      <c r="K274" s="56">
        <f ca="1">EFEITO!$L$274*EFEITO!$Z$274</f>
        <v>19.602948386823261</v>
      </c>
      <c r="L274" s="56">
        <f>EFEITO!$N$274*EFEITO!$AA$274</f>
        <v>1.481208919466418</v>
      </c>
      <c r="M274" s="56">
        <f>$J$274-EFEITO!$K$274*EFEITO!$Y$274</f>
        <v>0</v>
      </c>
      <c r="N274" s="56">
        <f ca="1">$K$274-EFEITO!$M$274*EFEITO!$Z$274</f>
        <v>0</v>
      </c>
      <c r="O274" s="56">
        <f>$L$274-EFEITO!$O$274*EFEITO!$AA$274</f>
        <v>0</v>
      </c>
      <c r="P274" s="39"/>
      <c r="Q274" s="39"/>
      <c r="R274" s="39"/>
      <c r="S274" s="39"/>
      <c r="T274" s="39"/>
      <c r="U274" s="39"/>
      <c r="V274" s="39"/>
      <c r="W274" s="39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35" t="s">
        <v>21</v>
      </c>
      <c r="B275" s="35" t="s">
        <v>22</v>
      </c>
      <c r="C275" s="35" t="s">
        <v>33</v>
      </c>
      <c r="D275" s="35" t="s">
        <v>24</v>
      </c>
      <c r="E275" s="35" t="s">
        <v>24</v>
      </c>
      <c r="F275" s="35" t="s">
        <v>25</v>
      </c>
      <c r="G275" s="35" t="s">
        <v>25</v>
      </c>
      <c r="H275" s="35" t="s">
        <v>34</v>
      </c>
      <c r="I275" s="55">
        <v>44440</v>
      </c>
      <c r="J275" s="56">
        <f>EFEITO!$J$275*EFEITO!$Y$275</f>
        <v>0</v>
      </c>
      <c r="K275" s="56">
        <f ca="1">EFEITO!$L$275*EFEITO!$Z$275</f>
        <v>49.369027432965481</v>
      </c>
      <c r="L275" s="56">
        <f>EFEITO!$N$275*EFEITO!$AA$275</f>
        <v>2.3387509254732914</v>
      </c>
      <c r="M275" s="56">
        <f>$J$275-EFEITO!$K$275*EFEITO!$Y$275</f>
        <v>0</v>
      </c>
      <c r="N275" s="56">
        <f ca="1">$K$275-EFEITO!$M$275*EFEITO!$Z$275</f>
        <v>0</v>
      </c>
      <c r="O275" s="56">
        <f>$L$275-EFEITO!$O$275*EFEITO!$AA$275</f>
        <v>0</v>
      </c>
      <c r="P275" s="39"/>
      <c r="Q275" s="39"/>
      <c r="R275" s="39"/>
      <c r="S275" s="39"/>
      <c r="T275" s="39"/>
      <c r="U275" s="39"/>
      <c r="V275" s="39"/>
      <c r="W275" s="39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35" t="s">
        <v>21</v>
      </c>
      <c r="B276" s="35" t="s">
        <v>22</v>
      </c>
      <c r="C276" s="35" t="s">
        <v>33</v>
      </c>
      <c r="D276" s="35" t="s">
        <v>24</v>
      </c>
      <c r="E276" s="35" t="s">
        <v>24</v>
      </c>
      <c r="F276" s="35" t="s">
        <v>25</v>
      </c>
      <c r="G276" s="35" t="s">
        <v>25</v>
      </c>
      <c r="H276" s="35" t="s">
        <v>34</v>
      </c>
      <c r="I276" s="55">
        <v>44470</v>
      </c>
      <c r="J276" s="56">
        <f>EFEITO!$J$276*EFEITO!$Y$276</f>
        <v>0</v>
      </c>
      <c r="K276" s="56">
        <f ca="1">EFEITO!$L$276*EFEITO!$Z$276</f>
        <v>34.55831920307584</v>
      </c>
      <c r="L276" s="56">
        <f>EFEITO!$N$276*EFEITO!$AA$276</f>
        <v>1.6371256478313041</v>
      </c>
      <c r="M276" s="56">
        <f>$J$276-EFEITO!$K$276*EFEITO!$Y$276</f>
        <v>0</v>
      </c>
      <c r="N276" s="56">
        <f ca="1">$K$276-EFEITO!$M$276*EFEITO!$Z$276</f>
        <v>0</v>
      </c>
      <c r="O276" s="56">
        <f>$L$276-EFEITO!$O$276*EFEITO!$AA$276</f>
        <v>0</v>
      </c>
      <c r="P276" s="39"/>
      <c r="Q276" s="39"/>
      <c r="R276" s="39"/>
      <c r="S276" s="39"/>
      <c r="T276" s="39"/>
      <c r="U276" s="39"/>
      <c r="V276" s="39"/>
      <c r="W276" s="39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35" t="s">
        <v>21</v>
      </c>
      <c r="B277" s="35" t="s">
        <v>22</v>
      </c>
      <c r="C277" s="35" t="s">
        <v>33</v>
      </c>
      <c r="D277" s="35" t="s">
        <v>24</v>
      </c>
      <c r="E277" s="35" t="s">
        <v>24</v>
      </c>
      <c r="F277" s="35" t="s">
        <v>25</v>
      </c>
      <c r="G277" s="35" t="s">
        <v>25</v>
      </c>
      <c r="H277" s="35" t="s">
        <v>34</v>
      </c>
      <c r="I277" s="55">
        <v>44501</v>
      </c>
      <c r="J277" s="56">
        <f>EFEITO!$J$277*EFEITO!$Y$277</f>
        <v>0</v>
      </c>
      <c r="K277" s="56">
        <f ca="1">EFEITO!$L$277*EFEITO!$Z$277</f>
        <v>190.8935727407999</v>
      </c>
      <c r="L277" s="56">
        <f>EFEITO!$N$277*EFEITO!$AA$277</f>
        <v>9.0431702451633935</v>
      </c>
      <c r="M277" s="56">
        <f>$J$277-EFEITO!$K$277*EFEITO!$Y$277</f>
        <v>0</v>
      </c>
      <c r="N277" s="56">
        <f ca="1">$K$277-EFEITO!$M$277*EFEITO!$Z$277</f>
        <v>0</v>
      </c>
      <c r="O277" s="56">
        <f>$L$277-EFEITO!$O$277*EFEITO!$AA$277</f>
        <v>0</v>
      </c>
      <c r="P277" s="39"/>
      <c r="Q277" s="39"/>
      <c r="R277" s="39"/>
      <c r="S277" s="39"/>
      <c r="T277" s="39"/>
      <c r="U277" s="39"/>
      <c r="V277" s="39"/>
      <c r="W277" s="39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35" t="s">
        <v>21</v>
      </c>
      <c r="B278" s="35" t="s">
        <v>22</v>
      </c>
      <c r="C278" s="35" t="s">
        <v>33</v>
      </c>
      <c r="D278" s="35" t="s">
        <v>24</v>
      </c>
      <c r="E278" s="35" t="s">
        <v>24</v>
      </c>
      <c r="F278" s="35" t="s">
        <v>25</v>
      </c>
      <c r="G278" s="35" t="s">
        <v>25</v>
      </c>
      <c r="H278" s="35" t="s">
        <v>34</v>
      </c>
      <c r="I278" s="55">
        <v>44531</v>
      </c>
      <c r="J278" s="56">
        <f>EFEITO!$J$278*EFEITO!$Y$278</f>
        <v>0</v>
      </c>
      <c r="K278" s="56">
        <f ca="1">EFEITO!$L$278*EFEITO!$Z$278</f>
        <v>49.369027432965481</v>
      </c>
      <c r="L278" s="56">
        <f>EFEITO!$N$278*EFEITO!$AA$278</f>
        <v>2.3387509254732914</v>
      </c>
      <c r="M278" s="56">
        <f>$J$278-EFEITO!$K$278*EFEITO!$Y$278</f>
        <v>0</v>
      </c>
      <c r="N278" s="56">
        <f ca="1">$K$278-EFEITO!$M$278*EFEITO!$Z$278</f>
        <v>0</v>
      </c>
      <c r="O278" s="56">
        <f>$L$278-EFEITO!$O$278*EFEITO!$AA$278</f>
        <v>0</v>
      </c>
      <c r="P278" s="39"/>
      <c r="Q278" s="39"/>
      <c r="R278" s="39"/>
      <c r="S278" s="39"/>
      <c r="T278" s="39"/>
      <c r="U278" s="39"/>
      <c r="V278" s="39"/>
      <c r="W278" s="39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35" t="s">
        <v>21</v>
      </c>
      <c r="B279" s="35" t="s">
        <v>22</v>
      </c>
      <c r="C279" s="35" t="s">
        <v>33</v>
      </c>
      <c r="D279" s="35" t="s">
        <v>24</v>
      </c>
      <c r="E279" s="35" t="s">
        <v>24</v>
      </c>
      <c r="F279" s="35" t="s">
        <v>25</v>
      </c>
      <c r="G279" s="35" t="s">
        <v>25</v>
      </c>
      <c r="H279" s="35" t="s">
        <v>34</v>
      </c>
      <c r="I279" s="55">
        <v>44562</v>
      </c>
      <c r="J279" s="56">
        <f>EFEITO!$J$279*EFEITO!$Y$279</f>
        <v>0</v>
      </c>
      <c r="K279" s="56">
        <f ca="1">EFEITO!$L$279*EFEITO!$Z$279</f>
        <v>77.344809644979264</v>
      </c>
      <c r="L279" s="56">
        <f>EFEITO!$N$279*EFEITO!$AA$279</f>
        <v>3.6640431165748235</v>
      </c>
      <c r="M279" s="56">
        <f>$J$279-EFEITO!$K$279*EFEITO!$Y$279</f>
        <v>0</v>
      </c>
      <c r="N279" s="56">
        <f ca="1">$K$279-EFEITO!$M$279*EFEITO!$Z$279</f>
        <v>0</v>
      </c>
      <c r="O279" s="56">
        <f>$L$279-EFEITO!$O$279*EFEITO!$AA$279</f>
        <v>0</v>
      </c>
      <c r="P279" s="39"/>
      <c r="Q279" s="39"/>
      <c r="R279" s="39"/>
      <c r="S279" s="39"/>
      <c r="T279" s="39"/>
      <c r="U279" s="39"/>
      <c r="V279" s="39"/>
      <c r="W279" s="39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35" t="s">
        <v>21</v>
      </c>
      <c r="B280" s="35" t="s">
        <v>22</v>
      </c>
      <c r="C280" s="35" t="s">
        <v>33</v>
      </c>
      <c r="D280" s="35" t="s">
        <v>24</v>
      </c>
      <c r="E280" s="35" t="s">
        <v>24</v>
      </c>
      <c r="F280" s="35" t="s">
        <v>25</v>
      </c>
      <c r="G280" s="35" t="s">
        <v>25</v>
      </c>
      <c r="H280" s="35" t="s">
        <v>34</v>
      </c>
      <c r="I280" s="55">
        <v>44593</v>
      </c>
      <c r="J280" s="56">
        <f>EFEITO!$J$280*EFEITO!$Y$280</f>
        <v>0</v>
      </c>
      <c r="K280" s="56">
        <f ca="1">EFEITO!$L$280*EFEITO!$Z$280</f>
        <v>69.116638406151679</v>
      </c>
      <c r="L280" s="56">
        <f>EFEITO!$N$280*EFEITO!$AA$280</f>
        <v>3.2742512956626082</v>
      </c>
      <c r="M280" s="56">
        <f>$J$280-EFEITO!$K$280*EFEITO!$Y$280</f>
        <v>0</v>
      </c>
      <c r="N280" s="56">
        <f ca="1">$K$280-EFEITO!$M$280*EFEITO!$Z$280</f>
        <v>0</v>
      </c>
      <c r="O280" s="56">
        <f>$L$280-EFEITO!$O$280*EFEITO!$AA$280</f>
        <v>0</v>
      </c>
      <c r="P280" s="39"/>
      <c r="Q280" s="39"/>
      <c r="R280" s="39"/>
      <c r="S280" s="39"/>
      <c r="T280" s="39"/>
      <c r="U280" s="39"/>
      <c r="V280" s="39"/>
      <c r="W280" s="39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35" t="s">
        <v>21</v>
      </c>
      <c r="B281" s="35" t="s">
        <v>22</v>
      </c>
      <c r="C281" s="35" t="s">
        <v>33</v>
      </c>
      <c r="D281" s="35" t="s">
        <v>24</v>
      </c>
      <c r="E281" s="35" t="s">
        <v>24</v>
      </c>
      <c r="F281" s="35" t="s">
        <v>25</v>
      </c>
      <c r="G281" s="35" t="s">
        <v>25</v>
      </c>
      <c r="H281" s="35" t="s">
        <v>34</v>
      </c>
      <c r="I281" s="55">
        <v>44621</v>
      </c>
      <c r="J281" s="56">
        <f>EFEITO!$J$281*EFEITO!$Y$281</f>
        <v>0</v>
      </c>
      <c r="K281" s="56">
        <f ca="1">EFEITO!$L$281*EFEITO!$Z$281</f>
        <v>93.80115212263442</v>
      </c>
      <c r="L281" s="56">
        <f>EFEITO!$N$281*EFEITO!$AA$281</f>
        <v>4.4436267583992537</v>
      </c>
      <c r="M281" s="56">
        <f>$J$281-EFEITO!$K$281*EFEITO!$Y$281</f>
        <v>0</v>
      </c>
      <c r="N281" s="56">
        <f ca="1">$K$281-EFEITO!$M$281*EFEITO!$Z$281</f>
        <v>0</v>
      </c>
      <c r="O281" s="56">
        <f>$L$281-EFEITO!$O$281*EFEITO!$AA$281</f>
        <v>0</v>
      </c>
      <c r="P281" s="39"/>
      <c r="Q281" s="39"/>
      <c r="R281" s="39"/>
      <c r="S281" s="39"/>
      <c r="T281" s="39"/>
      <c r="U281" s="39"/>
      <c r="V281" s="39"/>
      <c r="W281" s="39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35" t="s">
        <v>21</v>
      </c>
      <c r="B282" s="35" t="s">
        <v>22</v>
      </c>
      <c r="C282" s="35" t="s">
        <v>33</v>
      </c>
      <c r="D282" s="35" t="s">
        <v>24</v>
      </c>
      <c r="E282" s="35" t="s">
        <v>24</v>
      </c>
      <c r="F282" s="35" t="s">
        <v>25</v>
      </c>
      <c r="G282" s="35" t="s">
        <v>25</v>
      </c>
      <c r="H282" s="35" t="s">
        <v>34</v>
      </c>
      <c r="I282" s="55">
        <v>44652</v>
      </c>
      <c r="J282" s="56">
        <f>EFEITO!$J$282*EFEITO!$Y$282</f>
        <v>0</v>
      </c>
      <c r="K282" s="56">
        <f ca="1">EFEITO!$L$282*EFEITO!$Z$282</f>
        <v>64.179735662855137</v>
      </c>
      <c r="L282" s="56">
        <f>EFEITO!$N$282*EFEITO!$AA$282</f>
        <v>3.040376203115279</v>
      </c>
      <c r="M282" s="56">
        <f>$J$282-EFEITO!$K$282*EFEITO!$Y$282</f>
        <v>0</v>
      </c>
      <c r="N282" s="56">
        <f ca="1">$K$282-EFEITO!$M$282*EFEITO!$Z$282</f>
        <v>0</v>
      </c>
      <c r="O282" s="56">
        <f>$L$282-EFEITO!$O$282*EFEITO!$AA$282</f>
        <v>0</v>
      </c>
      <c r="P282" s="39"/>
      <c r="Q282" s="39"/>
      <c r="R282" s="39"/>
      <c r="S282" s="39"/>
      <c r="T282" s="39"/>
      <c r="U282" s="39"/>
      <c r="V282" s="39"/>
      <c r="W282" s="39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35" t="s">
        <v>21</v>
      </c>
      <c r="B283" s="35" t="s">
        <v>22</v>
      </c>
      <c r="C283" s="35" t="s">
        <v>33</v>
      </c>
      <c r="D283" s="35" t="s">
        <v>24</v>
      </c>
      <c r="E283" s="35" t="s">
        <v>24</v>
      </c>
      <c r="F283" s="35" t="s">
        <v>25</v>
      </c>
      <c r="G283" s="35" t="s">
        <v>25</v>
      </c>
      <c r="H283" s="35" t="s">
        <v>34</v>
      </c>
      <c r="I283" s="55">
        <v>44682</v>
      </c>
      <c r="J283" s="56">
        <f>EFEITO!$J$283*EFEITO!$Y$283</f>
        <v>0</v>
      </c>
      <c r="K283" s="56">
        <f ca="1">EFEITO!$L$283*EFEITO!$Z$283</f>
        <v>37.849587698606875</v>
      </c>
      <c r="L283" s="56">
        <f>EFEITO!$N$283*EFEITO!$AA$283</f>
        <v>1.79304237619619</v>
      </c>
      <c r="M283" s="56">
        <f>$J$283-EFEITO!$K$283*EFEITO!$Y$283</f>
        <v>0</v>
      </c>
      <c r="N283" s="56">
        <f ca="1">$K$283-EFEITO!$M$283*EFEITO!$Z$283</f>
        <v>0</v>
      </c>
      <c r="O283" s="56">
        <f>$L$283-EFEITO!$O$283*EFEITO!$AA$283</f>
        <v>0</v>
      </c>
      <c r="P283" s="39"/>
      <c r="Q283" s="39"/>
      <c r="R283" s="39"/>
      <c r="S283" s="39"/>
      <c r="T283" s="39"/>
      <c r="U283" s="39"/>
      <c r="V283" s="39"/>
      <c r="W283" s="39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35" t="s">
        <v>21</v>
      </c>
      <c r="B284" s="35" t="s">
        <v>22</v>
      </c>
      <c r="C284" s="35" t="s">
        <v>33</v>
      </c>
      <c r="D284" s="35" t="s">
        <v>24</v>
      </c>
      <c r="E284" s="35" t="s">
        <v>24</v>
      </c>
      <c r="F284" s="35" t="s">
        <v>25</v>
      </c>
      <c r="G284" s="35" t="s">
        <v>25</v>
      </c>
      <c r="H284" s="35" t="s">
        <v>34</v>
      </c>
      <c r="I284" s="55">
        <v>44713</v>
      </c>
      <c r="J284" s="56">
        <f>EFEITO!$J$284*EFEITO!$Y$284</f>
        <v>0</v>
      </c>
      <c r="K284" s="56">
        <f ca="1">EFEITO!$L$284*EFEITO!$Z$284</f>
        <v>42.786490441903418</v>
      </c>
      <c r="L284" s="56">
        <f>EFEITO!$N$284*EFEITO!$AA$284</f>
        <v>2.0269174687435192</v>
      </c>
      <c r="M284" s="56">
        <f>$J$284-EFEITO!$K$284*EFEITO!$Y$284</f>
        <v>0</v>
      </c>
      <c r="N284" s="56">
        <f ca="1">$K$284-EFEITO!$M$284*EFEITO!$Z$284</f>
        <v>0</v>
      </c>
      <c r="O284" s="56">
        <f>$L$284-EFEITO!$O$284*EFEITO!$AA$284</f>
        <v>0</v>
      </c>
      <c r="P284" s="39"/>
      <c r="Q284" s="39"/>
      <c r="R284" s="39"/>
      <c r="S284" s="39"/>
      <c r="T284" s="39"/>
      <c r="U284" s="39"/>
      <c r="V284" s="39"/>
      <c r="W284" s="39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35" t="s">
        <v>21</v>
      </c>
      <c r="B285" s="35" t="s">
        <v>22</v>
      </c>
      <c r="C285" s="35" t="s">
        <v>33</v>
      </c>
      <c r="D285" s="35" t="s">
        <v>24</v>
      </c>
      <c r="E285" s="35" t="s">
        <v>24</v>
      </c>
      <c r="F285" s="35" t="s">
        <v>25</v>
      </c>
      <c r="G285" s="35" t="s">
        <v>25</v>
      </c>
      <c r="H285" s="35" t="s">
        <v>34</v>
      </c>
      <c r="I285" s="55">
        <v>44743</v>
      </c>
      <c r="J285" s="56">
        <f>EFEITO!$J$285*EFEITO!$Y$285</f>
        <v>0</v>
      </c>
      <c r="K285" s="56">
        <f ca="1">EFEITO!$L$285*EFEITO!$Z$285</f>
        <v>41.140856194137911</v>
      </c>
      <c r="L285" s="56">
        <f>EFEITO!$N$285*EFEITO!$AA$285</f>
        <v>1.9489591045610763</v>
      </c>
      <c r="M285" s="56">
        <f>$J$285-EFEITO!$K$285*EFEITO!$Y$285</f>
        <v>0</v>
      </c>
      <c r="N285" s="56">
        <f ca="1">$K$285-EFEITO!$M$285*EFEITO!$Z$285</f>
        <v>0</v>
      </c>
      <c r="O285" s="56">
        <f>$L$285-EFEITO!$O$285*EFEITO!$AA$285</f>
        <v>0</v>
      </c>
      <c r="P285" s="39"/>
      <c r="Q285" s="39"/>
      <c r="R285" s="39"/>
      <c r="S285" s="39"/>
      <c r="T285" s="39"/>
      <c r="U285" s="39"/>
      <c r="V285" s="39"/>
      <c r="W285" s="39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35" t="s">
        <v>21</v>
      </c>
      <c r="B286" s="35" t="s">
        <v>22</v>
      </c>
      <c r="C286" s="35" t="s">
        <v>33</v>
      </c>
      <c r="D286" s="35" t="s">
        <v>24</v>
      </c>
      <c r="E286" s="35" t="s">
        <v>24</v>
      </c>
      <c r="F286" s="35" t="s">
        <v>25</v>
      </c>
      <c r="G286" s="35" t="s">
        <v>25</v>
      </c>
      <c r="H286" s="35" t="s">
        <v>34</v>
      </c>
      <c r="I286" s="55">
        <v>44774</v>
      </c>
      <c r="J286" s="56">
        <f>EFEITO!$J$286*EFEITO!$Y$286</f>
        <v>0</v>
      </c>
      <c r="K286" s="56">
        <f ca="1">EFEITO!$L$286*EFEITO!$Z$286</f>
        <v>64.179735662855137</v>
      </c>
      <c r="L286" s="56">
        <f>EFEITO!$N$286*EFEITO!$AA$286</f>
        <v>3.040376203115279</v>
      </c>
      <c r="M286" s="56">
        <f>$J$286-EFEITO!$K$286*EFEITO!$Y$286</f>
        <v>0</v>
      </c>
      <c r="N286" s="56">
        <f ca="1">$K$286-EFEITO!$M$286*EFEITO!$Z$286</f>
        <v>0</v>
      </c>
      <c r="O286" s="56">
        <f>$L$286-EFEITO!$O$286*EFEITO!$AA$286</f>
        <v>0</v>
      </c>
      <c r="P286" s="39"/>
      <c r="Q286" s="39"/>
      <c r="R286" s="39"/>
      <c r="S286" s="39"/>
      <c r="T286" s="39"/>
      <c r="U286" s="39"/>
      <c r="V286" s="39"/>
      <c r="W286" s="39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35" t="s">
        <v>21</v>
      </c>
      <c r="B287" s="35" t="s">
        <v>22</v>
      </c>
      <c r="C287" s="35" t="s">
        <v>23</v>
      </c>
      <c r="D287" s="35" t="s">
        <v>24</v>
      </c>
      <c r="E287" s="35" t="s">
        <v>24</v>
      </c>
      <c r="F287" s="35" t="s">
        <v>25</v>
      </c>
      <c r="G287" s="35" t="s">
        <v>25</v>
      </c>
      <c r="H287" s="35" t="s">
        <v>25</v>
      </c>
      <c r="I287" s="55">
        <v>44440</v>
      </c>
      <c r="J287" s="56">
        <f>EFEITO!$J$287*EFEITO!$Y$287</f>
        <v>0</v>
      </c>
      <c r="K287" s="56">
        <f ca="1">EFEITO!$L$287*EFEITO!$Z$287</f>
        <v>1506284.2802095627</v>
      </c>
      <c r="L287" s="56">
        <f>EFEITO!$N$287*EFEITO!$AA$287</f>
        <v>172879.1431187946</v>
      </c>
      <c r="M287" s="56">
        <f>$J$287-EFEITO!$K$287*EFEITO!$Y$287</f>
        <v>0</v>
      </c>
      <c r="N287" s="56">
        <f ca="1">$K$287-EFEITO!$M$287*EFEITO!$Z$287</f>
        <v>0</v>
      </c>
      <c r="O287" s="56">
        <f>$L$287-EFEITO!$O$287*EFEITO!$AA$287</f>
        <v>0</v>
      </c>
      <c r="P287" s="39"/>
      <c r="Q287" s="39"/>
      <c r="R287" s="39"/>
      <c r="S287" s="39"/>
      <c r="T287" s="39"/>
      <c r="U287" s="39"/>
      <c r="V287" s="39"/>
      <c r="W287" s="39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35" t="s">
        <v>27</v>
      </c>
      <c r="B288" s="35" t="s">
        <v>22</v>
      </c>
      <c r="C288" s="35" t="s">
        <v>23</v>
      </c>
      <c r="D288" s="35" t="s">
        <v>24</v>
      </c>
      <c r="E288" s="35" t="s">
        <v>24</v>
      </c>
      <c r="F288" s="35" t="s">
        <v>25</v>
      </c>
      <c r="G288" s="35" t="s">
        <v>25</v>
      </c>
      <c r="H288" s="35" t="s">
        <v>25</v>
      </c>
      <c r="I288" s="55">
        <v>44440</v>
      </c>
      <c r="J288" s="56">
        <f>EFEITO!$J$288*EFEITO!$Y$288</f>
        <v>0</v>
      </c>
      <c r="K288" s="56">
        <f ca="1">EFEITO!$L$288*EFEITO!$Z$288</f>
        <v>-61.132135851898504</v>
      </c>
      <c r="L288" s="56">
        <f>EFEITO!$N$288*EFEITO!$AA$288</f>
        <v>-7.0162527764198739</v>
      </c>
      <c r="M288" s="56">
        <f>$J$288-EFEITO!$K$288*EFEITO!$Y$288</f>
        <v>0</v>
      </c>
      <c r="N288" s="56">
        <f ca="1">$K$288-EFEITO!$M$288*EFEITO!$Z$288</f>
        <v>0</v>
      </c>
      <c r="O288" s="56">
        <f>$L$288-EFEITO!$O$288*EFEITO!$AA$288</f>
        <v>0</v>
      </c>
      <c r="P288" s="39"/>
      <c r="Q288" s="39"/>
      <c r="R288" s="39"/>
      <c r="S288" s="39"/>
      <c r="T288" s="39"/>
      <c r="U288" s="39"/>
      <c r="V288" s="39"/>
      <c r="W288" s="39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35" t="s">
        <v>28</v>
      </c>
      <c r="B289" s="35" t="s">
        <v>22</v>
      </c>
      <c r="C289" s="35" t="s">
        <v>23</v>
      </c>
      <c r="D289" s="35" t="s">
        <v>24</v>
      </c>
      <c r="E289" s="35" t="s">
        <v>24</v>
      </c>
      <c r="F289" s="35" t="s">
        <v>25</v>
      </c>
      <c r="G289" s="35" t="s">
        <v>25</v>
      </c>
      <c r="H289" s="35" t="s">
        <v>25</v>
      </c>
      <c r="I289" s="55">
        <v>44440</v>
      </c>
      <c r="J289" s="56">
        <f>EFEITO!$J$289*EFEITO!$Y$289</f>
        <v>0</v>
      </c>
      <c r="K289" s="56">
        <f ca="1">EFEITO!$L$289*EFEITO!$Z$289</f>
        <v>20219.114310038476</v>
      </c>
      <c r="L289" s="56">
        <f>EFEITO!$N$289*EFEITO!$AA$289</f>
        <v>2320.5866266187822</v>
      </c>
      <c r="M289" s="56">
        <f>$J$289-EFEITO!$K$289*EFEITO!$Y$289</f>
        <v>0</v>
      </c>
      <c r="N289" s="56">
        <f ca="1">$K$289-EFEITO!$M$289*EFEITO!$Z$289</f>
        <v>0</v>
      </c>
      <c r="O289" s="56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35" t="s">
        <v>28</v>
      </c>
      <c r="B290" s="35" t="s">
        <v>22</v>
      </c>
      <c r="C290" s="35" t="s">
        <v>23</v>
      </c>
      <c r="D290" s="35" t="s">
        <v>24</v>
      </c>
      <c r="E290" s="35" t="s">
        <v>24</v>
      </c>
      <c r="F290" s="35" t="s">
        <v>25</v>
      </c>
      <c r="G290" s="35" t="s">
        <v>25</v>
      </c>
      <c r="H290" s="35" t="s">
        <v>25</v>
      </c>
      <c r="I290" s="55">
        <v>44440</v>
      </c>
      <c r="J290" s="56">
        <f>EFEITO!$J$290*EFEITO!$Y$290</f>
        <v>0</v>
      </c>
      <c r="K290" s="56">
        <f ca="1">EFEITO!$L$290*EFEITO!$Z$290</f>
        <v>-158.94355321493614</v>
      </c>
      <c r="L290" s="56">
        <f>EFEITO!$N$290*EFEITO!$AA$290</f>
        <v>-18.242257218691673</v>
      </c>
      <c r="M290" s="56">
        <f>$J$290-EFEITO!$K$290*EFEITO!$Y$290</f>
        <v>0</v>
      </c>
      <c r="N290" s="56">
        <f ca="1">$K$290-EFEITO!$M$290*EFEITO!$Z$290</f>
        <v>0</v>
      </c>
      <c r="O290" s="56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35" t="s">
        <v>21</v>
      </c>
      <c r="B291" s="35" t="s">
        <v>22</v>
      </c>
      <c r="C291" s="35" t="s">
        <v>23</v>
      </c>
      <c r="D291" s="35" t="s">
        <v>24</v>
      </c>
      <c r="E291" s="35" t="s">
        <v>24</v>
      </c>
      <c r="F291" s="35" t="s">
        <v>25</v>
      </c>
      <c r="G291" s="35" t="s">
        <v>25</v>
      </c>
      <c r="H291" s="35" t="s">
        <v>25</v>
      </c>
      <c r="I291" s="55">
        <v>44470</v>
      </c>
      <c r="J291" s="56">
        <f>EFEITO!$J$291*EFEITO!$Y$291</f>
        <v>0</v>
      </c>
      <c r="K291" s="56">
        <f ca="1">EFEITO!$L$291*EFEITO!$Z$291</f>
        <v>1465899.7120198449</v>
      </c>
      <c r="L291" s="56">
        <f>EFEITO!$N$291*EFEITO!$AA$291</f>
        <v>168244.12857632746</v>
      </c>
      <c r="M291" s="56">
        <f>$J$291-EFEITO!$K$291*EFEITO!$Y$291</f>
        <v>0</v>
      </c>
      <c r="N291" s="56">
        <f ca="1">$K$291-EFEITO!$M$291*EFEITO!$Z$291</f>
        <v>0</v>
      </c>
      <c r="O291" s="56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35" t="s">
        <v>27</v>
      </c>
      <c r="B292" s="35" t="s">
        <v>22</v>
      </c>
      <c r="C292" s="35" t="s">
        <v>23</v>
      </c>
      <c r="D292" s="35" t="s">
        <v>24</v>
      </c>
      <c r="E292" s="35" t="s">
        <v>24</v>
      </c>
      <c r="F292" s="35" t="s">
        <v>25</v>
      </c>
      <c r="G292" s="35" t="s">
        <v>25</v>
      </c>
      <c r="H292" s="35" t="s">
        <v>25</v>
      </c>
      <c r="I292" s="55">
        <v>44470</v>
      </c>
      <c r="J292" s="56">
        <f>EFEITO!$J$292*EFEITO!$Y$292</f>
        <v>0</v>
      </c>
      <c r="K292" s="56">
        <f ca="1">EFEITO!$L$292*EFEITO!$Z$292</f>
        <v>-1299.3975098297983</v>
      </c>
      <c r="L292" s="56">
        <f>EFEITO!$N$292*EFEITO!$AA$292</f>
        <v>-149.13435068101356</v>
      </c>
      <c r="M292" s="56">
        <f>$J$292-EFEITO!$K$292*EFEITO!$Y$292</f>
        <v>0</v>
      </c>
      <c r="N292" s="56">
        <f ca="1">$K$292-EFEITO!$M$292*EFEITO!$Z$292</f>
        <v>0</v>
      </c>
      <c r="O292" s="56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35" t="s">
        <v>28</v>
      </c>
      <c r="B293" s="35" t="s">
        <v>22</v>
      </c>
      <c r="C293" s="35" t="s">
        <v>23</v>
      </c>
      <c r="D293" s="35" t="s">
        <v>24</v>
      </c>
      <c r="E293" s="35" t="s">
        <v>24</v>
      </c>
      <c r="F293" s="35" t="s">
        <v>25</v>
      </c>
      <c r="G293" s="35" t="s">
        <v>25</v>
      </c>
      <c r="H293" s="35" t="s">
        <v>25</v>
      </c>
      <c r="I293" s="55">
        <v>44470</v>
      </c>
      <c r="J293" s="56">
        <f>EFEITO!$J$293*EFEITO!$Y$293</f>
        <v>0</v>
      </c>
      <c r="K293" s="56">
        <f ca="1">EFEITO!$L$293*EFEITO!$Z$293</f>
        <v>22752.022472168806</v>
      </c>
      <c r="L293" s="56">
        <f>EFEITO!$N$293*EFEITO!$AA$293</f>
        <v>2611.2933666551125</v>
      </c>
      <c r="M293" s="56">
        <f>$J$293-EFEITO!$K$293*EFEITO!$Y$293</f>
        <v>0</v>
      </c>
      <c r="N293" s="56">
        <f ca="1">$K$293-EFEITO!$M$293*EFEITO!$Z$293</f>
        <v>0</v>
      </c>
      <c r="O293" s="56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35" t="s">
        <v>21</v>
      </c>
      <c r="B294" s="35" t="s">
        <v>22</v>
      </c>
      <c r="C294" s="35" t="s">
        <v>23</v>
      </c>
      <c r="D294" s="35" t="s">
        <v>24</v>
      </c>
      <c r="E294" s="35" t="s">
        <v>24</v>
      </c>
      <c r="F294" s="35" t="s">
        <v>25</v>
      </c>
      <c r="G294" s="35" t="s">
        <v>25</v>
      </c>
      <c r="H294" s="35" t="s">
        <v>25</v>
      </c>
      <c r="I294" s="55">
        <v>44501</v>
      </c>
      <c r="J294" s="56">
        <f>EFEITO!$J$294*EFEITO!$Y$294</f>
        <v>0</v>
      </c>
      <c r="K294" s="56">
        <f ca="1">EFEITO!$L$294*EFEITO!$Z$294</f>
        <v>1535312.5352958599</v>
      </c>
      <c r="L294" s="56">
        <f>EFEITO!$N$294*EFEITO!$AA$294</f>
        <v>176210.77177049548</v>
      </c>
      <c r="M294" s="56">
        <f>$J$294-EFEITO!$K$294*EFEITO!$Y$294</f>
        <v>0</v>
      </c>
      <c r="N294" s="56">
        <f ca="1">$K$294-EFEITO!$M$294*EFEITO!$Z$294</f>
        <v>0</v>
      </c>
      <c r="O294" s="56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35" t="s">
        <v>27</v>
      </c>
      <c r="B295" s="35" t="s">
        <v>22</v>
      </c>
      <c r="C295" s="35" t="s">
        <v>23</v>
      </c>
      <c r="D295" s="35" t="s">
        <v>24</v>
      </c>
      <c r="E295" s="35" t="s">
        <v>24</v>
      </c>
      <c r="F295" s="35" t="s">
        <v>25</v>
      </c>
      <c r="G295" s="35" t="s">
        <v>25</v>
      </c>
      <c r="H295" s="35" t="s">
        <v>25</v>
      </c>
      <c r="I295" s="55">
        <v>44501</v>
      </c>
      <c r="J295" s="56">
        <f>EFEITO!$J$295*EFEITO!$Y$295</f>
        <v>0</v>
      </c>
      <c r="K295" s="56">
        <f ca="1">EFEITO!$L$295*EFEITO!$Z$295</f>
        <v>-859.92537765003908</v>
      </c>
      <c r="L295" s="56">
        <f>EFEITO!$N$295*EFEITO!$AA$295</f>
        <v>-98.695289054972903</v>
      </c>
      <c r="M295" s="56">
        <f>$J$295-EFEITO!$K$295*EFEITO!$Y$295</f>
        <v>0</v>
      </c>
      <c r="N295" s="56">
        <f ca="1">$K$295-EFEITO!$M$295*EFEITO!$Z$295</f>
        <v>0</v>
      </c>
      <c r="O295" s="56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35" t="s">
        <v>28</v>
      </c>
      <c r="B296" s="35" t="s">
        <v>22</v>
      </c>
      <c r="C296" s="35" t="s">
        <v>23</v>
      </c>
      <c r="D296" s="35" t="s">
        <v>24</v>
      </c>
      <c r="E296" s="35" t="s">
        <v>24</v>
      </c>
      <c r="F296" s="35" t="s">
        <v>25</v>
      </c>
      <c r="G296" s="35" t="s">
        <v>25</v>
      </c>
      <c r="H296" s="35" t="s">
        <v>25</v>
      </c>
      <c r="I296" s="55">
        <v>44501</v>
      </c>
      <c r="J296" s="56">
        <f>EFEITO!$J$296*EFEITO!$Y$296</f>
        <v>0</v>
      </c>
      <c r="K296" s="56">
        <f ca="1">EFEITO!$L$296*EFEITO!$Z$296</f>
        <v>18704.395832819213</v>
      </c>
      <c r="L296" s="56">
        <f>EFEITO!$N$296*EFEITO!$AA$296</f>
        <v>2146.7394744919343</v>
      </c>
      <c r="M296" s="56">
        <f>$J$296-EFEITO!$K$296*EFEITO!$Y$296</f>
        <v>0</v>
      </c>
      <c r="N296" s="56">
        <f ca="1">$K$296-EFEITO!$M$296*EFEITO!$Z$296</f>
        <v>0</v>
      </c>
      <c r="O296" s="56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35" t="s">
        <v>21</v>
      </c>
      <c r="B297" s="35" t="s">
        <v>22</v>
      </c>
      <c r="C297" s="35" t="s">
        <v>23</v>
      </c>
      <c r="D297" s="35" t="s">
        <v>24</v>
      </c>
      <c r="E297" s="35" t="s">
        <v>24</v>
      </c>
      <c r="F297" s="35" t="s">
        <v>25</v>
      </c>
      <c r="G297" s="35" t="s">
        <v>25</v>
      </c>
      <c r="H297" s="35" t="s">
        <v>25</v>
      </c>
      <c r="I297" s="55">
        <v>44531</v>
      </c>
      <c r="J297" s="56">
        <f>EFEITO!$J$297*EFEITO!$Y$297</f>
        <v>0</v>
      </c>
      <c r="K297" s="56">
        <f ca="1">EFEITO!$L$297*EFEITO!$Z$297</f>
        <v>1517840.2916234334</v>
      </c>
      <c r="L297" s="56">
        <f>EFEITO!$N$297*EFEITO!$AA$297</f>
        <v>174205.44876863051</v>
      </c>
      <c r="M297" s="56">
        <f>$J$297-EFEITO!$K$297*EFEITO!$Y$297</f>
        <v>0</v>
      </c>
      <c r="N297" s="56">
        <f ca="1">$K$297-EFEITO!$M$297*EFEITO!$Z$297</f>
        <v>0</v>
      </c>
      <c r="O297" s="56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35" t="s">
        <v>27</v>
      </c>
      <c r="B298" s="35" t="s">
        <v>22</v>
      </c>
      <c r="C298" s="35" t="s">
        <v>23</v>
      </c>
      <c r="D298" s="35" t="s">
        <v>24</v>
      </c>
      <c r="E298" s="35" t="s">
        <v>24</v>
      </c>
      <c r="F298" s="35" t="s">
        <v>25</v>
      </c>
      <c r="G298" s="35" t="s">
        <v>25</v>
      </c>
      <c r="H298" s="35" t="s">
        <v>25</v>
      </c>
      <c r="I298" s="55">
        <v>44531</v>
      </c>
      <c r="J298" s="56">
        <f>EFEITO!$J$298*EFEITO!$Y$298</f>
        <v>0</v>
      </c>
      <c r="K298" s="56">
        <f ca="1">EFEITO!$L$298*EFEITO!$Z$298</f>
        <v>-74646.41335089154</v>
      </c>
      <c r="L298" s="56">
        <f>EFEITO!$N$298*EFEITO!$AA$298</f>
        <v>-8567.3123901937615</v>
      </c>
      <c r="M298" s="56">
        <f>$J$298-EFEITO!$K$298*EFEITO!$Y$298</f>
        <v>0</v>
      </c>
      <c r="N298" s="56">
        <f ca="1">$K$298-EFEITO!$M$298*EFEITO!$Z$298</f>
        <v>0</v>
      </c>
      <c r="O298" s="56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35" t="s">
        <v>28</v>
      </c>
      <c r="B299" s="35" t="s">
        <v>22</v>
      </c>
      <c r="C299" s="35" t="s">
        <v>23</v>
      </c>
      <c r="D299" s="35" t="s">
        <v>24</v>
      </c>
      <c r="E299" s="35" t="s">
        <v>24</v>
      </c>
      <c r="F299" s="35" t="s">
        <v>25</v>
      </c>
      <c r="G299" s="35" t="s">
        <v>25</v>
      </c>
      <c r="H299" s="35" t="s">
        <v>25</v>
      </c>
      <c r="I299" s="55">
        <v>44531</v>
      </c>
      <c r="J299" s="56">
        <f>EFEITO!$J$299*EFEITO!$Y$299</f>
        <v>0</v>
      </c>
      <c r="K299" s="56">
        <f ca="1">EFEITO!$L$299*EFEITO!$Z$299</f>
        <v>19119.415110658214</v>
      </c>
      <c r="L299" s="56">
        <f>EFEITO!$N$299*EFEITO!$AA$299</f>
        <v>2194.3720350074068</v>
      </c>
      <c r="M299" s="56">
        <f>$J$299-EFEITO!$K$299*EFEITO!$Y$299</f>
        <v>0</v>
      </c>
      <c r="N299" s="56">
        <f ca="1">$K$299-EFEITO!$M$299*EFEITO!$Z$299</f>
        <v>0</v>
      </c>
      <c r="O299" s="56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35" t="s">
        <v>21</v>
      </c>
      <c r="B300" s="35" t="s">
        <v>22</v>
      </c>
      <c r="C300" s="35" t="s">
        <v>23</v>
      </c>
      <c r="D300" s="35" t="s">
        <v>24</v>
      </c>
      <c r="E300" s="35" t="s">
        <v>24</v>
      </c>
      <c r="F300" s="35" t="s">
        <v>25</v>
      </c>
      <c r="G300" s="35" t="s">
        <v>25</v>
      </c>
      <c r="H300" s="35" t="s">
        <v>25</v>
      </c>
      <c r="I300" s="55">
        <v>44562</v>
      </c>
      <c r="J300" s="56">
        <f>EFEITO!$J$300*EFEITO!$Y$300</f>
        <v>0</v>
      </c>
      <c r="K300" s="56">
        <f ca="1">EFEITO!$L$300*EFEITO!$Z$300</f>
        <v>2118735.9039958538</v>
      </c>
      <c r="L300" s="56">
        <f>EFEITO!$N$300*EFEITO!$AA$300</f>
        <v>243171.39360099292</v>
      </c>
      <c r="M300" s="56">
        <f>$J$300-EFEITO!$K$300*EFEITO!$Y$300</f>
        <v>0</v>
      </c>
      <c r="N300" s="56">
        <f ca="1">$K$300-EFEITO!$M$300*EFEITO!$Z$300</f>
        <v>0</v>
      </c>
      <c r="O300" s="56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35" t="s">
        <v>27</v>
      </c>
      <c r="B301" s="35" t="s">
        <v>22</v>
      </c>
      <c r="C301" s="35" t="s">
        <v>23</v>
      </c>
      <c r="D301" s="35" t="s">
        <v>24</v>
      </c>
      <c r="E301" s="35" t="s">
        <v>24</v>
      </c>
      <c r="F301" s="35" t="s">
        <v>25</v>
      </c>
      <c r="G301" s="35" t="s">
        <v>25</v>
      </c>
      <c r="H301" s="35" t="s">
        <v>25</v>
      </c>
      <c r="I301" s="55">
        <v>44562</v>
      </c>
      <c r="J301" s="56">
        <f>EFEITO!$J$301*EFEITO!$Y$301</f>
        <v>0</v>
      </c>
      <c r="K301" s="56">
        <f ca="1">EFEITO!$L$301*EFEITO!$Z$301</f>
        <v>-533.20807381933696</v>
      </c>
      <c r="L301" s="56">
        <f>EFEITO!$N$301*EFEITO!$AA$301</f>
        <v>-61.197315883217797</v>
      </c>
      <c r="M301" s="56">
        <f>$J$301-EFEITO!$K$301*EFEITO!$Y$301</f>
        <v>0</v>
      </c>
      <c r="N301" s="56">
        <f ca="1">$K$301-EFEITO!$M$301*EFEITO!$Z$301</f>
        <v>0</v>
      </c>
      <c r="O301" s="56">
        <f>$L$301-EFEITO!$O$301*EFEITO!$AA$301</f>
        <v>0</v>
      </c>
      <c r="P301" s="39"/>
      <c r="Q301" s="39"/>
      <c r="R301" s="39"/>
      <c r="S301" s="39"/>
      <c r="T301" s="39"/>
      <c r="U301" s="39"/>
      <c r="V301" s="39"/>
      <c r="W301" s="39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35" t="s">
        <v>28</v>
      </c>
      <c r="B302" s="35" t="s">
        <v>22</v>
      </c>
      <c r="C302" s="35" t="s">
        <v>23</v>
      </c>
      <c r="D302" s="35" t="s">
        <v>24</v>
      </c>
      <c r="E302" s="35" t="s">
        <v>24</v>
      </c>
      <c r="F302" s="35" t="s">
        <v>25</v>
      </c>
      <c r="G302" s="35" t="s">
        <v>25</v>
      </c>
      <c r="H302" s="35" t="s">
        <v>25</v>
      </c>
      <c r="I302" s="55">
        <v>44562</v>
      </c>
      <c r="J302" s="56">
        <f>EFEITO!$J$302*EFEITO!$Y$302</f>
        <v>0</v>
      </c>
      <c r="K302" s="56">
        <f ca="1">EFEITO!$L$302*EFEITO!$Z$302</f>
        <v>27025.838014170418</v>
      </c>
      <c r="L302" s="56">
        <f>EFEITO!$N$302*EFEITO!$AA$302</f>
        <v>3101.807394091044</v>
      </c>
      <c r="M302" s="56">
        <f>$J$302-EFEITO!$K$302*EFEITO!$Y$302</f>
        <v>0</v>
      </c>
      <c r="N302" s="56">
        <f ca="1">$K$302-EFEITO!$M$302*EFEITO!$Z$302</f>
        <v>0</v>
      </c>
      <c r="O302" s="56">
        <f>$L$302-EFEITO!$O$302*EFEITO!$AA$302</f>
        <v>0</v>
      </c>
      <c r="P302" s="39"/>
      <c r="Q302" s="39"/>
      <c r="R302" s="39"/>
      <c r="S302" s="39"/>
      <c r="T302" s="39"/>
      <c r="U302" s="39"/>
      <c r="V302" s="39"/>
      <c r="W302" s="39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35" t="s">
        <v>21</v>
      </c>
      <c r="B303" s="35" t="s">
        <v>22</v>
      </c>
      <c r="C303" s="35" t="s">
        <v>23</v>
      </c>
      <c r="D303" s="35" t="s">
        <v>24</v>
      </c>
      <c r="E303" s="35" t="s">
        <v>24</v>
      </c>
      <c r="F303" s="35" t="s">
        <v>25</v>
      </c>
      <c r="G303" s="35" t="s">
        <v>25</v>
      </c>
      <c r="H303" s="35" t="s">
        <v>25</v>
      </c>
      <c r="I303" s="55">
        <v>44593</v>
      </c>
      <c r="J303" s="56">
        <f>EFEITO!$J$303*EFEITO!$Y$303</f>
        <v>0</v>
      </c>
      <c r="K303" s="56">
        <f ca="1">EFEITO!$L$303*EFEITO!$Z$303</f>
        <v>2207920.2184982807</v>
      </c>
      <c r="L303" s="56">
        <f>EFEITO!$N$303*EFEITO!$AA$303</f>
        <v>253407.24885978352</v>
      </c>
      <c r="M303" s="56">
        <f>$J$303-EFEITO!$K$303*EFEITO!$Y$303</f>
        <v>0</v>
      </c>
      <c r="N303" s="56">
        <f ca="1">$K$303-EFEITO!$M$303*EFEITO!$Z$303</f>
        <v>0</v>
      </c>
      <c r="O303" s="56">
        <f>$L$303-EFEITO!$O$303*EFEITO!$AA$303</f>
        <v>0</v>
      </c>
      <c r="P303" s="39"/>
      <c r="Q303" s="39"/>
      <c r="R303" s="39"/>
      <c r="S303" s="39"/>
      <c r="T303" s="39"/>
      <c r="U303" s="39"/>
      <c r="V303" s="39"/>
      <c r="W303" s="39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35" t="s">
        <v>27</v>
      </c>
      <c r="B304" s="35" t="s">
        <v>22</v>
      </c>
      <c r="C304" s="35" t="s">
        <v>23</v>
      </c>
      <c r="D304" s="35" t="s">
        <v>24</v>
      </c>
      <c r="E304" s="35" t="s">
        <v>24</v>
      </c>
      <c r="F304" s="35" t="s">
        <v>25</v>
      </c>
      <c r="G304" s="35" t="s">
        <v>25</v>
      </c>
      <c r="H304" s="35" t="s">
        <v>25</v>
      </c>
      <c r="I304" s="55">
        <v>44593</v>
      </c>
      <c r="J304" s="56">
        <f>EFEITO!$J$304*EFEITO!$Y$304</f>
        <v>0</v>
      </c>
      <c r="K304" s="56">
        <f ca="1">EFEITO!$L$304*EFEITO!$Z$304</f>
        <v>-576.00056891566589</v>
      </c>
      <c r="L304" s="56">
        <f>EFEITO!$N$304*EFEITO!$AA$304</f>
        <v>-66.108692826711703</v>
      </c>
      <c r="M304" s="56">
        <f>$J$304-EFEITO!$K$304*EFEITO!$Y$304</f>
        <v>0</v>
      </c>
      <c r="N304" s="56">
        <f ca="1">$K$304-EFEITO!$M$304*EFEITO!$Z$304</f>
        <v>0</v>
      </c>
      <c r="O304" s="56">
        <f>$L$304-EFEITO!$O$304*EFEITO!$AA$304</f>
        <v>0</v>
      </c>
      <c r="P304" s="39"/>
      <c r="Q304" s="39"/>
      <c r="R304" s="39"/>
      <c r="S304" s="39"/>
      <c r="T304" s="39"/>
      <c r="U304" s="39"/>
      <c r="V304" s="39"/>
      <c r="W304" s="39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35" t="s">
        <v>21</v>
      </c>
      <c r="B305" s="35" t="s">
        <v>22</v>
      </c>
      <c r="C305" s="35" t="s">
        <v>23</v>
      </c>
      <c r="D305" s="35" t="s">
        <v>24</v>
      </c>
      <c r="E305" s="35" t="s">
        <v>24</v>
      </c>
      <c r="F305" s="35" t="s">
        <v>25</v>
      </c>
      <c r="G305" s="35" t="s">
        <v>25</v>
      </c>
      <c r="H305" s="35" t="s">
        <v>25</v>
      </c>
      <c r="I305" s="55">
        <v>44621</v>
      </c>
      <c r="J305" s="56">
        <f>EFEITO!$J$305*EFEITO!$Y$305</f>
        <v>0</v>
      </c>
      <c r="K305" s="56">
        <f ca="1">EFEITO!$L$305*EFEITO!$Z$305</f>
        <v>2097444.2603245918</v>
      </c>
      <c r="L305" s="56">
        <f>EFEITO!$N$305*EFEITO!$AA$305</f>
        <v>240727.71071733005</v>
      </c>
      <c r="M305" s="56">
        <f>$J$305-EFEITO!$K$305*EFEITO!$Y$305</f>
        <v>0</v>
      </c>
      <c r="N305" s="56">
        <f ca="1">$K$305-EFEITO!$M$305*EFEITO!$Z$305</f>
        <v>0</v>
      </c>
      <c r="O305" s="56">
        <f>$L$305-EFEITO!$O$305*EFEITO!$AA$305</f>
        <v>0</v>
      </c>
      <c r="P305" s="39"/>
      <c r="Q305" s="39"/>
      <c r="R305" s="39"/>
      <c r="S305" s="39"/>
      <c r="T305" s="39"/>
      <c r="U305" s="39"/>
      <c r="V305" s="39"/>
      <c r="W305" s="39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35" t="s">
        <v>27</v>
      </c>
      <c r="B306" s="35" t="s">
        <v>22</v>
      </c>
      <c r="C306" s="35" t="s">
        <v>23</v>
      </c>
      <c r="D306" s="35" t="s">
        <v>24</v>
      </c>
      <c r="E306" s="35" t="s">
        <v>24</v>
      </c>
      <c r="F306" s="35" t="s">
        <v>25</v>
      </c>
      <c r="G306" s="35" t="s">
        <v>25</v>
      </c>
      <c r="H306" s="35" t="s">
        <v>25</v>
      </c>
      <c r="I306" s="55">
        <v>44621</v>
      </c>
      <c r="J306" s="56">
        <f>EFEITO!$J$306*EFEITO!$Y$306</f>
        <v>0</v>
      </c>
      <c r="K306" s="56">
        <f ca="1">EFEITO!$L$306*EFEITO!$Z$306</f>
        <v>-684.00067558735327</v>
      </c>
      <c r="L306" s="56">
        <f>EFEITO!$N$306*EFEITO!$AA$306</f>
        <v>-78.504072731720143</v>
      </c>
      <c r="M306" s="56">
        <f>$J$306-EFEITO!$K$306*EFEITO!$Y$306</f>
        <v>0</v>
      </c>
      <c r="N306" s="56">
        <f ca="1">$K$306-EFEITO!$M$306*EFEITO!$Z$306</f>
        <v>0</v>
      </c>
      <c r="O306" s="56">
        <f>$L$306-EFEITO!$O$306*EFEITO!$AA$306</f>
        <v>0</v>
      </c>
      <c r="P306" s="39"/>
      <c r="Q306" s="39"/>
      <c r="R306" s="39"/>
      <c r="S306" s="39"/>
      <c r="T306" s="39"/>
      <c r="U306" s="39"/>
      <c r="V306" s="39"/>
      <c r="W306" s="39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35" t="s">
        <v>28</v>
      </c>
      <c r="B307" s="35" t="s">
        <v>22</v>
      </c>
      <c r="C307" s="35" t="s">
        <v>23</v>
      </c>
      <c r="D307" s="35" t="s">
        <v>24</v>
      </c>
      <c r="E307" s="35" t="s">
        <v>24</v>
      </c>
      <c r="F307" s="35" t="s">
        <v>25</v>
      </c>
      <c r="G307" s="35" t="s">
        <v>25</v>
      </c>
      <c r="H307" s="35" t="s">
        <v>25</v>
      </c>
      <c r="I307" s="55">
        <v>44621</v>
      </c>
      <c r="J307" s="56">
        <f>EFEITO!$J$307*EFEITO!$Y$307</f>
        <v>0</v>
      </c>
      <c r="K307" s="56">
        <f ca="1">EFEITO!$L$307*EFEITO!$Z$307</f>
        <v>36352.564207308402</v>
      </c>
      <c r="L307" s="56">
        <f>EFEITO!$N$307*EFEITO!$AA$307</f>
        <v>4172.2536926801695</v>
      </c>
      <c r="M307" s="56">
        <f>$J$307-EFEITO!$K$307*EFEITO!$Y$307</f>
        <v>0</v>
      </c>
      <c r="N307" s="56">
        <f ca="1">$K$307-EFEITO!$M$307*EFEITO!$Z$307</f>
        <v>0</v>
      </c>
      <c r="O307" s="56">
        <f>$L$307-EFEITO!$O$307*EFEITO!$AA$307</f>
        <v>0</v>
      </c>
      <c r="P307" s="39"/>
      <c r="Q307" s="39"/>
      <c r="R307" s="39"/>
      <c r="S307" s="39"/>
      <c r="T307" s="39"/>
      <c r="U307" s="39"/>
      <c r="V307" s="39"/>
      <c r="W307" s="39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35" t="s">
        <v>21</v>
      </c>
      <c r="B308" s="35" t="s">
        <v>22</v>
      </c>
      <c r="C308" s="35" t="s">
        <v>23</v>
      </c>
      <c r="D308" s="35" t="s">
        <v>24</v>
      </c>
      <c r="E308" s="35" t="s">
        <v>24</v>
      </c>
      <c r="F308" s="35" t="s">
        <v>25</v>
      </c>
      <c r="G308" s="35" t="s">
        <v>25</v>
      </c>
      <c r="H308" s="35" t="s">
        <v>25</v>
      </c>
      <c r="I308" s="55">
        <v>44652</v>
      </c>
      <c r="J308" s="56">
        <f>EFEITO!$J$308*EFEITO!$Y$308</f>
        <v>0</v>
      </c>
      <c r="K308" s="56">
        <f ca="1">EFEITO!$L$308*EFEITO!$Z$308</f>
        <v>1624244.849549386</v>
      </c>
      <c r="L308" s="56">
        <f>EFEITO!$N$308*EFEITO!$AA$308</f>
        <v>186417.70447617437</v>
      </c>
      <c r="M308" s="56">
        <f>$J$308-EFEITO!$K$308*EFEITO!$Y$308</f>
        <v>0</v>
      </c>
      <c r="N308" s="56">
        <f ca="1">$K$308-EFEITO!$M$308*EFEITO!$Z$308</f>
        <v>0</v>
      </c>
      <c r="O308" s="56">
        <f>$L$308-EFEITO!$O$308*EFEITO!$AA$308</f>
        <v>0</v>
      </c>
      <c r="P308" s="39"/>
      <c r="Q308" s="39"/>
      <c r="R308" s="39"/>
      <c r="S308" s="39"/>
      <c r="T308" s="39"/>
      <c r="U308" s="39"/>
      <c r="V308" s="39"/>
      <c r="W308" s="39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35" t="s">
        <v>27</v>
      </c>
      <c r="B309" s="35" t="s">
        <v>22</v>
      </c>
      <c r="C309" s="35" t="s">
        <v>23</v>
      </c>
      <c r="D309" s="35" t="s">
        <v>24</v>
      </c>
      <c r="E309" s="35" t="s">
        <v>24</v>
      </c>
      <c r="F309" s="35" t="s">
        <v>25</v>
      </c>
      <c r="G309" s="35" t="s">
        <v>25</v>
      </c>
      <c r="H309" s="35" t="s">
        <v>25</v>
      </c>
      <c r="I309" s="55">
        <v>44652</v>
      </c>
      <c r="J309" s="56">
        <f>EFEITO!$J$309*EFEITO!$Y$309</f>
        <v>0</v>
      </c>
      <c r="K309" s="56">
        <f ca="1">EFEITO!$L$309*EFEITO!$Z$309</f>
        <v>-967.92548432172646</v>
      </c>
      <c r="L309" s="56">
        <f>EFEITO!$N$309*EFEITO!$AA$309</f>
        <v>-111.09066895998134</v>
      </c>
      <c r="M309" s="56">
        <f>$J$309-EFEITO!$K$309*EFEITO!$Y$309</f>
        <v>0</v>
      </c>
      <c r="N309" s="56">
        <f ca="1">$K$309-EFEITO!$M$309*EFEITO!$Z$309</f>
        <v>0</v>
      </c>
      <c r="O309" s="56">
        <f>$L$309-EFEITO!$O$309*EFEITO!$AA$309</f>
        <v>0</v>
      </c>
      <c r="P309" s="39"/>
      <c r="Q309" s="39"/>
      <c r="R309" s="39"/>
      <c r="S309" s="39"/>
      <c r="T309" s="39"/>
      <c r="U309" s="39"/>
      <c r="V309" s="39"/>
      <c r="W309" s="39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35" t="s">
        <v>28</v>
      </c>
      <c r="B310" s="35" t="s">
        <v>22</v>
      </c>
      <c r="C310" s="35" t="s">
        <v>23</v>
      </c>
      <c r="D310" s="35" t="s">
        <v>24</v>
      </c>
      <c r="E310" s="35" t="s">
        <v>24</v>
      </c>
      <c r="F310" s="35" t="s">
        <v>25</v>
      </c>
      <c r="G310" s="35" t="s">
        <v>25</v>
      </c>
      <c r="H310" s="35" t="s">
        <v>25</v>
      </c>
      <c r="I310" s="55">
        <v>44652</v>
      </c>
      <c r="J310" s="56">
        <f>EFEITO!$J$310*EFEITO!$Y$310</f>
        <v>0</v>
      </c>
      <c r="K310" s="56">
        <f ca="1">EFEITO!$L$310*EFEITO!$Z$310</f>
        <v>30099.425955613096</v>
      </c>
      <c r="L310" s="56">
        <f>EFEITO!$N$310*EFEITO!$AA$310</f>
        <v>3454.5689920165992</v>
      </c>
      <c r="M310" s="56">
        <f>$J$310-EFEITO!$K$310*EFEITO!$Y$310</f>
        <v>0</v>
      </c>
      <c r="N310" s="56">
        <f ca="1">$K$310-EFEITO!$M$310*EFEITO!$Z$310</f>
        <v>0</v>
      </c>
      <c r="O310" s="56">
        <f>$L$310-EFEITO!$O$310*EFEITO!$AA$310</f>
        <v>0</v>
      </c>
      <c r="P310" s="39"/>
      <c r="Q310" s="39"/>
      <c r="R310" s="39"/>
      <c r="S310" s="39"/>
      <c r="T310" s="39"/>
      <c r="U310" s="39"/>
      <c r="V310" s="39"/>
      <c r="W310" s="39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35" t="s">
        <v>21</v>
      </c>
      <c r="B311" s="35" t="s">
        <v>22</v>
      </c>
      <c r="C311" s="35" t="s">
        <v>23</v>
      </c>
      <c r="D311" s="35" t="s">
        <v>24</v>
      </c>
      <c r="E311" s="35" t="s">
        <v>24</v>
      </c>
      <c r="F311" s="35" t="s">
        <v>25</v>
      </c>
      <c r="G311" s="35" t="s">
        <v>25</v>
      </c>
      <c r="H311" s="35" t="s">
        <v>25</v>
      </c>
      <c r="I311" s="55">
        <v>44682</v>
      </c>
      <c r="J311" s="56">
        <f>EFEITO!$J$311*EFEITO!$Y$311</f>
        <v>0</v>
      </c>
      <c r="K311" s="56">
        <f ca="1">EFEITO!$L$311*EFEITO!$Z$311</f>
        <v>1496982.0068707655</v>
      </c>
      <c r="L311" s="56">
        <f>EFEITO!$N$311*EFEITO!$AA$311</f>
        <v>171811.50332131603</v>
      </c>
      <c r="M311" s="56">
        <f>$J$311-EFEITO!$K$311*EFEITO!$Y$311</f>
        <v>0</v>
      </c>
      <c r="N311" s="56">
        <f ca="1">$K$311-EFEITO!$M$311*EFEITO!$Z$311</f>
        <v>0</v>
      </c>
      <c r="O311" s="56">
        <f>$L$311-EFEITO!$O$311*EFEITO!$AA$311</f>
        <v>0</v>
      </c>
      <c r="P311" s="39"/>
      <c r="Q311" s="39"/>
      <c r="R311" s="39"/>
      <c r="S311" s="39"/>
      <c r="T311" s="39"/>
      <c r="U311" s="39"/>
      <c r="V311" s="39"/>
      <c r="W311" s="39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35" t="s">
        <v>27</v>
      </c>
      <c r="B312" s="35" t="s">
        <v>22</v>
      </c>
      <c r="C312" s="35" t="s">
        <v>23</v>
      </c>
      <c r="D312" s="35" t="s">
        <v>24</v>
      </c>
      <c r="E312" s="35" t="s">
        <v>24</v>
      </c>
      <c r="F312" s="35" t="s">
        <v>25</v>
      </c>
      <c r="G312" s="35" t="s">
        <v>25</v>
      </c>
      <c r="H312" s="35" t="s">
        <v>25</v>
      </c>
      <c r="I312" s="55">
        <v>44682</v>
      </c>
      <c r="J312" s="56">
        <f>EFEITO!$J$312*EFEITO!$Y$312</f>
        <v>0</v>
      </c>
      <c r="K312" s="56">
        <f ca="1">EFEITO!$L$312*EFEITO!$Z$312</f>
        <v>-59.094397990168552</v>
      </c>
      <c r="L312" s="56">
        <f>EFEITO!$N$312*EFEITO!$AA$312</f>
        <v>-6.7823776838725447</v>
      </c>
      <c r="M312" s="56">
        <f>$J$312-EFEITO!$K$312*EFEITO!$Y$312</f>
        <v>0</v>
      </c>
      <c r="N312" s="56">
        <f ca="1">$K$312-EFEITO!$M$312*EFEITO!$Z$312</f>
        <v>0</v>
      </c>
      <c r="O312" s="56">
        <f>$L$312-EFEITO!$O$312*EFEITO!$AA$312</f>
        <v>0</v>
      </c>
      <c r="P312" s="39"/>
      <c r="Q312" s="39"/>
      <c r="R312" s="39"/>
      <c r="S312" s="39"/>
      <c r="T312" s="39"/>
      <c r="U312" s="39"/>
      <c r="V312" s="39"/>
      <c r="W312" s="39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35" t="s">
        <v>28</v>
      </c>
      <c r="B313" s="35" t="s">
        <v>22</v>
      </c>
      <c r="C313" s="35" t="s">
        <v>23</v>
      </c>
      <c r="D313" s="35" t="s">
        <v>24</v>
      </c>
      <c r="E313" s="35" t="s">
        <v>24</v>
      </c>
      <c r="F313" s="35" t="s">
        <v>25</v>
      </c>
      <c r="G313" s="35" t="s">
        <v>25</v>
      </c>
      <c r="H313" s="35" t="s">
        <v>25</v>
      </c>
      <c r="I313" s="55">
        <v>44682</v>
      </c>
      <c r="J313" s="56">
        <f>EFEITO!$J$313*EFEITO!$Y$313</f>
        <v>0</v>
      </c>
      <c r="K313" s="56">
        <f ca="1">EFEITO!$L$313*EFEITO!$Z$313</f>
        <v>25822.89342979584</v>
      </c>
      <c r="L313" s="56">
        <f>EFEITO!$N$313*EFEITO!$AA$313</f>
        <v>2963.7431311239375</v>
      </c>
      <c r="M313" s="56">
        <f>$J$313-EFEITO!$K$313*EFEITO!$Y$313</f>
        <v>0</v>
      </c>
      <c r="N313" s="56">
        <f ca="1">$K$313-EFEITO!$M$313*EFEITO!$Z$313</f>
        <v>0</v>
      </c>
      <c r="O313" s="56">
        <f>$L$313-EFEITO!$O$313*EFEITO!$AA$313</f>
        <v>0</v>
      </c>
      <c r="P313" s="39"/>
      <c r="Q313" s="39"/>
      <c r="R313" s="39"/>
      <c r="S313" s="39"/>
      <c r="T313" s="39"/>
      <c r="U313" s="39"/>
      <c r="V313" s="39"/>
      <c r="W313" s="39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35" t="s">
        <v>21</v>
      </c>
      <c r="B314" s="35" t="s">
        <v>22</v>
      </c>
      <c r="C314" s="35" t="s">
        <v>23</v>
      </c>
      <c r="D314" s="35" t="s">
        <v>24</v>
      </c>
      <c r="E314" s="35" t="s">
        <v>24</v>
      </c>
      <c r="F314" s="35" t="s">
        <v>25</v>
      </c>
      <c r="G314" s="35" t="s">
        <v>25</v>
      </c>
      <c r="H314" s="35" t="s">
        <v>25</v>
      </c>
      <c r="I314" s="55">
        <v>44713</v>
      </c>
      <c r="J314" s="56">
        <f>EFEITO!$J$314*EFEITO!$Y$314</f>
        <v>0</v>
      </c>
      <c r="K314" s="56">
        <f ca="1">EFEITO!$L$314*EFEITO!$Z$314</f>
        <v>1531424.5314556789</v>
      </c>
      <c r="L314" s="56">
        <f>EFEITO!$N$314*EFEITO!$AA$314</f>
        <v>175764.53809391518</v>
      </c>
      <c r="M314" s="56">
        <f>$J$314-EFEITO!$K$314*EFEITO!$Y$314</f>
        <v>0</v>
      </c>
      <c r="N314" s="56">
        <f ca="1">$K$314-EFEITO!$M$314*EFEITO!$Z$314</f>
        <v>0</v>
      </c>
      <c r="O314" s="56">
        <f>$L$314-EFEITO!$O$314*EFEITO!$AA$314</f>
        <v>0</v>
      </c>
      <c r="P314" s="39"/>
      <c r="Q314" s="39"/>
      <c r="R314" s="39"/>
      <c r="S314" s="39"/>
      <c r="T314" s="39"/>
      <c r="U314" s="39"/>
      <c r="V314" s="39"/>
      <c r="W314" s="39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35" t="s">
        <v>27</v>
      </c>
      <c r="B315" s="35" t="s">
        <v>22</v>
      </c>
      <c r="C315" s="35" t="s">
        <v>23</v>
      </c>
      <c r="D315" s="35" t="s">
        <v>24</v>
      </c>
      <c r="E315" s="35" t="s">
        <v>24</v>
      </c>
      <c r="F315" s="35" t="s">
        <v>25</v>
      </c>
      <c r="G315" s="35" t="s">
        <v>25</v>
      </c>
      <c r="H315" s="35" t="s">
        <v>25</v>
      </c>
      <c r="I315" s="55">
        <v>44713</v>
      </c>
      <c r="J315" s="56">
        <f>EFEITO!$J$315*EFEITO!$Y$315</f>
        <v>0</v>
      </c>
      <c r="K315" s="56">
        <f ca="1">EFEITO!$L$315*EFEITO!$Z$315</f>
        <v>-1010.7179794180553</v>
      </c>
      <c r="L315" s="56">
        <f>EFEITO!$N$315*EFEITO!$AA$315</f>
        <v>-116.00204590347525</v>
      </c>
      <c r="M315" s="56">
        <f>$J$315-EFEITO!$K$315*EFEITO!$Y$315</f>
        <v>0</v>
      </c>
      <c r="N315" s="56">
        <f ca="1">$K$315-EFEITO!$M$315*EFEITO!$Z$315</f>
        <v>0</v>
      </c>
      <c r="O315" s="56">
        <f>$L$315-EFEITO!$O$315*EFEITO!$AA$315</f>
        <v>0</v>
      </c>
      <c r="P315" s="39"/>
      <c r="Q315" s="39"/>
      <c r="R315" s="39"/>
      <c r="S315" s="39"/>
      <c r="T315" s="39"/>
      <c r="U315" s="39"/>
      <c r="V315" s="39"/>
      <c r="W315" s="39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35" t="s">
        <v>28</v>
      </c>
      <c r="B316" s="35" t="s">
        <v>22</v>
      </c>
      <c r="C316" s="35" t="s">
        <v>23</v>
      </c>
      <c r="D316" s="35" t="s">
        <v>24</v>
      </c>
      <c r="E316" s="35" t="s">
        <v>24</v>
      </c>
      <c r="F316" s="35" t="s">
        <v>25</v>
      </c>
      <c r="G316" s="35" t="s">
        <v>25</v>
      </c>
      <c r="H316" s="35" t="s">
        <v>25</v>
      </c>
      <c r="I316" s="55">
        <v>44713</v>
      </c>
      <c r="J316" s="56">
        <f>EFEITO!$J$316*EFEITO!$Y$316</f>
        <v>0</v>
      </c>
      <c r="K316" s="56">
        <f ca="1">EFEITO!$L$316*EFEITO!$Z$316</f>
        <v>37992.943186001008</v>
      </c>
      <c r="L316" s="56">
        <f>EFEITO!$N$316*EFEITO!$AA$316</f>
        <v>4360.5231421807694</v>
      </c>
      <c r="M316" s="56">
        <f>$J$316-EFEITO!$K$316*EFEITO!$Y$316</f>
        <v>0</v>
      </c>
      <c r="N316" s="56">
        <f ca="1">$K$316-EFEITO!$M$316*EFEITO!$Z$316</f>
        <v>0</v>
      </c>
      <c r="O316" s="56">
        <f>$L$316-EFEITO!$O$316*EFEITO!$AA$316</f>
        <v>0</v>
      </c>
      <c r="P316" s="39"/>
      <c r="Q316" s="39"/>
      <c r="R316" s="39"/>
      <c r="S316" s="39"/>
      <c r="T316" s="39"/>
      <c r="U316" s="39"/>
      <c r="V316" s="39"/>
      <c r="W316" s="39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35" t="s">
        <v>21</v>
      </c>
      <c r="B317" s="35" t="s">
        <v>22</v>
      </c>
      <c r="C317" s="35" t="s">
        <v>23</v>
      </c>
      <c r="D317" s="35" t="s">
        <v>24</v>
      </c>
      <c r="E317" s="35" t="s">
        <v>24</v>
      </c>
      <c r="F317" s="35" t="s">
        <v>25</v>
      </c>
      <c r="G317" s="35" t="s">
        <v>25</v>
      </c>
      <c r="H317" s="35" t="s">
        <v>25</v>
      </c>
      <c r="I317" s="55">
        <v>44743</v>
      </c>
      <c r="J317" s="56">
        <f>EFEITO!$J$317*EFEITO!$Y$317</f>
        <v>0</v>
      </c>
      <c r="K317" s="56">
        <f ca="1">EFEITO!$L$317*EFEITO!$Z$317</f>
        <v>1341872.1178196974</v>
      </c>
      <c r="L317" s="56">
        <f>EFEITO!$N$317*EFEITO!$AA$317</f>
        <v>154009.24311007006</v>
      </c>
      <c r="M317" s="56">
        <f>$J$317-EFEITO!$K$317*EFEITO!$Y$317</f>
        <v>0</v>
      </c>
      <c r="N317" s="56">
        <f ca="1">$K$317-EFEITO!$M$317*EFEITO!$Z$317</f>
        <v>0</v>
      </c>
      <c r="O317" s="56">
        <f>$L$317-EFEITO!$O$317*EFEITO!$AA$317</f>
        <v>0</v>
      </c>
      <c r="P317" s="39"/>
      <c r="Q317" s="39"/>
      <c r="R317" s="39"/>
      <c r="S317" s="39"/>
      <c r="T317" s="39"/>
      <c r="U317" s="39"/>
      <c r="V317" s="39"/>
      <c r="W317" s="39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35" t="s">
        <v>27</v>
      </c>
      <c r="B318" s="35" t="s">
        <v>22</v>
      </c>
      <c r="C318" s="35" t="s">
        <v>23</v>
      </c>
      <c r="D318" s="35" t="s">
        <v>24</v>
      </c>
      <c r="E318" s="35" t="s">
        <v>24</v>
      </c>
      <c r="F318" s="35" t="s">
        <v>25</v>
      </c>
      <c r="G318" s="35" t="s">
        <v>25</v>
      </c>
      <c r="H318" s="35" t="s">
        <v>25</v>
      </c>
      <c r="I318" s="55">
        <v>44743</v>
      </c>
      <c r="J318" s="56">
        <f>EFEITO!$J$318*EFEITO!$Y$318</f>
        <v>0</v>
      </c>
      <c r="K318" s="56">
        <f ca="1">EFEITO!$L$318*EFEITO!$Z$318</f>
        <v>-244.52854340759401</v>
      </c>
      <c r="L318" s="56">
        <f>EFEITO!$N$318*EFEITO!$AA$318</f>
        <v>-28.065011105679496</v>
      </c>
      <c r="M318" s="56">
        <f>$J$318-EFEITO!$K$318*EFEITO!$Y$318</f>
        <v>0</v>
      </c>
      <c r="N318" s="56">
        <f ca="1">$K$318-EFEITO!$M$318*EFEITO!$Z$318</f>
        <v>0</v>
      </c>
      <c r="O318" s="56">
        <f>$L$318-EFEITO!$O$318*EFEITO!$AA$318</f>
        <v>0</v>
      </c>
      <c r="P318" s="39"/>
      <c r="Q318" s="39"/>
      <c r="R318" s="39"/>
      <c r="S318" s="39"/>
      <c r="T318" s="39"/>
      <c r="U318" s="39"/>
      <c r="V318" s="39"/>
      <c r="W318" s="39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35" t="s">
        <v>28</v>
      </c>
      <c r="B319" s="35" t="s">
        <v>22</v>
      </c>
      <c r="C319" s="35" t="s">
        <v>23</v>
      </c>
      <c r="D319" s="35" t="s">
        <v>24</v>
      </c>
      <c r="E319" s="35" t="s">
        <v>24</v>
      </c>
      <c r="F319" s="35" t="s">
        <v>25</v>
      </c>
      <c r="G319" s="35" t="s">
        <v>25</v>
      </c>
      <c r="H319" s="35" t="s">
        <v>25</v>
      </c>
      <c r="I319" s="55">
        <v>44743</v>
      </c>
      <c r="J319" s="56">
        <f>EFEITO!$J$319*EFEITO!$Y$319</f>
        <v>0</v>
      </c>
      <c r="K319" s="56">
        <f ca="1">EFEITO!$L$319*EFEITO!$Z$319</f>
        <v>33499.051954932562</v>
      </c>
      <c r="L319" s="56">
        <f>EFEITO!$N$319*EFEITO!$AA$319</f>
        <v>3844.7506047497259</v>
      </c>
      <c r="M319" s="56">
        <f>$J$319-EFEITO!$K$319*EFEITO!$Y$319</f>
        <v>0</v>
      </c>
      <c r="N319" s="56">
        <f ca="1">$K$319-EFEITO!$M$319*EFEITO!$Z$319</f>
        <v>0</v>
      </c>
      <c r="O319" s="56">
        <f>$L$319-EFEITO!$O$319*EFEITO!$AA$319</f>
        <v>0</v>
      </c>
      <c r="P319" s="39"/>
      <c r="Q319" s="39"/>
      <c r="R319" s="39"/>
      <c r="S319" s="39"/>
      <c r="T319" s="39"/>
      <c r="U319" s="39"/>
      <c r="V319" s="39"/>
      <c r="W319" s="39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35" t="s">
        <v>21</v>
      </c>
      <c r="B320" s="35" t="s">
        <v>22</v>
      </c>
      <c r="C320" s="35" t="s">
        <v>23</v>
      </c>
      <c r="D320" s="35" t="s">
        <v>24</v>
      </c>
      <c r="E320" s="35" t="s">
        <v>24</v>
      </c>
      <c r="F320" s="35" t="s">
        <v>25</v>
      </c>
      <c r="G320" s="35" t="s">
        <v>25</v>
      </c>
      <c r="H320" s="35" t="s">
        <v>25</v>
      </c>
      <c r="I320" s="55">
        <v>44774</v>
      </c>
      <c r="J320" s="56">
        <f>EFEITO!$J$320*EFEITO!$Y$320</f>
        <v>0</v>
      </c>
      <c r="K320" s="56">
        <f ca="1">EFEITO!$L$320*EFEITO!$Z$320</f>
        <v>1530972.8328963288</v>
      </c>
      <c r="L320" s="56">
        <f>EFEITO!$N$320*EFEITO!$AA$320</f>
        <v>175712.69578173384</v>
      </c>
      <c r="M320" s="56">
        <f>$J$320-EFEITO!$K$320*EFEITO!$Y$320</f>
        <v>0</v>
      </c>
      <c r="N320" s="56">
        <f ca="1">$K$320-EFEITO!$M$320*EFEITO!$Z$320</f>
        <v>0</v>
      </c>
      <c r="O320" s="56">
        <f>$L$320-EFEITO!$O$320*EFEITO!$AA$320</f>
        <v>0</v>
      </c>
      <c r="P320" s="39"/>
      <c r="Q320" s="39"/>
      <c r="R320" s="39"/>
      <c r="S320" s="39"/>
      <c r="T320" s="39"/>
      <c r="U320" s="39"/>
      <c r="V320" s="39"/>
      <c r="W320" s="39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35" t="s">
        <v>28</v>
      </c>
      <c r="B321" s="35" t="s">
        <v>22</v>
      </c>
      <c r="C321" s="35" t="s">
        <v>23</v>
      </c>
      <c r="D321" s="35" t="s">
        <v>24</v>
      </c>
      <c r="E321" s="35" t="s">
        <v>24</v>
      </c>
      <c r="F321" s="35" t="s">
        <v>25</v>
      </c>
      <c r="G321" s="35" t="s">
        <v>25</v>
      </c>
      <c r="H321" s="35" t="s">
        <v>25</v>
      </c>
      <c r="I321" s="55">
        <v>44774</v>
      </c>
      <c r="J321" s="56">
        <f>EFEITO!$J$321*EFEITO!$Y$321</f>
        <v>0</v>
      </c>
      <c r="K321" s="56">
        <f ca="1">EFEITO!$L$321*EFEITO!$Z$321</f>
        <v>33986.750549839933</v>
      </c>
      <c r="L321" s="56">
        <f>EFEITO!$N$321*EFEITO!$AA$321</f>
        <v>3900.7247102327206</v>
      </c>
      <c r="M321" s="56">
        <f>$J$321-EFEITO!$K$321*EFEITO!$Y$321</f>
        <v>0</v>
      </c>
      <c r="N321" s="56">
        <f ca="1">$K$321-EFEITO!$M$321*EFEITO!$Z$321</f>
        <v>0</v>
      </c>
      <c r="O321" s="56">
        <f>$L$321-EFEITO!$O$321*EFEITO!$AA$321</f>
        <v>0</v>
      </c>
      <c r="P321" s="39"/>
      <c r="Q321" s="39"/>
      <c r="R321" s="39"/>
      <c r="S321" s="39"/>
      <c r="T321" s="39"/>
      <c r="U321" s="39"/>
      <c r="V321" s="39"/>
      <c r="W321" s="39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35" t="s">
        <v>21</v>
      </c>
      <c r="B322" s="35" t="s">
        <v>22</v>
      </c>
      <c r="C322" s="35" t="s">
        <v>23</v>
      </c>
      <c r="D322" s="35" t="s">
        <v>24</v>
      </c>
      <c r="E322" s="35" t="s">
        <v>29</v>
      </c>
      <c r="F322" s="35" t="s">
        <v>25</v>
      </c>
      <c r="G322" s="35" t="s">
        <v>25</v>
      </c>
      <c r="H322" s="35" t="s">
        <v>25</v>
      </c>
      <c r="I322" s="55">
        <v>44440</v>
      </c>
      <c r="J322" s="56">
        <f>EFEITO!$J$322*EFEITO!$Y$287</f>
        <v>0</v>
      </c>
      <c r="K322" s="56">
        <f ca="1">EFEITO!$L$322*EFEITO!$Z$358</f>
        <v>3293.1535442605227</v>
      </c>
      <c r="L322" s="56">
        <f>EFEITO!$N$322*EFEITO!$AA$358</f>
        <v>444.36267583992537</v>
      </c>
      <c r="M322" s="56">
        <f>$J$322-EFEITO!$K$322*EFEITO!$Y$322</f>
        <v>0</v>
      </c>
      <c r="N322" s="56">
        <f ca="1">$K$322-EFEITO!$M$322*EFEITO!$Z$322</f>
        <v>2140.5498037693396</v>
      </c>
      <c r="O322" s="56">
        <f>$L$322-EFEITO!$O$322*EFEITO!$AA$322</f>
        <v>288.8357392959515</v>
      </c>
      <c r="P322" s="39"/>
      <c r="Q322" s="39"/>
      <c r="R322" s="39"/>
      <c r="S322" s="39"/>
      <c r="T322" s="39"/>
      <c r="U322" s="39"/>
      <c r="V322" s="39"/>
      <c r="W322" s="39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35" t="s">
        <v>21</v>
      </c>
      <c r="B323" s="35" t="s">
        <v>22</v>
      </c>
      <c r="C323" s="35" t="s">
        <v>23</v>
      </c>
      <c r="D323" s="35" t="s">
        <v>24</v>
      </c>
      <c r="E323" s="35" t="s">
        <v>29</v>
      </c>
      <c r="F323" s="35" t="s">
        <v>25</v>
      </c>
      <c r="G323" s="35" t="s">
        <v>25</v>
      </c>
      <c r="H323" s="35" t="s">
        <v>25</v>
      </c>
      <c r="I323" s="55">
        <v>44470</v>
      </c>
      <c r="J323" s="56">
        <f>EFEITO!$J$323*EFEITO!$Y$287</f>
        <v>0</v>
      </c>
      <c r="K323" s="56">
        <f ca="1">EFEITO!$L$323*EFEITO!$Z$358</f>
        <v>3293.1535442605227</v>
      </c>
      <c r="L323" s="56">
        <f>EFEITO!$N$323*EFEITO!$AA$358</f>
        <v>444.36267583992537</v>
      </c>
      <c r="M323" s="56">
        <f>$J$323-EFEITO!$K$323*EFEITO!$Y$323</f>
        <v>0</v>
      </c>
      <c r="N323" s="56">
        <f ca="1">$K$323-EFEITO!$M$323*EFEITO!$Z$323</f>
        <v>2140.5498037693396</v>
      </c>
      <c r="O323" s="56">
        <f>$L$323-EFEITO!$O$323*EFEITO!$AA$323</f>
        <v>288.8357392959515</v>
      </c>
      <c r="P323" s="39"/>
      <c r="Q323" s="39"/>
      <c r="R323" s="39"/>
      <c r="S323" s="39"/>
      <c r="T323" s="39"/>
      <c r="U323" s="39"/>
      <c r="V323" s="39"/>
      <c r="W323" s="39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35" t="s">
        <v>21</v>
      </c>
      <c r="B324" s="35" t="s">
        <v>22</v>
      </c>
      <c r="C324" s="35" t="s">
        <v>23</v>
      </c>
      <c r="D324" s="35" t="s">
        <v>24</v>
      </c>
      <c r="E324" s="35" t="s">
        <v>29</v>
      </c>
      <c r="F324" s="35" t="s">
        <v>25</v>
      </c>
      <c r="G324" s="35" t="s">
        <v>25</v>
      </c>
      <c r="H324" s="35" t="s">
        <v>25</v>
      </c>
      <c r="I324" s="55">
        <v>44501</v>
      </c>
      <c r="J324" s="56">
        <f>EFEITO!$J$324*EFEITO!$Y$287</f>
        <v>0</v>
      </c>
      <c r="K324" s="56">
        <f ca="1">EFEITO!$L$324*EFEITO!$Z$358</f>
        <v>3362.4830925607444</v>
      </c>
      <c r="L324" s="56">
        <f>EFEITO!$N$324*EFEITO!$AA$358</f>
        <v>453.71767954181854</v>
      </c>
      <c r="M324" s="56">
        <f>$J$324-EFEITO!$K$324*EFEITO!$Y$324</f>
        <v>0</v>
      </c>
      <c r="N324" s="56">
        <f ca="1">$K$324-EFEITO!$M$324*EFEITO!$Z$324</f>
        <v>2185.6140101644842</v>
      </c>
      <c r="O324" s="56">
        <f>$L$324-EFEITO!$O$324*EFEITO!$AA$324</f>
        <v>294.91649170218204</v>
      </c>
      <c r="P324" s="39"/>
      <c r="Q324" s="39"/>
      <c r="R324" s="39"/>
      <c r="S324" s="39"/>
      <c r="T324" s="39"/>
      <c r="U324" s="39"/>
      <c r="V324" s="39"/>
      <c r="W324" s="39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35" t="s">
        <v>21</v>
      </c>
      <c r="B325" s="35" t="s">
        <v>22</v>
      </c>
      <c r="C325" s="35" t="s">
        <v>23</v>
      </c>
      <c r="D325" s="35" t="s">
        <v>24</v>
      </c>
      <c r="E325" s="35" t="s">
        <v>29</v>
      </c>
      <c r="F325" s="35" t="s">
        <v>25</v>
      </c>
      <c r="G325" s="35" t="s">
        <v>25</v>
      </c>
      <c r="H325" s="35" t="s">
        <v>25</v>
      </c>
      <c r="I325" s="55">
        <v>44531</v>
      </c>
      <c r="J325" s="56">
        <f>EFEITO!$J$325*EFEITO!$Y$287</f>
        <v>0</v>
      </c>
      <c r="K325" s="56">
        <f ca="1">EFEITO!$L$325*EFEITO!$Z$358</f>
        <v>3345.1507054856888</v>
      </c>
      <c r="L325" s="56">
        <f>EFEITO!$N$325*EFEITO!$AA$358</f>
        <v>451.37892861634526</v>
      </c>
      <c r="M325" s="56">
        <f>$J$325-EFEITO!$K$325*EFEITO!$Y$325</f>
        <v>0</v>
      </c>
      <c r="N325" s="56">
        <f ca="1">$K$325-EFEITO!$M$325*EFEITO!$Z$325</f>
        <v>2174.3479585656978</v>
      </c>
      <c r="O325" s="56">
        <f>$L$325-EFEITO!$O$325*EFEITO!$AA$325</f>
        <v>293.39630360062444</v>
      </c>
      <c r="P325" s="39"/>
      <c r="Q325" s="39"/>
      <c r="R325" s="39"/>
      <c r="S325" s="39"/>
      <c r="T325" s="39"/>
      <c r="U325" s="39"/>
      <c r="V325" s="39"/>
      <c r="W325" s="39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35" t="s">
        <v>21</v>
      </c>
      <c r="B326" s="35" t="s">
        <v>22</v>
      </c>
      <c r="C326" s="35" t="s">
        <v>23</v>
      </c>
      <c r="D326" s="35" t="s">
        <v>24</v>
      </c>
      <c r="E326" s="35" t="s">
        <v>29</v>
      </c>
      <c r="F326" s="35" t="s">
        <v>25</v>
      </c>
      <c r="G326" s="35" t="s">
        <v>25</v>
      </c>
      <c r="H326" s="35" t="s">
        <v>25</v>
      </c>
      <c r="I326" s="55">
        <v>44562</v>
      </c>
      <c r="J326" s="56">
        <f>EFEITO!$J$326*EFEITO!$Y$287</f>
        <v>0</v>
      </c>
      <c r="K326" s="56">
        <f ca="1">EFEITO!$L$326*EFEITO!$Z$358</f>
        <v>3310.4859313355782</v>
      </c>
      <c r="L326" s="56">
        <f>EFEITO!$N$326*EFEITO!$AA$358</f>
        <v>446.70142676539871</v>
      </c>
      <c r="M326" s="56">
        <f>$J$326-EFEITO!$K$326*EFEITO!$Y$326</f>
        <v>0</v>
      </c>
      <c r="N326" s="56">
        <f ca="1">$K$326-EFEITO!$M$326*EFEITO!$Z$326</f>
        <v>2151.815855368126</v>
      </c>
      <c r="O326" s="56">
        <f>$L$326-EFEITO!$O$326*EFEITO!$AA$326</f>
        <v>290.35592739750916</v>
      </c>
      <c r="P326" s="39"/>
      <c r="Q326" s="39"/>
      <c r="R326" s="39"/>
      <c r="S326" s="39"/>
      <c r="T326" s="39"/>
      <c r="U326" s="39"/>
      <c r="V326" s="39"/>
      <c r="W326" s="39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35" t="s">
        <v>21</v>
      </c>
      <c r="B327" s="35" t="s">
        <v>22</v>
      </c>
      <c r="C327" s="35" t="s">
        <v>23</v>
      </c>
      <c r="D327" s="35" t="s">
        <v>24</v>
      </c>
      <c r="E327" s="35" t="s">
        <v>29</v>
      </c>
      <c r="F327" s="35" t="s">
        <v>25</v>
      </c>
      <c r="G327" s="35" t="s">
        <v>25</v>
      </c>
      <c r="H327" s="35" t="s">
        <v>25</v>
      </c>
      <c r="I327" s="55">
        <v>44593</v>
      </c>
      <c r="J327" s="56">
        <f>EFEITO!$J$327*EFEITO!$Y$287</f>
        <v>0</v>
      </c>
      <c r="K327" s="56">
        <f ca="1">EFEITO!$L$327*EFEITO!$Z$358</f>
        <v>3379.8154796357994</v>
      </c>
      <c r="L327" s="56">
        <f>EFEITO!$N$327*EFEITO!$AA$358</f>
        <v>456.05643046729182</v>
      </c>
      <c r="M327" s="56">
        <f>$J$327-EFEITO!$K$327*EFEITO!$Y$327</f>
        <v>0</v>
      </c>
      <c r="N327" s="56">
        <f ca="1">$K$327-EFEITO!$M$327*EFEITO!$Z$327</f>
        <v>2196.8800617632696</v>
      </c>
      <c r="O327" s="56">
        <f>$L$327-EFEITO!$O$327*EFEITO!$AA$327</f>
        <v>296.43667980373971</v>
      </c>
      <c r="P327" s="39"/>
      <c r="Q327" s="39"/>
      <c r="R327" s="39"/>
      <c r="S327" s="39"/>
      <c r="T327" s="39"/>
      <c r="U327" s="39"/>
      <c r="V327" s="39"/>
      <c r="W327" s="39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35" t="s">
        <v>21</v>
      </c>
      <c r="B328" s="35" t="s">
        <v>22</v>
      </c>
      <c r="C328" s="35" t="s">
        <v>23</v>
      </c>
      <c r="D328" s="35" t="s">
        <v>24</v>
      </c>
      <c r="E328" s="35" t="s">
        <v>29</v>
      </c>
      <c r="F328" s="35" t="s">
        <v>25</v>
      </c>
      <c r="G328" s="35" t="s">
        <v>25</v>
      </c>
      <c r="H328" s="35" t="s">
        <v>25</v>
      </c>
      <c r="I328" s="55">
        <v>44621</v>
      </c>
      <c r="J328" s="56">
        <f>EFEITO!$J$328*EFEITO!$Y$287</f>
        <v>0</v>
      </c>
      <c r="K328" s="56">
        <f ca="1">EFEITO!$L$328*EFEITO!$Z$358</f>
        <v>3466.4774150110761</v>
      </c>
      <c r="L328" s="56">
        <f>EFEITO!$N$328*EFEITO!$AA$358</f>
        <v>467.75018509465826</v>
      </c>
      <c r="M328" s="56">
        <f>$J$328-EFEITO!$K$328*EFEITO!$Y$328</f>
        <v>0</v>
      </c>
      <c r="N328" s="56">
        <f ca="1">$K$328-EFEITO!$M$328*EFEITO!$Z$328</f>
        <v>2253.2103197571996</v>
      </c>
      <c r="O328" s="56">
        <f>$L$328-EFEITO!$O$328*EFEITO!$AA$328</f>
        <v>304.03762031152786</v>
      </c>
      <c r="P328" s="39"/>
      <c r="Q328" s="39"/>
      <c r="R328" s="39"/>
      <c r="S328" s="39"/>
      <c r="T328" s="39"/>
      <c r="U328" s="39"/>
      <c r="V328" s="39"/>
      <c r="W328" s="39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35" t="s">
        <v>21</v>
      </c>
      <c r="B329" s="35" t="s">
        <v>22</v>
      </c>
      <c r="C329" s="35" t="s">
        <v>23</v>
      </c>
      <c r="D329" s="35" t="s">
        <v>24</v>
      </c>
      <c r="E329" s="35" t="s">
        <v>29</v>
      </c>
      <c r="F329" s="35" t="s">
        <v>25</v>
      </c>
      <c r="G329" s="35" t="s">
        <v>25</v>
      </c>
      <c r="H329" s="35" t="s">
        <v>25</v>
      </c>
      <c r="I329" s="55">
        <v>44652</v>
      </c>
      <c r="J329" s="56">
        <f>EFEITO!$J$329*EFEITO!$Y$287</f>
        <v>0</v>
      </c>
      <c r="K329" s="56">
        <f ca="1">EFEITO!$L$329*EFEITO!$Z$358</f>
        <v>5095.7218000662824</v>
      </c>
      <c r="L329" s="56">
        <f>EFEITO!$N$329*EFEITO!$AA$358</f>
        <v>687.59277208914773</v>
      </c>
      <c r="M329" s="56">
        <f>$J$329-EFEITO!$K$329*EFEITO!$Y$329</f>
        <v>0</v>
      </c>
      <c r="N329" s="56">
        <f ca="1">$K$329-EFEITO!$M$329*EFEITO!$Z$329</f>
        <v>3312.219170043084</v>
      </c>
      <c r="O329" s="56">
        <f>$L$329-EFEITO!$O$329*EFEITO!$AA$329</f>
        <v>446.93530185794606</v>
      </c>
      <c r="P329" s="39"/>
      <c r="Q329" s="39"/>
      <c r="R329" s="39"/>
      <c r="S329" s="39"/>
      <c r="T329" s="39"/>
      <c r="U329" s="39"/>
      <c r="V329" s="39"/>
      <c r="W329" s="39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35" t="s">
        <v>21</v>
      </c>
      <c r="B330" s="35" t="s">
        <v>22</v>
      </c>
      <c r="C330" s="35" t="s">
        <v>23</v>
      </c>
      <c r="D330" s="35" t="s">
        <v>24</v>
      </c>
      <c r="E330" s="35" t="s">
        <v>29</v>
      </c>
      <c r="F330" s="35" t="s">
        <v>25</v>
      </c>
      <c r="G330" s="35" t="s">
        <v>25</v>
      </c>
      <c r="H330" s="35" t="s">
        <v>25</v>
      </c>
      <c r="I330" s="55">
        <v>44682</v>
      </c>
      <c r="J330" s="56">
        <f>EFEITO!$J$330*EFEITO!$Y$287</f>
        <v>0</v>
      </c>
      <c r="K330" s="56">
        <f ca="1">EFEITO!$L$330*EFEITO!$Z$358</f>
        <v>5095.7218000662824</v>
      </c>
      <c r="L330" s="56">
        <f>EFEITO!$N$330*EFEITO!$AA$358</f>
        <v>687.59277208914773</v>
      </c>
      <c r="M330" s="56">
        <f>$J$330-EFEITO!$K$330*EFEITO!$Y$330</f>
        <v>0</v>
      </c>
      <c r="N330" s="56">
        <f ca="1">$K$330-EFEITO!$M$330*EFEITO!$Z$330</f>
        <v>3312.219170043084</v>
      </c>
      <c r="O330" s="56">
        <f>$L$330-EFEITO!$O$330*EFEITO!$AA$330</f>
        <v>446.93530185794606</v>
      </c>
      <c r="P330" s="39"/>
      <c r="Q330" s="39"/>
      <c r="R330" s="39"/>
      <c r="S330" s="39"/>
      <c r="T330" s="39"/>
      <c r="U330" s="39"/>
      <c r="V330" s="39"/>
      <c r="W330" s="39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35" t="s">
        <v>21</v>
      </c>
      <c r="B331" s="35" t="s">
        <v>22</v>
      </c>
      <c r="C331" s="35" t="s">
        <v>23</v>
      </c>
      <c r="D331" s="35" t="s">
        <v>24</v>
      </c>
      <c r="E331" s="35" t="s">
        <v>29</v>
      </c>
      <c r="F331" s="35" t="s">
        <v>25</v>
      </c>
      <c r="G331" s="35" t="s">
        <v>25</v>
      </c>
      <c r="H331" s="35" t="s">
        <v>25</v>
      </c>
      <c r="I331" s="55">
        <v>44713</v>
      </c>
      <c r="J331" s="56">
        <f>EFEITO!$J$331*EFEITO!$Y$287</f>
        <v>0</v>
      </c>
      <c r="K331" s="56">
        <f ca="1">EFEITO!$L$331*EFEITO!$Z$358</f>
        <v>4957.0627034658391</v>
      </c>
      <c r="L331" s="56">
        <f>EFEITO!$N$331*EFEITO!$AA$358</f>
        <v>668.88276468536139</v>
      </c>
      <c r="M331" s="56">
        <f>$J$331-EFEITO!$K$331*EFEITO!$Y$331</f>
        <v>0</v>
      </c>
      <c r="N331" s="56">
        <f ca="1">$K$331-EFEITO!$M$331*EFEITO!$Z$331</f>
        <v>3222.0907572527958</v>
      </c>
      <c r="O331" s="56">
        <f>$L$331-EFEITO!$O$331*EFEITO!$AA$331</f>
        <v>434.77379704548491</v>
      </c>
      <c r="P331" s="39"/>
      <c r="Q331" s="39"/>
      <c r="R331" s="39"/>
      <c r="S331" s="39"/>
      <c r="T331" s="39"/>
      <c r="U331" s="39"/>
      <c r="V331" s="39"/>
      <c r="W331" s="39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35" t="s">
        <v>21</v>
      </c>
      <c r="B332" s="35" t="s">
        <v>22</v>
      </c>
      <c r="C332" s="35" t="s">
        <v>23</v>
      </c>
      <c r="D332" s="35" t="s">
        <v>24</v>
      </c>
      <c r="E332" s="35" t="s">
        <v>29</v>
      </c>
      <c r="F332" s="35" t="s">
        <v>25</v>
      </c>
      <c r="G332" s="35" t="s">
        <v>25</v>
      </c>
      <c r="H332" s="35" t="s">
        <v>25</v>
      </c>
      <c r="I332" s="55">
        <v>44743</v>
      </c>
      <c r="J332" s="56">
        <f>EFEITO!$J$332*EFEITO!$Y$287</f>
        <v>0</v>
      </c>
      <c r="K332" s="56">
        <f ca="1">EFEITO!$L$332*EFEITO!$Z$358</f>
        <v>4808.5819208561979</v>
      </c>
      <c r="L332" s="56">
        <f>EFEITO!$N$332*EFEITO!$AA$358</f>
        <v>648.84746509047352</v>
      </c>
      <c r="M332" s="56">
        <f>$J$332-EFEITO!$K$332*EFEITO!$Y$332</f>
        <v>0</v>
      </c>
      <c r="N332" s="56">
        <f ca="1">$K$332-EFEITO!$M$332*EFEITO!$Z$332</f>
        <v>3125.5782485565287</v>
      </c>
      <c r="O332" s="56">
        <f>$L$332-EFEITO!$O$332*EFEITO!$AA$332</f>
        <v>421.75085230880779</v>
      </c>
      <c r="P332" s="39"/>
      <c r="Q332" s="39"/>
      <c r="R332" s="39"/>
      <c r="S332" s="39"/>
      <c r="T332" s="39"/>
      <c r="U332" s="39"/>
      <c r="V332" s="39"/>
      <c r="W332" s="39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35" t="s">
        <v>21</v>
      </c>
      <c r="B333" s="35" t="s">
        <v>22</v>
      </c>
      <c r="C333" s="35" t="s">
        <v>23</v>
      </c>
      <c r="D333" s="35" t="s">
        <v>24</v>
      </c>
      <c r="E333" s="35" t="s">
        <v>29</v>
      </c>
      <c r="F333" s="35" t="s">
        <v>25</v>
      </c>
      <c r="G333" s="35" t="s">
        <v>25</v>
      </c>
      <c r="H333" s="35" t="s">
        <v>25</v>
      </c>
      <c r="I333" s="55">
        <v>44774</v>
      </c>
      <c r="J333" s="56">
        <f>EFEITO!$J$333*EFEITO!$Y$287</f>
        <v>0</v>
      </c>
      <c r="K333" s="56">
        <f ca="1">EFEITO!$L$333*EFEITO!$Z$358</f>
        <v>4731.7416714901192</v>
      </c>
      <c r="L333" s="56">
        <f>EFEITO!$N$333*EFEITO!$AA$358</f>
        <v>638.47900265420856</v>
      </c>
      <c r="M333" s="56">
        <f>$J$333-EFEITO!$K$333*EFEITO!$Y$333</f>
        <v>0</v>
      </c>
      <c r="N333" s="56">
        <f ca="1">$K$333-EFEITO!$M$333*EFEITO!$Z$333</f>
        <v>3075.6320864685777</v>
      </c>
      <c r="O333" s="56">
        <f>$L$333-EFEITO!$O$333*EFEITO!$AA$333</f>
        <v>415.01135172523561</v>
      </c>
      <c r="P333" s="39"/>
      <c r="Q333" s="39"/>
      <c r="R333" s="39"/>
      <c r="S333" s="39"/>
      <c r="T333" s="39"/>
      <c r="U333" s="39"/>
      <c r="V333" s="39"/>
      <c r="W333" s="39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35" t="s">
        <v>21</v>
      </c>
      <c r="B334" s="35" t="s">
        <v>22</v>
      </c>
      <c r="C334" s="35" t="s">
        <v>23</v>
      </c>
      <c r="D334" s="35" t="s">
        <v>24</v>
      </c>
      <c r="E334" s="35" t="s">
        <v>30</v>
      </c>
      <c r="F334" s="35" t="s">
        <v>25</v>
      </c>
      <c r="G334" s="35" t="s">
        <v>25</v>
      </c>
      <c r="H334" s="35" t="s">
        <v>25</v>
      </c>
      <c r="I334" s="55">
        <v>44440</v>
      </c>
      <c r="J334" s="56">
        <f>EFEITO!$J$334*EFEITO!$Y$287</f>
        <v>0</v>
      </c>
      <c r="K334" s="56">
        <f ca="1">EFEITO!$L$334*EFEITO!$Z$358</f>
        <v>6879.8021763253155</v>
      </c>
      <c r="L334" s="56">
        <f>EFEITO!$N$334*EFEITO!$AA$358</f>
        <v>928.32820068453179</v>
      </c>
      <c r="M334" s="56">
        <f>$J$334-EFEITO!$K$334*EFEITO!$Y$334</f>
        <v>0</v>
      </c>
      <c r="N334" s="56">
        <f ca="1">$K$334-EFEITO!$M$334*EFEITO!$Z$334</f>
        <v>2751.9208705301262</v>
      </c>
      <c r="O334" s="56">
        <f>$L$334-EFEITO!$O$334*EFEITO!$AA$334</f>
        <v>371.33128027381269</v>
      </c>
      <c r="P334" s="39"/>
      <c r="Q334" s="39"/>
      <c r="R334" s="39"/>
      <c r="S334" s="39"/>
      <c r="T334" s="39"/>
      <c r="U334" s="39"/>
      <c r="V334" s="39"/>
      <c r="W334" s="39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35" t="s">
        <v>21</v>
      </c>
      <c r="B335" s="35" t="s">
        <v>22</v>
      </c>
      <c r="C335" s="35" t="s">
        <v>23</v>
      </c>
      <c r="D335" s="35" t="s">
        <v>24</v>
      </c>
      <c r="E335" s="35" t="s">
        <v>30</v>
      </c>
      <c r="F335" s="35" t="s">
        <v>25</v>
      </c>
      <c r="G335" s="35" t="s">
        <v>25</v>
      </c>
      <c r="H335" s="35" t="s">
        <v>25</v>
      </c>
      <c r="I335" s="55">
        <v>44470</v>
      </c>
      <c r="J335" s="56">
        <f>EFEITO!$J$335*EFEITO!$Y$287</f>
        <v>0</v>
      </c>
      <c r="K335" s="56">
        <f ca="1">EFEITO!$L$335*EFEITO!$Z$358</f>
        <v>6826.6495226284806</v>
      </c>
      <c r="L335" s="56">
        <f>EFEITO!$N$335*EFEITO!$AA$358</f>
        <v>921.15603117974717</v>
      </c>
      <c r="M335" s="56">
        <f>$J$335-EFEITO!$K$335*EFEITO!$Y$335</f>
        <v>0</v>
      </c>
      <c r="N335" s="56">
        <f ca="1">$K$335-EFEITO!$M$335*EFEITO!$Z$335</f>
        <v>2730.6598090513926</v>
      </c>
      <c r="O335" s="56">
        <f>$L$335-EFEITO!$O$335*EFEITO!$AA$335</f>
        <v>368.46241247189892</v>
      </c>
      <c r="P335" s="39"/>
      <c r="Q335" s="39"/>
      <c r="R335" s="39"/>
      <c r="S335" s="39"/>
      <c r="T335" s="39"/>
      <c r="U335" s="39"/>
      <c r="V335" s="39"/>
      <c r="W335" s="39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35" t="s">
        <v>21</v>
      </c>
      <c r="B336" s="35" t="s">
        <v>22</v>
      </c>
      <c r="C336" s="35" t="s">
        <v>23</v>
      </c>
      <c r="D336" s="35" t="s">
        <v>24</v>
      </c>
      <c r="E336" s="35" t="s">
        <v>30</v>
      </c>
      <c r="F336" s="35" t="s">
        <v>25</v>
      </c>
      <c r="G336" s="35" t="s">
        <v>25</v>
      </c>
      <c r="H336" s="35" t="s">
        <v>25</v>
      </c>
      <c r="I336" s="55">
        <v>44501</v>
      </c>
      <c r="J336" s="56">
        <f>EFEITO!$J$336*EFEITO!$Y$287</f>
        <v>0</v>
      </c>
      <c r="K336" s="56">
        <f ca="1">EFEITO!$L$336*EFEITO!$Z$358</f>
        <v>7142.0989673944878</v>
      </c>
      <c r="L336" s="56">
        <f>EFEITO!$N$336*EFEITO!$AA$358</f>
        <v>963.72129802336099</v>
      </c>
      <c r="M336" s="56">
        <f>$J$336-EFEITO!$K$336*EFEITO!$Y$336</f>
        <v>0</v>
      </c>
      <c r="N336" s="56">
        <f ca="1">$K$336-EFEITO!$M$336*EFEITO!$Z$336</f>
        <v>2856.8395869577953</v>
      </c>
      <c r="O336" s="56">
        <f>$L$336-EFEITO!$O$336*EFEITO!$AA$336</f>
        <v>385.48851920934442</v>
      </c>
      <c r="P336" s="39"/>
      <c r="Q336" s="39"/>
      <c r="R336" s="39"/>
      <c r="S336" s="39"/>
      <c r="T336" s="39"/>
      <c r="U336" s="39"/>
      <c r="V336" s="39"/>
      <c r="W336" s="39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35" t="s">
        <v>21</v>
      </c>
      <c r="B337" s="35" t="s">
        <v>22</v>
      </c>
      <c r="C337" s="35" t="s">
        <v>23</v>
      </c>
      <c r="D337" s="35" t="s">
        <v>24</v>
      </c>
      <c r="E337" s="35" t="s">
        <v>30</v>
      </c>
      <c r="F337" s="35" t="s">
        <v>25</v>
      </c>
      <c r="G337" s="35" t="s">
        <v>25</v>
      </c>
      <c r="H337" s="35" t="s">
        <v>25</v>
      </c>
      <c r="I337" s="55">
        <v>44531</v>
      </c>
      <c r="J337" s="56">
        <f>EFEITO!$J$337*EFEITO!$Y$287</f>
        <v>0</v>
      </c>
      <c r="K337" s="56">
        <f ca="1">EFEITO!$L$337*EFEITO!$Z$358</f>
        <v>7168.0975480070711</v>
      </c>
      <c r="L337" s="56">
        <f>EFEITO!$N$337*EFEITO!$AA$358</f>
        <v>967.2294244115709</v>
      </c>
      <c r="M337" s="56">
        <f>$J$337-EFEITO!$K$337*EFEITO!$Y$337</f>
        <v>0</v>
      </c>
      <c r="N337" s="56">
        <f ca="1">$K$337-EFEITO!$M$337*EFEITO!$Z$337</f>
        <v>2867.2390192028288</v>
      </c>
      <c r="O337" s="56">
        <f>$L$337-EFEITO!$O$337*EFEITO!$AA$337</f>
        <v>386.89176976462829</v>
      </c>
      <c r="P337" s="39"/>
      <c r="Q337" s="39"/>
      <c r="R337" s="39"/>
      <c r="S337" s="39"/>
      <c r="T337" s="39"/>
      <c r="U337" s="39"/>
      <c r="V337" s="39"/>
      <c r="W337" s="39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35" t="s">
        <v>21</v>
      </c>
      <c r="B338" s="35" t="s">
        <v>22</v>
      </c>
      <c r="C338" s="35" t="s">
        <v>23</v>
      </c>
      <c r="D338" s="35" t="s">
        <v>24</v>
      </c>
      <c r="E338" s="35" t="s">
        <v>30</v>
      </c>
      <c r="F338" s="35" t="s">
        <v>25</v>
      </c>
      <c r="G338" s="35" t="s">
        <v>25</v>
      </c>
      <c r="H338" s="35" t="s">
        <v>25</v>
      </c>
      <c r="I338" s="55">
        <v>44562</v>
      </c>
      <c r="J338" s="56">
        <f>EFEITO!$J$338*EFEITO!$Y$287</f>
        <v>0</v>
      </c>
      <c r="K338" s="56">
        <f ca="1">EFEITO!$L$338*EFEITO!$Z$358</f>
        <v>7230.4941414772702</v>
      </c>
      <c r="L338" s="56">
        <f>EFEITO!$N$338*EFEITO!$AA$358</f>
        <v>975.64892774327484</v>
      </c>
      <c r="M338" s="56">
        <f>$J$338-EFEITO!$K$338*EFEITO!$Y$338</f>
        <v>0</v>
      </c>
      <c r="N338" s="56">
        <f ca="1">$K$338-EFEITO!$M$338*EFEITO!$Z$338</f>
        <v>2892.1976565909081</v>
      </c>
      <c r="O338" s="56">
        <f>$L$338-EFEITO!$O$338*EFEITO!$AA$338</f>
        <v>390.25957109730996</v>
      </c>
      <c r="P338" s="39"/>
      <c r="Q338" s="39"/>
      <c r="R338" s="39"/>
      <c r="S338" s="39"/>
      <c r="T338" s="39"/>
      <c r="U338" s="39"/>
      <c r="V338" s="39"/>
      <c r="W338" s="39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35" t="s">
        <v>21</v>
      </c>
      <c r="B339" s="35" t="s">
        <v>22</v>
      </c>
      <c r="C339" s="35" t="s">
        <v>23</v>
      </c>
      <c r="D339" s="35" t="s">
        <v>24</v>
      </c>
      <c r="E339" s="35" t="s">
        <v>30</v>
      </c>
      <c r="F339" s="35" t="s">
        <v>25</v>
      </c>
      <c r="G339" s="35" t="s">
        <v>25</v>
      </c>
      <c r="H339" s="35" t="s">
        <v>25</v>
      </c>
      <c r="I339" s="55">
        <v>44593</v>
      </c>
      <c r="J339" s="56">
        <f>EFEITO!$J$339*EFEITO!$Y$287</f>
        <v>0</v>
      </c>
      <c r="K339" s="56">
        <f ca="1">EFEITO!$L$339*EFEITO!$Z$358</f>
        <v>7490.4799476031003</v>
      </c>
      <c r="L339" s="56">
        <f>EFEITO!$N$339*EFEITO!$AA$358</f>
        <v>1010.7301916253741</v>
      </c>
      <c r="M339" s="56">
        <f>$J$339-EFEITO!$K$339*EFEITO!$Y$339</f>
        <v>0</v>
      </c>
      <c r="N339" s="56">
        <f ca="1">$K$339-EFEITO!$M$339*EFEITO!$Z$339</f>
        <v>2996.1919790412394</v>
      </c>
      <c r="O339" s="56">
        <f>$L$339-EFEITO!$O$339*EFEITO!$AA$339</f>
        <v>404.29207665014962</v>
      </c>
      <c r="P339" s="39"/>
      <c r="Q339" s="39"/>
      <c r="R339" s="39"/>
      <c r="S339" s="39"/>
      <c r="T339" s="39"/>
      <c r="U339" s="39"/>
      <c r="V339" s="39"/>
      <c r="W339" s="39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35" t="s">
        <v>21</v>
      </c>
      <c r="B340" s="35" t="s">
        <v>22</v>
      </c>
      <c r="C340" s="35" t="s">
        <v>23</v>
      </c>
      <c r="D340" s="35" t="s">
        <v>24</v>
      </c>
      <c r="E340" s="35" t="s">
        <v>30</v>
      </c>
      <c r="F340" s="35" t="s">
        <v>25</v>
      </c>
      <c r="G340" s="35" t="s">
        <v>25</v>
      </c>
      <c r="H340" s="35" t="s">
        <v>25</v>
      </c>
      <c r="I340" s="55">
        <v>44621</v>
      </c>
      <c r="J340" s="56">
        <f>EFEITO!$J$340*EFEITO!$Y$287</f>
        <v>0</v>
      </c>
      <c r="K340" s="56">
        <f ca="1">EFEITO!$L$340*EFEITO!$Z$358</f>
        <v>7696.735353796259</v>
      </c>
      <c r="L340" s="56">
        <f>EFEITO!$N$340*EFEITO!$AA$358</f>
        <v>1038.5613276385063</v>
      </c>
      <c r="M340" s="56">
        <f>$J$340-EFEITO!$K$340*EFEITO!$Y$340</f>
        <v>0</v>
      </c>
      <c r="N340" s="56">
        <f ca="1">$K$340-EFEITO!$M$340*EFEITO!$Z$340</f>
        <v>3078.6941415185029</v>
      </c>
      <c r="O340" s="56">
        <f>$L$340-EFEITO!$O$340*EFEITO!$AA$340</f>
        <v>415.42453105540255</v>
      </c>
      <c r="P340" s="39"/>
      <c r="Q340" s="39"/>
      <c r="R340" s="39"/>
      <c r="S340" s="39"/>
      <c r="T340" s="39"/>
      <c r="U340" s="39"/>
      <c r="V340" s="39"/>
      <c r="W340" s="39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35" t="s">
        <v>21</v>
      </c>
      <c r="B341" s="35" t="s">
        <v>22</v>
      </c>
      <c r="C341" s="35" t="s">
        <v>23</v>
      </c>
      <c r="D341" s="35" t="s">
        <v>24</v>
      </c>
      <c r="E341" s="35" t="s">
        <v>30</v>
      </c>
      <c r="F341" s="35" t="s">
        <v>25</v>
      </c>
      <c r="G341" s="35" t="s">
        <v>25</v>
      </c>
      <c r="H341" s="35" t="s">
        <v>25</v>
      </c>
      <c r="I341" s="55">
        <v>44652</v>
      </c>
      <c r="J341" s="56">
        <f>EFEITO!$J$341*EFEITO!$Y$287</f>
        <v>0</v>
      </c>
      <c r="K341" s="56">
        <f ca="1">EFEITO!$L$341*EFEITO!$Z$358</f>
        <v>10785.944476806964</v>
      </c>
      <c r="L341" s="56">
        <f>EFEITO!$N$341*EFEITO!$AA$358</f>
        <v>1455.4047009220294</v>
      </c>
      <c r="M341" s="56">
        <f>$J$341-EFEITO!$K$341*EFEITO!$Y$341</f>
        <v>0</v>
      </c>
      <c r="N341" s="56">
        <f ca="1">$K$341-EFEITO!$M$341*EFEITO!$Z$341</f>
        <v>4314.3777907227859</v>
      </c>
      <c r="O341" s="56">
        <f>$L$341-EFEITO!$O$341*EFEITO!$AA$341</f>
        <v>582.16188036881181</v>
      </c>
      <c r="P341" s="39"/>
      <c r="Q341" s="39"/>
      <c r="R341" s="39"/>
      <c r="S341" s="39"/>
      <c r="T341" s="39"/>
      <c r="U341" s="39"/>
      <c r="V341" s="39"/>
      <c r="W341" s="39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35" t="s">
        <v>21</v>
      </c>
      <c r="B342" s="35" t="s">
        <v>22</v>
      </c>
      <c r="C342" s="35" t="s">
        <v>23</v>
      </c>
      <c r="D342" s="35" t="s">
        <v>24</v>
      </c>
      <c r="E342" s="35" t="s">
        <v>30</v>
      </c>
      <c r="F342" s="35" t="s">
        <v>25</v>
      </c>
      <c r="G342" s="35" t="s">
        <v>25</v>
      </c>
      <c r="H342" s="35" t="s">
        <v>25</v>
      </c>
      <c r="I342" s="55">
        <v>44682</v>
      </c>
      <c r="J342" s="56">
        <f>EFEITO!$J$342*EFEITO!$Y$287</f>
        <v>0</v>
      </c>
      <c r="K342" s="56">
        <f ca="1">EFEITO!$L$342*EFEITO!$Z$358</f>
        <v>10784.788984335295</v>
      </c>
      <c r="L342" s="56">
        <f>EFEITO!$N$342*EFEITO!$AA$358</f>
        <v>1455.2487841936645</v>
      </c>
      <c r="M342" s="56">
        <f>$J$342-EFEITO!$K$342*EFEITO!$Y$342</f>
        <v>0</v>
      </c>
      <c r="N342" s="56">
        <f ca="1">$K$342-EFEITO!$M$342*EFEITO!$Z$342</f>
        <v>4313.9155937341184</v>
      </c>
      <c r="O342" s="56">
        <f>$L$342-EFEITO!$O$342*EFEITO!$AA$342</f>
        <v>582.09951367746578</v>
      </c>
      <c r="P342" s="39"/>
      <c r="Q342" s="39"/>
      <c r="R342" s="39"/>
      <c r="S342" s="39"/>
      <c r="T342" s="39"/>
      <c r="U342" s="39"/>
      <c r="V342" s="39"/>
      <c r="W342" s="39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35" t="s">
        <v>21</v>
      </c>
      <c r="B343" s="35" t="s">
        <v>22</v>
      </c>
      <c r="C343" s="35" t="s">
        <v>23</v>
      </c>
      <c r="D343" s="35" t="s">
        <v>24</v>
      </c>
      <c r="E343" s="35" t="s">
        <v>30</v>
      </c>
      <c r="F343" s="35" t="s">
        <v>25</v>
      </c>
      <c r="G343" s="35" t="s">
        <v>25</v>
      </c>
      <c r="H343" s="35" t="s">
        <v>25</v>
      </c>
      <c r="I343" s="55">
        <v>44713</v>
      </c>
      <c r="J343" s="56">
        <f>EFEITO!$J$343*EFEITO!$Y$287</f>
        <v>0</v>
      </c>
      <c r="K343" s="56">
        <f ca="1">EFEITO!$L$343*EFEITO!$Z$358</f>
        <v>10085.138292738891</v>
      </c>
      <c r="L343" s="56">
        <f>EFEITO!$N$343*EFEITO!$AA$358</f>
        <v>1360.8412051687258</v>
      </c>
      <c r="M343" s="56">
        <f>$J$343-EFEITO!$K$343*EFEITO!$Y$343</f>
        <v>0</v>
      </c>
      <c r="N343" s="56">
        <f ca="1">$K$343-EFEITO!$M$343*EFEITO!$Z$343</f>
        <v>4034.0553170955563</v>
      </c>
      <c r="O343" s="56">
        <f>$L$343-EFEITO!$O$343*EFEITO!$AA$343</f>
        <v>544.33648206749024</v>
      </c>
      <c r="P343" s="39"/>
      <c r="Q343" s="39"/>
      <c r="R343" s="39"/>
      <c r="S343" s="39"/>
      <c r="T343" s="39"/>
      <c r="U343" s="39"/>
      <c r="V343" s="39"/>
      <c r="W343" s="39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35" t="s">
        <v>21</v>
      </c>
      <c r="B344" s="35" t="s">
        <v>22</v>
      </c>
      <c r="C344" s="35" t="s">
        <v>23</v>
      </c>
      <c r="D344" s="35" t="s">
        <v>24</v>
      </c>
      <c r="E344" s="35" t="s">
        <v>30</v>
      </c>
      <c r="F344" s="35" t="s">
        <v>25</v>
      </c>
      <c r="G344" s="35" t="s">
        <v>25</v>
      </c>
      <c r="H344" s="35" t="s">
        <v>25</v>
      </c>
      <c r="I344" s="55">
        <v>44743</v>
      </c>
      <c r="J344" s="56">
        <f>EFEITO!$J$344*EFEITO!$Y$287</f>
        <v>0</v>
      </c>
      <c r="K344" s="56">
        <f ca="1">EFEITO!$L$344*EFEITO!$Z$358</f>
        <v>9674.9384652959125</v>
      </c>
      <c r="L344" s="56">
        <f>EFEITO!$N$344*EFEITO!$AA$358</f>
        <v>1305.4907665991911</v>
      </c>
      <c r="M344" s="56">
        <f>$J$344-EFEITO!$K$344*EFEITO!$Y$344</f>
        <v>0</v>
      </c>
      <c r="N344" s="56">
        <f ca="1">$K$344-EFEITO!$M$344*EFEITO!$Z$344</f>
        <v>3869.9753861183644</v>
      </c>
      <c r="O344" s="56">
        <f>$L$344-EFEITO!$O$344*EFEITO!$AA$344</f>
        <v>522.19630663967644</v>
      </c>
      <c r="P344" s="39"/>
      <c r="Q344" s="39"/>
      <c r="R344" s="39"/>
      <c r="S344" s="39"/>
      <c r="T344" s="39"/>
      <c r="U344" s="39"/>
      <c r="V344" s="39"/>
      <c r="W344" s="39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35" t="s">
        <v>21</v>
      </c>
      <c r="B345" s="35" t="s">
        <v>22</v>
      </c>
      <c r="C345" s="35" t="s">
        <v>23</v>
      </c>
      <c r="D345" s="35" t="s">
        <v>24</v>
      </c>
      <c r="E345" s="35" t="s">
        <v>30</v>
      </c>
      <c r="F345" s="35" t="s">
        <v>25</v>
      </c>
      <c r="G345" s="35" t="s">
        <v>25</v>
      </c>
      <c r="H345" s="35" t="s">
        <v>25</v>
      </c>
      <c r="I345" s="55">
        <v>44774</v>
      </c>
      <c r="J345" s="56">
        <f>EFEITO!$J$345*EFEITO!$Y$287</f>
        <v>0</v>
      </c>
      <c r="K345" s="56">
        <f ca="1">EFEITO!$L$345*EFEITO!$Z$358</f>
        <v>9892.7487962057767</v>
      </c>
      <c r="L345" s="56">
        <f>EFEITO!$N$345*EFEITO!$AA$358</f>
        <v>1334.8810698959724</v>
      </c>
      <c r="M345" s="56">
        <f>$J$345-EFEITO!$K$345*EFEITO!$Y$345</f>
        <v>0</v>
      </c>
      <c r="N345" s="56">
        <f ca="1">$K$345-EFEITO!$M$345*EFEITO!$Z$345</f>
        <v>3957.0995184823105</v>
      </c>
      <c r="O345" s="56">
        <f>$L$345-EFEITO!$O$345*EFEITO!$AA$345</f>
        <v>533.95242795838885</v>
      </c>
      <c r="P345" s="39"/>
      <c r="Q345" s="39"/>
      <c r="R345" s="39"/>
      <c r="S345" s="39"/>
      <c r="T345" s="39"/>
      <c r="U345" s="39"/>
      <c r="V345" s="39"/>
      <c r="W345" s="39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35" t="s">
        <v>21</v>
      </c>
      <c r="B346" s="35" t="s">
        <v>22</v>
      </c>
      <c r="C346" s="35" t="s">
        <v>23</v>
      </c>
      <c r="D346" s="35" t="s">
        <v>24</v>
      </c>
      <c r="E346" s="35" t="s">
        <v>31</v>
      </c>
      <c r="F346" s="35" t="s">
        <v>25</v>
      </c>
      <c r="G346" s="35" t="s">
        <v>25</v>
      </c>
      <c r="H346" s="35" t="s">
        <v>25</v>
      </c>
      <c r="I346" s="55">
        <v>44440</v>
      </c>
      <c r="J346" s="56">
        <f>EFEITO!$J$346*EFEITO!$Y$287</f>
        <v>0</v>
      </c>
      <c r="K346" s="56">
        <f ca="1">EFEITO!$L$346*EFEITO!$Z$358</f>
        <v>7532.0776765832343</v>
      </c>
      <c r="L346" s="56">
        <f>EFEITO!$N$346*EFEITO!$AA$358</f>
        <v>1016.3431938465101</v>
      </c>
      <c r="M346" s="56">
        <f>$J$346-EFEITO!$K$346*EFEITO!$Y$346</f>
        <v>0</v>
      </c>
      <c r="N346" s="56">
        <f ca="1">$K$346-EFEITO!$M$346*EFEITO!$Z$346</f>
        <v>753.20776765832397</v>
      </c>
      <c r="O346" s="56">
        <f>$L$346-EFEITO!$O$346*EFEITO!$AA$346</f>
        <v>101.63431938465101</v>
      </c>
      <c r="P346" s="39"/>
      <c r="Q346" s="39"/>
      <c r="R346" s="39"/>
      <c r="S346" s="39"/>
      <c r="T346" s="39"/>
      <c r="U346" s="39"/>
      <c r="V346" s="39"/>
      <c r="W346" s="39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35" t="s">
        <v>21</v>
      </c>
      <c r="B347" s="35" t="s">
        <v>22</v>
      </c>
      <c r="C347" s="35" t="s">
        <v>23</v>
      </c>
      <c r="D347" s="35" t="s">
        <v>24</v>
      </c>
      <c r="E347" s="35" t="s">
        <v>31</v>
      </c>
      <c r="F347" s="35" t="s">
        <v>25</v>
      </c>
      <c r="G347" s="35" t="s">
        <v>25</v>
      </c>
      <c r="H347" s="35" t="s">
        <v>25</v>
      </c>
      <c r="I347" s="55">
        <v>44470</v>
      </c>
      <c r="J347" s="56">
        <f>EFEITO!$J$347*EFEITO!$Y$287</f>
        <v>0</v>
      </c>
      <c r="K347" s="56">
        <f ca="1">EFEITO!$L$347*EFEITO!$Z$358</f>
        <v>6912.1559655320862</v>
      </c>
      <c r="L347" s="56">
        <f>EFEITO!$N$347*EFEITO!$AA$358</f>
        <v>932.69386907874866</v>
      </c>
      <c r="M347" s="56">
        <f>$J$347-EFEITO!$K$347*EFEITO!$Y$347</f>
        <v>0</v>
      </c>
      <c r="N347" s="56">
        <f ca="1">$K$347-EFEITO!$M$347*EFEITO!$Z$347</f>
        <v>691.21559655320834</v>
      </c>
      <c r="O347" s="56">
        <f>$L$347-EFEITO!$O$347*EFEITO!$AA$347</f>
        <v>93.269386907874832</v>
      </c>
      <c r="P347" s="39"/>
      <c r="Q347" s="39"/>
      <c r="R347" s="39"/>
      <c r="S347" s="39"/>
      <c r="T347" s="39"/>
      <c r="U347" s="39"/>
      <c r="V347" s="39"/>
      <c r="W347" s="39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35" t="s">
        <v>21</v>
      </c>
      <c r="B348" s="35" t="s">
        <v>22</v>
      </c>
      <c r="C348" s="35" t="s">
        <v>23</v>
      </c>
      <c r="D348" s="35" t="s">
        <v>24</v>
      </c>
      <c r="E348" s="35" t="s">
        <v>31</v>
      </c>
      <c r="F348" s="35" t="s">
        <v>25</v>
      </c>
      <c r="G348" s="35" t="s">
        <v>25</v>
      </c>
      <c r="H348" s="35" t="s">
        <v>25</v>
      </c>
      <c r="I348" s="55">
        <v>44501</v>
      </c>
      <c r="J348" s="56">
        <f>EFEITO!$J$348*EFEITO!$Y$287</f>
        <v>0</v>
      </c>
      <c r="K348" s="56">
        <f ca="1">EFEITO!$L$348*EFEITO!$Z$358</f>
        <v>7411.3287132936812</v>
      </c>
      <c r="L348" s="56">
        <f>EFEITO!$N$348*EFEITO!$AA$358</f>
        <v>1000.0498957323794</v>
      </c>
      <c r="M348" s="56">
        <f>$J$348-EFEITO!$K$348*EFEITO!$Y$348</f>
        <v>0</v>
      </c>
      <c r="N348" s="56">
        <f ca="1">$K$348-EFEITO!$M$348*EFEITO!$Z$348</f>
        <v>741.13287132936875</v>
      </c>
      <c r="O348" s="56">
        <f>$L$348-EFEITO!$O$348*EFEITO!$AA$348</f>
        <v>100.00498957323794</v>
      </c>
      <c r="P348" s="39"/>
      <c r="Q348" s="39"/>
      <c r="R348" s="39"/>
      <c r="S348" s="39"/>
      <c r="T348" s="39"/>
      <c r="U348" s="39"/>
      <c r="V348" s="39"/>
      <c r="W348" s="39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35" t="s">
        <v>21</v>
      </c>
      <c r="B349" s="35" t="s">
        <v>22</v>
      </c>
      <c r="C349" s="35" t="s">
        <v>23</v>
      </c>
      <c r="D349" s="35" t="s">
        <v>24</v>
      </c>
      <c r="E349" s="35" t="s">
        <v>31</v>
      </c>
      <c r="F349" s="35" t="s">
        <v>25</v>
      </c>
      <c r="G349" s="35" t="s">
        <v>25</v>
      </c>
      <c r="H349" s="35" t="s">
        <v>25</v>
      </c>
      <c r="I349" s="55">
        <v>44531</v>
      </c>
      <c r="J349" s="56">
        <f>EFEITO!$J$349*EFEITO!$Y$287</f>
        <v>0</v>
      </c>
      <c r="K349" s="56">
        <f ca="1">EFEITO!$L$349*EFEITO!$Z$358</f>
        <v>6715.7222453481254</v>
      </c>
      <c r="L349" s="56">
        <f>EFEITO!$N$349*EFEITO!$AA$358</f>
        <v>906.18802525671799</v>
      </c>
      <c r="M349" s="56">
        <f>$J$349-EFEITO!$K$349*EFEITO!$Y$349</f>
        <v>0</v>
      </c>
      <c r="N349" s="56">
        <f ca="1">$K$349-EFEITO!$M$349*EFEITO!$Z$349</f>
        <v>671.57222453481245</v>
      </c>
      <c r="O349" s="56">
        <f>$L$349-EFEITO!$O$349*EFEITO!$AA$349</f>
        <v>90.618802525671754</v>
      </c>
      <c r="P349" s="39"/>
      <c r="Q349" s="39"/>
      <c r="R349" s="39"/>
      <c r="S349" s="39"/>
      <c r="T349" s="39"/>
      <c r="U349" s="39"/>
      <c r="V349" s="39"/>
      <c r="W349" s="39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35" t="s">
        <v>21</v>
      </c>
      <c r="B350" s="35" t="s">
        <v>22</v>
      </c>
      <c r="C350" s="35" t="s">
        <v>23</v>
      </c>
      <c r="D350" s="35" t="s">
        <v>24</v>
      </c>
      <c r="E350" s="35" t="s">
        <v>31</v>
      </c>
      <c r="F350" s="35" t="s">
        <v>25</v>
      </c>
      <c r="G350" s="35" t="s">
        <v>25</v>
      </c>
      <c r="H350" s="35" t="s">
        <v>25</v>
      </c>
      <c r="I350" s="55">
        <v>44562</v>
      </c>
      <c r="J350" s="56">
        <f>EFEITO!$J$350*EFEITO!$Y$287</f>
        <v>0</v>
      </c>
      <c r="K350" s="56">
        <f ca="1">EFEITO!$L$350*EFEITO!$Z$358</f>
        <v>7968.8538308746292</v>
      </c>
      <c r="L350" s="56">
        <f>EFEITO!$N$350*EFEITO!$AA$358</f>
        <v>1075.2797171684369</v>
      </c>
      <c r="M350" s="56">
        <f>$J$350-EFEITO!$K$350*EFEITO!$Y$350</f>
        <v>0</v>
      </c>
      <c r="N350" s="56">
        <f ca="1">$K$350-EFEITO!$M$350*EFEITO!$Z$350</f>
        <v>796.8853830874632</v>
      </c>
      <c r="O350" s="56">
        <f>$L$350-EFEITO!$O$350*EFEITO!$AA$350</f>
        <v>107.52797171684369</v>
      </c>
      <c r="P350" s="39"/>
      <c r="Q350" s="39"/>
      <c r="R350" s="39"/>
      <c r="S350" s="39"/>
      <c r="T350" s="39"/>
      <c r="U350" s="39"/>
      <c r="V350" s="39"/>
      <c r="W350" s="39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35" t="s">
        <v>21</v>
      </c>
      <c r="B351" s="35" t="s">
        <v>22</v>
      </c>
      <c r="C351" s="35" t="s">
        <v>23</v>
      </c>
      <c r="D351" s="35" t="s">
        <v>24</v>
      </c>
      <c r="E351" s="35" t="s">
        <v>31</v>
      </c>
      <c r="F351" s="35" t="s">
        <v>25</v>
      </c>
      <c r="G351" s="35" t="s">
        <v>25</v>
      </c>
      <c r="H351" s="35" t="s">
        <v>25</v>
      </c>
      <c r="I351" s="55">
        <v>44593</v>
      </c>
      <c r="J351" s="56">
        <f>EFEITO!$J$351*EFEITO!$Y$287</f>
        <v>0</v>
      </c>
      <c r="K351" s="56">
        <f ca="1">EFEITO!$L$351*EFEITO!$Z$358</f>
        <v>9286.6929948146753</v>
      </c>
      <c r="L351" s="56">
        <f>EFEITO!$N$351*EFEITO!$AA$358</f>
        <v>1253.1027458685896</v>
      </c>
      <c r="M351" s="56">
        <f>$J$351-EFEITO!$K$351*EFEITO!$Y$351</f>
        <v>0</v>
      </c>
      <c r="N351" s="56">
        <f ca="1">$K$351-EFEITO!$M$351*EFEITO!$Z$351</f>
        <v>928.66929948146935</v>
      </c>
      <c r="O351" s="56">
        <f>$L$351-EFEITO!$O$351*EFEITO!$AA$351</f>
        <v>125.3102745868589</v>
      </c>
      <c r="P351" s="39"/>
      <c r="Q351" s="39"/>
      <c r="R351" s="39"/>
      <c r="S351" s="39"/>
      <c r="T351" s="39"/>
      <c r="U351" s="39"/>
      <c r="V351" s="39"/>
      <c r="W351" s="39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35" t="s">
        <v>21</v>
      </c>
      <c r="B352" s="35" t="s">
        <v>22</v>
      </c>
      <c r="C352" s="35" t="s">
        <v>23</v>
      </c>
      <c r="D352" s="35" t="s">
        <v>24</v>
      </c>
      <c r="E352" s="35" t="s">
        <v>31</v>
      </c>
      <c r="F352" s="35" t="s">
        <v>25</v>
      </c>
      <c r="G352" s="35" t="s">
        <v>25</v>
      </c>
      <c r="H352" s="35" t="s">
        <v>25</v>
      </c>
      <c r="I352" s="55">
        <v>44621</v>
      </c>
      <c r="J352" s="56">
        <f>EFEITO!$J$352*EFEITO!$Y$287</f>
        <v>0</v>
      </c>
      <c r="K352" s="56">
        <f ca="1">EFEITO!$L$352*EFEITO!$Z$358</f>
        <v>9478.5047451119517</v>
      </c>
      <c r="L352" s="56">
        <f>EFEITO!$N$352*EFEITO!$AA$358</f>
        <v>1278.9849227771606</v>
      </c>
      <c r="M352" s="56">
        <f>$J$352-EFEITO!$K$352*EFEITO!$Y$352</f>
        <v>0</v>
      </c>
      <c r="N352" s="56">
        <f ca="1">$K$352-EFEITO!$M$352*EFEITO!$Z$352</f>
        <v>947.85047451119499</v>
      </c>
      <c r="O352" s="56">
        <f>$L$352-EFEITO!$O$352*EFEITO!$AA$352</f>
        <v>127.89849227771606</v>
      </c>
      <c r="P352" s="39"/>
      <c r="Q352" s="39"/>
      <c r="R352" s="39"/>
      <c r="S352" s="39"/>
      <c r="T352" s="39"/>
      <c r="U352" s="39"/>
      <c r="V352" s="39"/>
      <c r="W352" s="39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35" t="s">
        <v>21</v>
      </c>
      <c r="B353" s="35" t="s">
        <v>22</v>
      </c>
      <c r="C353" s="35" t="s">
        <v>23</v>
      </c>
      <c r="D353" s="35" t="s">
        <v>24</v>
      </c>
      <c r="E353" s="35" t="s">
        <v>31</v>
      </c>
      <c r="F353" s="35" t="s">
        <v>25</v>
      </c>
      <c r="G353" s="35" t="s">
        <v>25</v>
      </c>
      <c r="H353" s="35" t="s">
        <v>25</v>
      </c>
      <c r="I353" s="55">
        <v>44652</v>
      </c>
      <c r="J353" s="56">
        <f>EFEITO!$J$353*EFEITO!$Y$287</f>
        <v>0</v>
      </c>
      <c r="K353" s="56">
        <f ca="1">EFEITO!$L$353*EFEITO!$Z$358</f>
        <v>12098.58392462449</v>
      </c>
      <c r="L353" s="56">
        <f>EFEITO!$N$353*EFEITO!$AA$358</f>
        <v>1632.5261043445398</v>
      </c>
      <c r="M353" s="56">
        <f>$J$353-EFEITO!$K$353*EFEITO!$Y$353</f>
        <v>0</v>
      </c>
      <c r="N353" s="56">
        <f ca="1">$K$353-EFEITO!$M$353*EFEITO!$Z$353</f>
        <v>1209.858392462449</v>
      </c>
      <c r="O353" s="56">
        <f>$L$353-EFEITO!$O$353*EFEITO!$AA$353</f>
        <v>163.25261043445403</v>
      </c>
      <c r="P353" s="39"/>
      <c r="Q353" s="39"/>
      <c r="R353" s="39"/>
      <c r="S353" s="39"/>
      <c r="T353" s="39"/>
      <c r="U353" s="39"/>
      <c r="V353" s="39"/>
      <c r="W353" s="39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35" t="s">
        <v>21</v>
      </c>
      <c r="B354" s="35" t="s">
        <v>22</v>
      </c>
      <c r="C354" s="35" t="s">
        <v>23</v>
      </c>
      <c r="D354" s="35" t="s">
        <v>24</v>
      </c>
      <c r="E354" s="35" t="s">
        <v>31</v>
      </c>
      <c r="F354" s="35" t="s">
        <v>25</v>
      </c>
      <c r="G354" s="35" t="s">
        <v>25</v>
      </c>
      <c r="H354" s="35" t="s">
        <v>25</v>
      </c>
      <c r="I354" s="55">
        <v>44682</v>
      </c>
      <c r="J354" s="56">
        <f>EFEITO!$J$354*EFEITO!$Y$287</f>
        <v>0</v>
      </c>
      <c r="K354" s="56">
        <f ca="1">EFEITO!$L$354*EFEITO!$Z$358</f>
        <v>11970.324260269083</v>
      </c>
      <c r="L354" s="56">
        <f>EFEITO!$N$354*EFEITO!$AA$358</f>
        <v>1615.2193474960377</v>
      </c>
      <c r="M354" s="56">
        <f>$J$354-EFEITO!$K$354*EFEITO!$Y$354</f>
        <v>0</v>
      </c>
      <c r="N354" s="56">
        <f ca="1">$K$354-EFEITO!$M$354*EFEITO!$Z$354</f>
        <v>1197.0324260269081</v>
      </c>
      <c r="O354" s="56">
        <f>$L$354-EFEITO!$O$354*EFEITO!$AA$354</f>
        <v>161.52193474960382</v>
      </c>
      <c r="P354" s="39"/>
      <c r="Q354" s="39"/>
      <c r="R354" s="39"/>
      <c r="S354" s="39"/>
      <c r="T354" s="39"/>
      <c r="U354" s="39"/>
      <c r="V354" s="39"/>
      <c r="W354" s="39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35" t="s">
        <v>21</v>
      </c>
      <c r="B355" s="35" t="s">
        <v>22</v>
      </c>
      <c r="C355" s="35" t="s">
        <v>23</v>
      </c>
      <c r="D355" s="35" t="s">
        <v>24</v>
      </c>
      <c r="E355" s="35" t="s">
        <v>31</v>
      </c>
      <c r="F355" s="35" t="s">
        <v>25</v>
      </c>
      <c r="G355" s="35" t="s">
        <v>25</v>
      </c>
      <c r="H355" s="35" t="s">
        <v>25</v>
      </c>
      <c r="I355" s="55">
        <v>44713</v>
      </c>
      <c r="J355" s="56">
        <f>EFEITO!$J$355*EFEITO!$Y$287</f>
        <v>0</v>
      </c>
      <c r="K355" s="56">
        <f ca="1">EFEITO!$L$355*EFEITO!$Z$358</f>
        <v>11604.033146749578</v>
      </c>
      <c r="L355" s="56">
        <f>EFEITO!$N$355*EFEITO!$AA$358</f>
        <v>1565.7937446043686</v>
      </c>
      <c r="M355" s="56">
        <f>$J$355-EFEITO!$K$355*EFEITO!$Y$355</f>
        <v>0</v>
      </c>
      <c r="N355" s="56">
        <f ca="1">$K$355-EFEITO!$M$355*EFEITO!$Z$355</f>
        <v>1160.4033146749571</v>
      </c>
      <c r="O355" s="56">
        <f>$L$355-EFEITO!$O$355*EFEITO!$AA$355</f>
        <v>156.57937446043684</v>
      </c>
      <c r="P355" s="39"/>
      <c r="Q355" s="39"/>
      <c r="R355" s="39"/>
      <c r="S355" s="39"/>
      <c r="T355" s="39"/>
      <c r="U355" s="39"/>
      <c r="V355" s="39"/>
      <c r="W355" s="39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35" t="s">
        <v>21</v>
      </c>
      <c r="B356" s="35" t="s">
        <v>22</v>
      </c>
      <c r="C356" s="35" t="s">
        <v>23</v>
      </c>
      <c r="D356" s="35" t="s">
        <v>24</v>
      </c>
      <c r="E356" s="35" t="s">
        <v>31</v>
      </c>
      <c r="F356" s="35" t="s">
        <v>25</v>
      </c>
      <c r="G356" s="35" t="s">
        <v>25</v>
      </c>
      <c r="H356" s="35" t="s">
        <v>25</v>
      </c>
      <c r="I356" s="55">
        <v>44743</v>
      </c>
      <c r="J356" s="56">
        <f>EFEITO!$J$356*EFEITO!$Y$287</f>
        <v>0</v>
      </c>
      <c r="K356" s="56">
        <f ca="1">EFEITO!$L$356*EFEITO!$Z$358</f>
        <v>9527.6131751579433</v>
      </c>
      <c r="L356" s="56">
        <f>EFEITO!$N$356*EFEITO!$AA$358</f>
        <v>1285.6113837326684</v>
      </c>
      <c r="M356" s="56">
        <f>$J$356-EFEITO!$K$356*EFEITO!$Y$356</f>
        <v>0</v>
      </c>
      <c r="N356" s="56">
        <f ca="1">$K$356-EFEITO!$M$356*EFEITO!$Z$356</f>
        <v>952.76131751579487</v>
      </c>
      <c r="O356" s="56">
        <f>$L$356-EFEITO!$O$356*EFEITO!$AA$356</f>
        <v>128.56113837326689</v>
      </c>
      <c r="P356" s="39"/>
      <c r="Q356" s="39"/>
      <c r="R356" s="39"/>
      <c r="S356" s="39"/>
      <c r="T356" s="39"/>
      <c r="U356" s="39"/>
      <c r="V356" s="39"/>
      <c r="W356" s="39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35" t="s">
        <v>21</v>
      </c>
      <c r="B357" s="35" t="s">
        <v>22</v>
      </c>
      <c r="C357" s="35" t="s">
        <v>23</v>
      </c>
      <c r="D357" s="35" t="s">
        <v>24</v>
      </c>
      <c r="E357" s="35" t="s">
        <v>31</v>
      </c>
      <c r="F357" s="35" t="s">
        <v>25</v>
      </c>
      <c r="G357" s="35" t="s">
        <v>25</v>
      </c>
      <c r="H357" s="35" t="s">
        <v>25</v>
      </c>
      <c r="I357" s="55">
        <v>44774</v>
      </c>
      <c r="J357" s="56">
        <f>EFEITO!$J$357*EFEITO!$Y$287</f>
        <v>0</v>
      </c>
      <c r="K357" s="56">
        <f ca="1">EFEITO!$L$357*EFEITO!$Z$358</f>
        <v>11020.509448556046</v>
      </c>
      <c r="L357" s="56">
        <f>EFEITO!$N$357*EFEITO!$AA$358</f>
        <v>1487.055796780101</v>
      </c>
      <c r="M357" s="56">
        <f>$J$357-EFEITO!$K$357*EFEITO!$Y$357</f>
        <v>0</v>
      </c>
      <c r="N357" s="56">
        <f ca="1">$K$357-EFEITO!$M$357*EFEITO!$Z$357</f>
        <v>1102.050944855604</v>
      </c>
      <c r="O357" s="56">
        <f>$L$357-EFEITO!$O$357*EFEITO!$AA$357</f>
        <v>148.70557967801005</v>
      </c>
      <c r="P357" s="39"/>
      <c r="Q357" s="39"/>
      <c r="R357" s="39"/>
      <c r="S357" s="39"/>
      <c r="T357" s="39"/>
      <c r="U357" s="39"/>
      <c r="V357" s="39"/>
      <c r="W357" s="39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35" t="s">
        <v>21</v>
      </c>
      <c r="B358" s="35" t="s">
        <v>22</v>
      </c>
      <c r="C358" s="35" t="s">
        <v>23</v>
      </c>
      <c r="D358" s="35" t="s">
        <v>24</v>
      </c>
      <c r="E358" s="35" t="s">
        <v>32</v>
      </c>
      <c r="F358" s="35" t="s">
        <v>25</v>
      </c>
      <c r="G358" s="35" t="s">
        <v>25</v>
      </c>
      <c r="H358" s="35" t="s">
        <v>25</v>
      </c>
      <c r="I358" s="55">
        <v>44440</v>
      </c>
      <c r="J358" s="56">
        <f>EFEITO!$J$358*EFEITO!$Y$287</f>
        <v>0</v>
      </c>
      <c r="K358" s="56">
        <f ca="1">EFEITO!$L$358*EFEITO!$Z$358</f>
        <v>3605.7142578473545</v>
      </c>
      <c r="L358" s="56">
        <f>EFEITO!$N$358*EFEITO!$AA$358</f>
        <v>486.53815086262705</v>
      </c>
      <c r="M358" s="56">
        <f>$J$358-EFEITO!$K$358*EFEITO!$Y$358</f>
        <v>0</v>
      </c>
      <c r="N358" s="56">
        <f ca="1">$K$358-EFEITO!$M$358*EFEITO!$Z$358</f>
        <v>0</v>
      </c>
      <c r="O358" s="56">
        <f>$L$358-EFEITO!$O$358*EFEITO!$AA$358</f>
        <v>0</v>
      </c>
      <c r="P358" s="39"/>
      <c r="Q358" s="39"/>
      <c r="R358" s="39"/>
      <c r="S358" s="39"/>
      <c r="T358" s="39"/>
      <c r="U358" s="39"/>
      <c r="V358" s="39"/>
      <c r="W358" s="39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35" t="s">
        <v>21</v>
      </c>
      <c r="B359" s="35" t="s">
        <v>22</v>
      </c>
      <c r="C359" s="35" t="s">
        <v>23</v>
      </c>
      <c r="D359" s="35" t="s">
        <v>24</v>
      </c>
      <c r="E359" s="35" t="s">
        <v>32</v>
      </c>
      <c r="F359" s="35" t="s">
        <v>25</v>
      </c>
      <c r="G359" s="35" t="s">
        <v>25</v>
      </c>
      <c r="H359" s="35" t="s">
        <v>25</v>
      </c>
      <c r="I359" s="55">
        <v>44470</v>
      </c>
      <c r="J359" s="56">
        <f>EFEITO!$J$359*EFEITO!$Y$287</f>
        <v>0</v>
      </c>
      <c r="K359" s="56">
        <f ca="1">EFEITO!$L$359*EFEITO!$Z$358</f>
        <v>2739.6726503304208</v>
      </c>
      <c r="L359" s="56">
        <f>EFEITO!$N$359*EFEITO!$AA$358</f>
        <v>369.67856295314493</v>
      </c>
      <c r="M359" s="56">
        <f>$J$359-EFEITO!$K$359*EFEITO!$Y$359</f>
        <v>0</v>
      </c>
      <c r="N359" s="56">
        <f ca="1">$K$359-EFEITO!$M$359*EFEITO!$Z$359</f>
        <v>0</v>
      </c>
      <c r="O359" s="56">
        <f>$L$359-EFEITO!$O$359*EFEITO!$AA$359</f>
        <v>0</v>
      </c>
      <c r="P359" s="39"/>
      <c r="Q359" s="39"/>
      <c r="R359" s="39"/>
      <c r="S359" s="39"/>
      <c r="T359" s="39"/>
      <c r="U359" s="39"/>
      <c r="V359" s="39"/>
      <c r="W359" s="39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35" t="s">
        <v>21</v>
      </c>
      <c r="B360" s="35" t="s">
        <v>22</v>
      </c>
      <c r="C360" s="35" t="s">
        <v>23</v>
      </c>
      <c r="D360" s="35" t="s">
        <v>24</v>
      </c>
      <c r="E360" s="35" t="s">
        <v>32</v>
      </c>
      <c r="F360" s="35" t="s">
        <v>25</v>
      </c>
      <c r="G360" s="35" t="s">
        <v>25</v>
      </c>
      <c r="H360" s="35" t="s">
        <v>25</v>
      </c>
      <c r="I360" s="55">
        <v>44501</v>
      </c>
      <c r="J360" s="56">
        <f>EFEITO!$J$360*EFEITO!$Y$287</f>
        <v>0</v>
      </c>
      <c r="K360" s="56">
        <f ca="1">EFEITO!$L$360*EFEITO!$Z$358</f>
        <v>3410.4360301350639</v>
      </c>
      <c r="L360" s="56">
        <f>EFEITO!$N$360*EFEITO!$AA$358</f>
        <v>460.18822376896128</v>
      </c>
      <c r="M360" s="56">
        <f>$J$360-EFEITO!$K$360*EFEITO!$Y$360</f>
        <v>0</v>
      </c>
      <c r="N360" s="56">
        <f ca="1">$K$360-EFEITO!$M$360*EFEITO!$Z$360</f>
        <v>0</v>
      </c>
      <c r="O360" s="56">
        <f>$L$360-EFEITO!$O$360*EFEITO!$AA$360</f>
        <v>0</v>
      </c>
      <c r="P360" s="39"/>
      <c r="Q360" s="39"/>
      <c r="R360" s="39"/>
      <c r="S360" s="39"/>
      <c r="T360" s="39"/>
      <c r="U360" s="39"/>
      <c r="V360" s="39"/>
      <c r="W360" s="39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35" t="s">
        <v>21</v>
      </c>
      <c r="B361" s="35" t="s">
        <v>22</v>
      </c>
      <c r="C361" s="35" t="s">
        <v>23</v>
      </c>
      <c r="D361" s="35" t="s">
        <v>24</v>
      </c>
      <c r="E361" s="35" t="s">
        <v>32</v>
      </c>
      <c r="F361" s="35" t="s">
        <v>25</v>
      </c>
      <c r="G361" s="35" t="s">
        <v>25</v>
      </c>
      <c r="H361" s="35" t="s">
        <v>25</v>
      </c>
      <c r="I361" s="55">
        <v>44531</v>
      </c>
      <c r="J361" s="56">
        <f>EFEITO!$J$361*EFEITO!$Y$287</f>
        <v>0</v>
      </c>
      <c r="K361" s="56">
        <f ca="1">EFEITO!$L$361*EFEITO!$Z$358</f>
        <v>2240.4999025688257</v>
      </c>
      <c r="L361" s="56">
        <f>EFEITO!$N$361*EFEITO!$AA$358</f>
        <v>302.32253629951413</v>
      </c>
      <c r="M361" s="56">
        <f>$J$361-EFEITO!$K$361*EFEITO!$Y$361</f>
        <v>0</v>
      </c>
      <c r="N361" s="56">
        <f ca="1">$K$361-EFEITO!$M$361*EFEITO!$Z$361</f>
        <v>0</v>
      </c>
      <c r="O361" s="56">
        <f>$L$361-EFEITO!$O$361*EFEITO!$AA$361</f>
        <v>0</v>
      </c>
      <c r="P361" s="39"/>
      <c r="Q361" s="39"/>
      <c r="R361" s="39"/>
      <c r="S361" s="39"/>
      <c r="T361" s="39"/>
      <c r="U361" s="39"/>
      <c r="V361" s="39"/>
      <c r="W361" s="39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35" t="s">
        <v>21</v>
      </c>
      <c r="B362" s="35" t="s">
        <v>22</v>
      </c>
      <c r="C362" s="35" t="s">
        <v>23</v>
      </c>
      <c r="D362" s="35" t="s">
        <v>24</v>
      </c>
      <c r="E362" s="35" t="s">
        <v>32</v>
      </c>
      <c r="F362" s="35" t="s">
        <v>25</v>
      </c>
      <c r="G362" s="35" t="s">
        <v>25</v>
      </c>
      <c r="H362" s="35" t="s">
        <v>25</v>
      </c>
      <c r="I362" s="55">
        <v>44562</v>
      </c>
      <c r="J362" s="56">
        <f>EFEITO!$J$362*EFEITO!$Y$287</f>
        <v>0</v>
      </c>
      <c r="K362" s="56">
        <f ca="1">EFEITO!$L$362*EFEITO!$Z$358</f>
        <v>4071.9554701663442</v>
      </c>
      <c r="L362" s="56">
        <f>EFEITO!$N$362*EFEITO!$AA$358</f>
        <v>549.45055075785865</v>
      </c>
      <c r="M362" s="56">
        <f>$J$362-EFEITO!$K$362*EFEITO!$Y$362</f>
        <v>0</v>
      </c>
      <c r="N362" s="56">
        <f ca="1">$K$362-EFEITO!$M$362*EFEITO!$Z$362</f>
        <v>0</v>
      </c>
      <c r="O362" s="56">
        <f>$L$362-EFEITO!$O$362*EFEITO!$AA$362</f>
        <v>0</v>
      </c>
      <c r="P362" s="39"/>
      <c r="Q362" s="39"/>
      <c r="R362" s="39"/>
      <c r="S362" s="39"/>
      <c r="T362" s="39"/>
      <c r="U362" s="39"/>
      <c r="V362" s="39"/>
      <c r="W362" s="39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35" t="s">
        <v>21</v>
      </c>
      <c r="B363" s="35" t="s">
        <v>22</v>
      </c>
      <c r="C363" s="35" t="s">
        <v>23</v>
      </c>
      <c r="D363" s="35" t="s">
        <v>24</v>
      </c>
      <c r="E363" s="35" t="s">
        <v>32</v>
      </c>
      <c r="F363" s="35" t="s">
        <v>25</v>
      </c>
      <c r="G363" s="35" t="s">
        <v>25</v>
      </c>
      <c r="H363" s="35" t="s">
        <v>25</v>
      </c>
      <c r="I363" s="55">
        <v>44593</v>
      </c>
      <c r="J363" s="56">
        <f>EFEITO!$J$363*EFEITO!$Y$287</f>
        <v>0</v>
      </c>
      <c r="K363" s="56">
        <f ca="1">EFEITO!$L$363*EFEITO!$Z$358</f>
        <v>6014.9160612800524</v>
      </c>
      <c r="L363" s="56">
        <f>EFEITO!$N$363*EFEITO!$AA$358</f>
        <v>811.62452950341458</v>
      </c>
      <c r="M363" s="56">
        <f>$J$363-EFEITO!$K$363*EFEITO!$Y$363</f>
        <v>0</v>
      </c>
      <c r="N363" s="56">
        <f ca="1">$K$363-EFEITO!$M$363*EFEITO!$Z$363</f>
        <v>0</v>
      </c>
      <c r="O363" s="56">
        <f>$L$363-EFEITO!$O$363*EFEITO!$AA$363</f>
        <v>0</v>
      </c>
      <c r="P363" s="39"/>
      <c r="Q363" s="39"/>
      <c r="R363" s="39"/>
      <c r="S363" s="39"/>
      <c r="T363" s="39"/>
      <c r="U363" s="39"/>
      <c r="V363" s="39"/>
      <c r="W363" s="39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35" t="s">
        <v>21</v>
      </c>
      <c r="B364" s="35" t="s">
        <v>22</v>
      </c>
      <c r="C364" s="35" t="s">
        <v>23</v>
      </c>
      <c r="D364" s="35" t="s">
        <v>24</v>
      </c>
      <c r="E364" s="35" t="s">
        <v>32</v>
      </c>
      <c r="F364" s="35" t="s">
        <v>25</v>
      </c>
      <c r="G364" s="35" t="s">
        <v>25</v>
      </c>
      <c r="H364" s="35" t="s">
        <v>25</v>
      </c>
      <c r="I364" s="55">
        <v>44621</v>
      </c>
      <c r="J364" s="56">
        <f>EFEITO!$J$364*EFEITO!$Y$287</f>
        <v>0</v>
      </c>
      <c r="K364" s="56">
        <f ca="1">EFEITO!$L$364*EFEITO!$Z$358</f>
        <v>6345.9646544136103</v>
      </c>
      <c r="L364" s="56">
        <f>EFEITO!$N$364*EFEITO!$AA$358</f>
        <v>856.29467217995443</v>
      </c>
      <c r="M364" s="56">
        <f>$J$364-EFEITO!$K$364*EFEITO!$Y$364</f>
        <v>0</v>
      </c>
      <c r="N364" s="56">
        <f ca="1">$K$364-EFEITO!$M$364*EFEITO!$Z$364</f>
        <v>0</v>
      </c>
      <c r="O364" s="56">
        <f>$L$364-EFEITO!$O$364*EFEITO!$AA$364</f>
        <v>0</v>
      </c>
      <c r="P364" s="39"/>
      <c r="Q364" s="39"/>
      <c r="R364" s="39"/>
      <c r="S364" s="39"/>
      <c r="T364" s="39"/>
      <c r="U364" s="39"/>
      <c r="V364" s="39"/>
      <c r="W364" s="39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35" t="s">
        <v>21</v>
      </c>
      <c r="B365" s="35" t="s">
        <v>22</v>
      </c>
      <c r="C365" s="35" t="s">
        <v>23</v>
      </c>
      <c r="D365" s="35" t="s">
        <v>24</v>
      </c>
      <c r="E365" s="35" t="s">
        <v>32</v>
      </c>
      <c r="F365" s="35" t="s">
        <v>25</v>
      </c>
      <c r="G365" s="35" t="s">
        <v>25</v>
      </c>
      <c r="H365" s="35" t="s">
        <v>25</v>
      </c>
      <c r="I365" s="55">
        <v>44652</v>
      </c>
      <c r="J365" s="56">
        <f>EFEITO!$J$365*EFEITO!$Y$287</f>
        <v>0</v>
      </c>
      <c r="K365" s="56">
        <f ca="1">EFEITO!$L$365*EFEITO!$Z$358</f>
        <v>6477.6907961840316</v>
      </c>
      <c r="L365" s="56">
        <f>EFEITO!$N$365*EFEITO!$AA$358</f>
        <v>874.06917921355148</v>
      </c>
      <c r="M365" s="56">
        <f>$J$365-EFEITO!$K$365*EFEITO!$Y$365</f>
        <v>0</v>
      </c>
      <c r="N365" s="56">
        <f ca="1">$K$365-EFEITO!$M$365*EFEITO!$Z$365</f>
        <v>0</v>
      </c>
      <c r="O365" s="56">
        <f>$L$365-EFEITO!$O$365*EFEITO!$AA$365</f>
        <v>0</v>
      </c>
      <c r="P365" s="39"/>
      <c r="Q365" s="39"/>
      <c r="R365" s="39"/>
      <c r="S365" s="39"/>
      <c r="T365" s="39"/>
      <c r="U365" s="39"/>
      <c r="V365" s="39"/>
      <c r="W365" s="39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35" t="s">
        <v>21</v>
      </c>
      <c r="B366" s="35" t="s">
        <v>22</v>
      </c>
      <c r="C366" s="35" t="s">
        <v>23</v>
      </c>
      <c r="D366" s="35" t="s">
        <v>24</v>
      </c>
      <c r="E366" s="35" t="s">
        <v>32</v>
      </c>
      <c r="F366" s="35" t="s">
        <v>25</v>
      </c>
      <c r="G366" s="35" t="s">
        <v>25</v>
      </c>
      <c r="H366" s="35" t="s">
        <v>25</v>
      </c>
      <c r="I366" s="55">
        <v>44682</v>
      </c>
      <c r="J366" s="56">
        <f>EFEITO!$J$366*EFEITO!$Y$287</f>
        <v>0</v>
      </c>
      <c r="K366" s="56">
        <f ca="1">EFEITO!$L$366*EFEITO!$Z$358</f>
        <v>6178.9959922572434</v>
      </c>
      <c r="L366" s="56">
        <f>EFEITO!$N$366*EFEITO!$AA$358</f>
        <v>833.76470493122838</v>
      </c>
      <c r="M366" s="56">
        <f>$J$366-EFEITO!$K$366*EFEITO!$Y$366</f>
        <v>0</v>
      </c>
      <c r="N366" s="56">
        <f ca="1">$K$366-EFEITO!$M$366*EFEITO!$Z$366</f>
        <v>0</v>
      </c>
      <c r="O366" s="56">
        <f>$L$366-EFEITO!$O$366*EFEITO!$AA$366</f>
        <v>0</v>
      </c>
      <c r="P366" s="39"/>
      <c r="Q366" s="39"/>
      <c r="R366" s="39"/>
      <c r="S366" s="39"/>
      <c r="T366" s="39"/>
      <c r="U366" s="39"/>
      <c r="V366" s="39"/>
      <c r="W366" s="39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35" t="s">
        <v>21</v>
      </c>
      <c r="B367" s="35" t="s">
        <v>22</v>
      </c>
      <c r="C367" s="35" t="s">
        <v>23</v>
      </c>
      <c r="D367" s="35" t="s">
        <v>24</v>
      </c>
      <c r="E367" s="35" t="s">
        <v>32</v>
      </c>
      <c r="F367" s="35" t="s">
        <v>25</v>
      </c>
      <c r="G367" s="35" t="s">
        <v>25</v>
      </c>
      <c r="H367" s="35" t="s">
        <v>25</v>
      </c>
      <c r="I367" s="55">
        <v>44713</v>
      </c>
      <c r="J367" s="56">
        <f>EFEITO!$J$367*EFEITO!$Y$287</f>
        <v>0</v>
      </c>
      <c r="K367" s="56">
        <f ca="1">EFEITO!$L$367*EFEITO!$Z$358</f>
        <v>6084.8233558161091</v>
      </c>
      <c r="L367" s="56">
        <f>EFEITO!$N$367*EFEITO!$AA$358</f>
        <v>821.05749156949014</v>
      </c>
      <c r="M367" s="56">
        <f>$J$367-EFEITO!$K$367*EFEITO!$Y$367</f>
        <v>0</v>
      </c>
      <c r="N367" s="56">
        <f ca="1">$K$367-EFEITO!$M$367*EFEITO!$Z$367</f>
        <v>0</v>
      </c>
      <c r="O367" s="56">
        <f>$L$367-EFEITO!$O$367*EFEITO!$AA$367</f>
        <v>0</v>
      </c>
      <c r="P367" s="39"/>
      <c r="Q367" s="39"/>
      <c r="R367" s="39"/>
      <c r="S367" s="39"/>
      <c r="T367" s="39"/>
      <c r="U367" s="39"/>
      <c r="V367" s="39"/>
      <c r="W367" s="39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35" t="s">
        <v>21</v>
      </c>
      <c r="B368" s="35" t="s">
        <v>22</v>
      </c>
      <c r="C368" s="35" t="s">
        <v>23</v>
      </c>
      <c r="D368" s="35" t="s">
        <v>24</v>
      </c>
      <c r="E368" s="35" t="s">
        <v>32</v>
      </c>
      <c r="F368" s="35" t="s">
        <v>25</v>
      </c>
      <c r="G368" s="35" t="s">
        <v>25</v>
      </c>
      <c r="H368" s="35" t="s">
        <v>25</v>
      </c>
      <c r="I368" s="55">
        <v>44743</v>
      </c>
      <c r="J368" s="56">
        <f>EFEITO!$J$368*EFEITO!$Y$287</f>
        <v>0</v>
      </c>
      <c r="K368" s="56">
        <f ca="1">EFEITO!$L$368*EFEITO!$Z$358</f>
        <v>3539.8511869621439</v>
      </c>
      <c r="L368" s="56">
        <f>EFEITO!$N$368*EFEITO!$AA$358</f>
        <v>477.65089734582853</v>
      </c>
      <c r="M368" s="56">
        <f>$J$368-EFEITO!$K$368*EFEITO!$Y$368</f>
        <v>0</v>
      </c>
      <c r="N368" s="56">
        <f ca="1">$K$368-EFEITO!$M$368*EFEITO!$Z$368</f>
        <v>0</v>
      </c>
      <c r="O368" s="56">
        <f>$L$368-EFEITO!$O$368*EFEITO!$AA$368</f>
        <v>0</v>
      </c>
      <c r="P368" s="39"/>
      <c r="Q368" s="39"/>
      <c r="R368" s="39"/>
      <c r="S368" s="39"/>
      <c r="T368" s="39"/>
      <c r="U368" s="39"/>
      <c r="V368" s="39"/>
      <c r="W368" s="39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35" t="s">
        <v>21</v>
      </c>
      <c r="B369" s="35" t="s">
        <v>22</v>
      </c>
      <c r="C369" s="35" t="s">
        <v>23</v>
      </c>
      <c r="D369" s="35" t="s">
        <v>24</v>
      </c>
      <c r="E369" s="35" t="s">
        <v>32</v>
      </c>
      <c r="F369" s="35" t="s">
        <v>25</v>
      </c>
      <c r="G369" s="35" t="s">
        <v>25</v>
      </c>
      <c r="H369" s="35" t="s">
        <v>25</v>
      </c>
      <c r="I369" s="55">
        <v>44774</v>
      </c>
      <c r="J369" s="56">
        <f>EFEITO!$J$369*EFEITO!$Y$287</f>
        <v>0</v>
      </c>
      <c r="K369" s="56">
        <f ca="1">EFEITO!$L$369*EFEITO!$Z$358</f>
        <v>6243.1258244349483</v>
      </c>
      <c r="L369" s="56">
        <f>EFEITO!$N$369*EFEITO!$AA$358</f>
        <v>842.41808335547955</v>
      </c>
      <c r="M369" s="56">
        <f>$J$369-EFEITO!$K$369*EFEITO!$Y$369</f>
        <v>0</v>
      </c>
      <c r="N369" s="56">
        <f ca="1">$K$369-EFEITO!$M$369*EFEITO!$Z$369</f>
        <v>0</v>
      </c>
      <c r="O369" s="56">
        <f>$L$369-EFEITO!$O$369*EFEITO!$AA$369</f>
        <v>0</v>
      </c>
      <c r="P369" s="39"/>
      <c r="Q369" s="39"/>
      <c r="R369" s="39"/>
      <c r="S369" s="39"/>
      <c r="T369" s="39"/>
      <c r="U369" s="39"/>
      <c r="V369" s="39"/>
      <c r="W369" s="39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35" t="s">
        <v>21</v>
      </c>
      <c r="B370" s="35" t="s">
        <v>42</v>
      </c>
      <c r="C370" s="35" t="s">
        <v>23</v>
      </c>
      <c r="D370" s="35" t="s">
        <v>43</v>
      </c>
      <c r="E370" s="35" t="s">
        <v>25</v>
      </c>
      <c r="F370" s="35" t="s">
        <v>25</v>
      </c>
      <c r="G370" s="35" t="s">
        <v>25</v>
      </c>
      <c r="H370" s="35" t="s">
        <v>25</v>
      </c>
      <c r="I370" s="55">
        <v>44440</v>
      </c>
      <c r="J370" s="56">
        <f>EFEITO!$J$370*EFEITO!$Y$287</f>
        <v>0</v>
      </c>
      <c r="K370" s="56">
        <f ca="1">EFEITO!$L$370*EFEITO!$Z$287</f>
        <v>25405.157168141202</v>
      </c>
      <c r="L370" s="56">
        <f>EFEITO!$N$370*EFEITO!$AA$287</f>
        <v>2915.7987371517352</v>
      </c>
      <c r="M370" s="56">
        <f>$J$370-EFEITO!$K$370*EFEITO!$Y$370</f>
        <v>0</v>
      </c>
      <c r="N370" s="56">
        <f ca="1">$K$370-EFEITO!$M$370*EFEITO!$Z$370</f>
        <v>1778.3610017698884</v>
      </c>
      <c r="O370" s="56">
        <f>$L$370-EFEITO!$O$370*EFEITO!$AA$370</f>
        <v>204.10591160062177</v>
      </c>
      <c r="P370" s="39"/>
      <c r="Q370" s="39"/>
      <c r="R370" s="39"/>
      <c r="S370" s="39"/>
      <c r="T370" s="39"/>
      <c r="U370" s="39"/>
      <c r="V370" s="39"/>
      <c r="W370" s="39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35" t="s">
        <v>28</v>
      </c>
      <c r="B371" s="35" t="s">
        <v>42</v>
      </c>
      <c r="C371" s="35" t="s">
        <v>23</v>
      </c>
      <c r="D371" s="35" t="s">
        <v>43</v>
      </c>
      <c r="E371" s="35" t="s">
        <v>25</v>
      </c>
      <c r="F371" s="35" t="s">
        <v>25</v>
      </c>
      <c r="G371" s="35" t="s">
        <v>25</v>
      </c>
      <c r="H371" s="35" t="s">
        <v>25</v>
      </c>
      <c r="I371" s="55">
        <v>44440</v>
      </c>
      <c r="J371" s="56">
        <f>EFEITO!$J$371*EFEITO!$Y$287</f>
        <v>0</v>
      </c>
      <c r="K371" s="56">
        <f ca="1">EFEITO!$L$371*EFEITO!$Z$287</f>
        <v>1668.2280628029193</v>
      </c>
      <c r="L371" s="56">
        <f>EFEITO!$N$371*EFEITO!$AA$287</f>
        <v>191.46574243208013</v>
      </c>
      <c r="M371" s="56">
        <f>$J$371-EFEITO!$K$371*EFEITO!$Y$371</f>
        <v>0</v>
      </c>
      <c r="N371" s="56">
        <f ca="1">$K$371-EFEITO!$M$371*EFEITO!$Z$371</f>
        <v>116.77596439620447</v>
      </c>
      <c r="O371" s="56">
        <f>$L$371-EFEITO!$O$371*EFEITO!$AA$371</f>
        <v>13.402601970245627</v>
      </c>
      <c r="P371" s="39"/>
      <c r="Q371" s="39"/>
      <c r="R371" s="39"/>
      <c r="S371" s="39"/>
      <c r="T371" s="39"/>
      <c r="U371" s="39"/>
      <c r="V371" s="39"/>
      <c r="W371" s="39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35" t="s">
        <v>21</v>
      </c>
      <c r="B372" s="35" t="s">
        <v>42</v>
      </c>
      <c r="C372" s="35" t="s">
        <v>23</v>
      </c>
      <c r="D372" s="35" t="s">
        <v>43</v>
      </c>
      <c r="E372" s="35" t="s">
        <v>25</v>
      </c>
      <c r="F372" s="35" t="s">
        <v>25</v>
      </c>
      <c r="G372" s="35" t="s">
        <v>25</v>
      </c>
      <c r="H372" s="35" t="s">
        <v>25</v>
      </c>
      <c r="I372" s="55">
        <v>44470</v>
      </c>
      <c r="J372" s="56">
        <f>EFEITO!$J$372*EFEITO!$Y$287</f>
        <v>0</v>
      </c>
      <c r="K372" s="56">
        <f ca="1">EFEITO!$L$372*EFEITO!$Z$287</f>
        <v>25369.836378537882</v>
      </c>
      <c r="L372" s="56">
        <f>EFEITO!$N$372*EFEITO!$AA$287</f>
        <v>2911.7449022142478</v>
      </c>
      <c r="M372" s="56">
        <f>$J$372-EFEITO!$K$372*EFEITO!$Y$372</f>
        <v>0</v>
      </c>
      <c r="N372" s="56">
        <f ca="1">$K$372-EFEITO!$M$372*EFEITO!$Z$372</f>
        <v>1775.8885464976556</v>
      </c>
      <c r="O372" s="56">
        <f>$L$372-EFEITO!$O$372*EFEITO!$AA$372</f>
        <v>203.82214315499732</v>
      </c>
      <c r="P372" s="39"/>
      <c r="Q372" s="39"/>
      <c r="R372" s="39"/>
      <c r="S372" s="39"/>
      <c r="T372" s="39"/>
      <c r="U372" s="39"/>
      <c r="V372" s="39"/>
      <c r="W372" s="39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35" t="s">
        <v>28</v>
      </c>
      <c r="B373" s="35" t="s">
        <v>42</v>
      </c>
      <c r="C373" s="35" t="s">
        <v>23</v>
      </c>
      <c r="D373" s="35" t="s">
        <v>43</v>
      </c>
      <c r="E373" s="35" t="s">
        <v>25</v>
      </c>
      <c r="F373" s="35" t="s">
        <v>25</v>
      </c>
      <c r="G373" s="35" t="s">
        <v>25</v>
      </c>
      <c r="H373" s="35" t="s">
        <v>25</v>
      </c>
      <c r="I373" s="55">
        <v>44470</v>
      </c>
      <c r="J373" s="56">
        <f>EFEITO!$J$373*EFEITO!$Y$287</f>
        <v>0</v>
      </c>
      <c r="K373" s="56">
        <f ca="1">EFEITO!$L$373*EFEITO!$Z$287</f>
        <v>2000.379334264901</v>
      </c>
      <c r="L373" s="56">
        <f>EFEITO!$N$373*EFEITO!$AA$287</f>
        <v>229.58738251729477</v>
      </c>
      <c r="M373" s="56">
        <f>$J$373-EFEITO!$K$373*EFEITO!$Y$373</f>
        <v>0</v>
      </c>
      <c r="N373" s="56">
        <f ca="1">$K$373-EFEITO!$M$373*EFEITO!$Z$373</f>
        <v>140.02655339854323</v>
      </c>
      <c r="O373" s="56">
        <f>$L$373-EFEITO!$O$373*EFEITO!$AA$373</f>
        <v>16.07111677621063</v>
      </c>
      <c r="P373" s="39"/>
      <c r="Q373" s="39"/>
      <c r="R373" s="39"/>
      <c r="S373" s="39"/>
      <c r="T373" s="39"/>
      <c r="U373" s="39"/>
      <c r="V373" s="39"/>
      <c r="W373" s="39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35" t="s">
        <v>21</v>
      </c>
      <c r="B374" s="35" t="s">
        <v>42</v>
      </c>
      <c r="C374" s="35" t="s">
        <v>23</v>
      </c>
      <c r="D374" s="35" t="s">
        <v>43</v>
      </c>
      <c r="E374" s="35" t="s">
        <v>25</v>
      </c>
      <c r="F374" s="35" t="s">
        <v>25</v>
      </c>
      <c r="G374" s="35" t="s">
        <v>25</v>
      </c>
      <c r="H374" s="35" t="s">
        <v>25</v>
      </c>
      <c r="I374" s="55">
        <v>44501</v>
      </c>
      <c r="J374" s="56">
        <f>EFEITO!$J$374*EFEITO!$Y$287</f>
        <v>0</v>
      </c>
      <c r="K374" s="56">
        <f ca="1">EFEITO!$L$374*EFEITO!$Z$287</f>
        <v>27798.140663766069</v>
      </c>
      <c r="L374" s="56">
        <f>EFEITO!$N$374*EFEITO!$AA$287</f>
        <v>3190.4460541664816</v>
      </c>
      <c r="M374" s="56">
        <f>$J$374-EFEITO!$K$374*EFEITO!$Y$374</f>
        <v>0</v>
      </c>
      <c r="N374" s="56">
        <f ca="1">$K$374-EFEITO!$M$374*EFEITO!$Z$374</f>
        <v>1945.8698464636254</v>
      </c>
      <c r="O374" s="56">
        <f>$L$374-EFEITO!$O$374*EFEITO!$AA$374</f>
        <v>223.33122379165388</v>
      </c>
      <c r="P374" s="39"/>
      <c r="Q374" s="39"/>
      <c r="R374" s="39"/>
      <c r="S374" s="39"/>
      <c r="T374" s="39"/>
      <c r="U374" s="39"/>
      <c r="V374" s="39"/>
      <c r="W374" s="39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35" t="s">
        <v>27</v>
      </c>
      <c r="B375" s="35" t="s">
        <v>42</v>
      </c>
      <c r="C375" s="35" t="s">
        <v>23</v>
      </c>
      <c r="D375" s="35" t="s">
        <v>43</v>
      </c>
      <c r="E375" s="35" t="s">
        <v>25</v>
      </c>
      <c r="F375" s="35" t="s">
        <v>25</v>
      </c>
      <c r="G375" s="35" t="s">
        <v>25</v>
      </c>
      <c r="H375" s="35" t="s">
        <v>25</v>
      </c>
      <c r="I375" s="55">
        <v>44501</v>
      </c>
      <c r="J375" s="56">
        <f>EFEITO!$J$375*EFEITO!$Y$287</f>
        <v>0</v>
      </c>
      <c r="K375" s="56">
        <f ca="1">EFEITO!$L$375*EFEITO!$Z$287</f>
        <v>-12.226427170379701</v>
      </c>
      <c r="L375" s="56">
        <f>EFEITO!$N$375*EFEITO!$AA$287</f>
        <v>-1.4032505552839747</v>
      </c>
      <c r="M375" s="56">
        <f>$J$375-EFEITO!$K$375*EFEITO!$Y$375</f>
        <v>0</v>
      </c>
      <c r="N375" s="56">
        <f ca="1">$K$375-EFEITO!$M$375*EFEITO!$Z$375</f>
        <v>-0.85584990192658061</v>
      </c>
      <c r="O375" s="56">
        <f>$L$375-EFEITO!$O$375*EFEITO!$AA$375</f>
        <v>-9.8227538869878117E-2</v>
      </c>
      <c r="P375" s="39"/>
      <c r="Q375" s="39"/>
      <c r="R375" s="39"/>
      <c r="S375" s="39"/>
      <c r="T375" s="39"/>
      <c r="U375" s="39"/>
      <c r="V375" s="39"/>
      <c r="W375" s="39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35" t="s">
        <v>28</v>
      </c>
      <c r="B376" s="35" t="s">
        <v>42</v>
      </c>
      <c r="C376" s="35" t="s">
        <v>23</v>
      </c>
      <c r="D376" s="35" t="s">
        <v>43</v>
      </c>
      <c r="E376" s="35" t="s">
        <v>25</v>
      </c>
      <c r="F376" s="35" t="s">
        <v>25</v>
      </c>
      <c r="G376" s="35" t="s">
        <v>25</v>
      </c>
      <c r="H376" s="35" t="s">
        <v>25</v>
      </c>
      <c r="I376" s="55">
        <v>44501</v>
      </c>
      <c r="J376" s="56">
        <f>EFEITO!$J$376*EFEITO!$Y$287</f>
        <v>0</v>
      </c>
      <c r="K376" s="56">
        <f ca="1">EFEITO!$L$376*EFEITO!$Z$287</f>
        <v>292.07576018129288</v>
      </c>
      <c r="L376" s="56">
        <f>EFEITO!$N$376*EFEITO!$AA$287</f>
        <v>33.52209659845051</v>
      </c>
      <c r="M376" s="56">
        <f>$J$376-EFEITO!$K$376*EFEITO!$Y$376</f>
        <v>0</v>
      </c>
      <c r="N376" s="56">
        <f ca="1">$K$376-EFEITO!$M$376*EFEITO!$Z$376</f>
        <v>20.445303212690533</v>
      </c>
      <c r="O376" s="56">
        <f>$L$376-EFEITO!$O$376*EFEITO!$AA$376</f>
        <v>2.3465467618915348</v>
      </c>
      <c r="P376" s="39"/>
      <c r="Q376" s="39"/>
      <c r="R376" s="39"/>
      <c r="S376" s="39"/>
      <c r="T376" s="39"/>
      <c r="U376" s="39"/>
      <c r="V376" s="39"/>
      <c r="W376" s="39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35" t="s">
        <v>21</v>
      </c>
      <c r="B377" s="35" t="s">
        <v>42</v>
      </c>
      <c r="C377" s="35" t="s">
        <v>23</v>
      </c>
      <c r="D377" s="35" t="s">
        <v>43</v>
      </c>
      <c r="E377" s="35" t="s">
        <v>25</v>
      </c>
      <c r="F377" s="35" t="s">
        <v>25</v>
      </c>
      <c r="G377" s="35" t="s">
        <v>25</v>
      </c>
      <c r="H377" s="35" t="s">
        <v>25</v>
      </c>
      <c r="I377" s="55">
        <v>44531</v>
      </c>
      <c r="J377" s="56">
        <f>EFEITO!$J$377*EFEITO!$Y$287</f>
        <v>0</v>
      </c>
      <c r="K377" s="56">
        <f ca="1">EFEITO!$L$377*EFEITO!$Z$287</f>
        <v>31742.521918121343</v>
      </c>
      <c r="L377" s="56">
        <f>EFEITO!$N$377*EFEITO!$AA$287</f>
        <v>3643.1502749739284</v>
      </c>
      <c r="M377" s="56">
        <f>$J$377-EFEITO!$K$377*EFEITO!$Y$377</f>
        <v>0</v>
      </c>
      <c r="N377" s="56">
        <f ca="1">$K$377-EFEITO!$M$377*EFEITO!$Z$377</f>
        <v>2221.976534268495</v>
      </c>
      <c r="O377" s="56">
        <f>$L$377-EFEITO!$O$377*EFEITO!$AA$377</f>
        <v>255.02051924817488</v>
      </c>
      <c r="P377" s="39"/>
      <c r="Q377" s="39"/>
      <c r="R377" s="39"/>
      <c r="S377" s="39"/>
      <c r="T377" s="39"/>
      <c r="U377" s="39"/>
      <c r="V377" s="39"/>
      <c r="W377" s="39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35" t="s">
        <v>28</v>
      </c>
      <c r="B378" s="35" t="s">
        <v>42</v>
      </c>
      <c r="C378" s="35" t="s">
        <v>23</v>
      </c>
      <c r="D378" s="35" t="s">
        <v>43</v>
      </c>
      <c r="E378" s="35" t="s">
        <v>25</v>
      </c>
      <c r="F378" s="35" t="s">
        <v>25</v>
      </c>
      <c r="G378" s="35" t="s">
        <v>25</v>
      </c>
      <c r="H378" s="35" t="s">
        <v>25</v>
      </c>
      <c r="I378" s="55">
        <v>44531</v>
      </c>
      <c r="J378" s="56">
        <f>EFEITO!$J$378*EFEITO!$Y$287</f>
        <v>0</v>
      </c>
      <c r="K378" s="56">
        <f ca="1">EFEITO!$L$378*EFEITO!$Z$287</f>
        <v>292.07576018129288</v>
      </c>
      <c r="L378" s="56">
        <f>EFEITO!$N$378*EFEITO!$AA$287</f>
        <v>33.52209659845051</v>
      </c>
      <c r="M378" s="56">
        <f>$J$378-EFEITO!$K$378*EFEITO!$Y$378</f>
        <v>0</v>
      </c>
      <c r="N378" s="56">
        <f ca="1">$K$378-EFEITO!$M$378*EFEITO!$Z$378</f>
        <v>20.445303212690533</v>
      </c>
      <c r="O378" s="56">
        <f>$L$378-EFEITO!$O$378*EFEITO!$AA$378</f>
        <v>2.3465467618915348</v>
      </c>
      <c r="P378" s="39"/>
      <c r="Q378" s="39"/>
      <c r="R378" s="39"/>
      <c r="S378" s="39"/>
      <c r="T378" s="39"/>
      <c r="U378" s="39"/>
      <c r="V378" s="39"/>
      <c r="W378" s="39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35" t="s">
        <v>21</v>
      </c>
      <c r="B379" s="35" t="s">
        <v>42</v>
      </c>
      <c r="C379" s="35" t="s">
        <v>23</v>
      </c>
      <c r="D379" s="35" t="s">
        <v>43</v>
      </c>
      <c r="E379" s="35" t="s">
        <v>25</v>
      </c>
      <c r="F379" s="35" t="s">
        <v>25</v>
      </c>
      <c r="G379" s="35" t="s">
        <v>25</v>
      </c>
      <c r="H379" s="35" t="s">
        <v>25</v>
      </c>
      <c r="I379" s="55">
        <v>44562</v>
      </c>
      <c r="J379" s="56">
        <f>EFEITO!$J$379*EFEITO!$Y$287</f>
        <v>0</v>
      </c>
      <c r="K379" s="56">
        <f ca="1">EFEITO!$L$379*EFEITO!$Z$287</f>
        <v>34604.864367898015</v>
      </c>
      <c r="L379" s="56">
        <f>EFEITO!$N$379*EFEITO!$AA$287</f>
        <v>3971.6668216387434</v>
      </c>
      <c r="M379" s="56">
        <f>$J$379-EFEITO!$K$379*EFEITO!$Y$379</f>
        <v>0</v>
      </c>
      <c r="N379" s="56">
        <f ca="1">$K$379-EFEITO!$M$379*EFEITO!$Z$379</f>
        <v>2422.3405057528653</v>
      </c>
      <c r="O379" s="56">
        <f>$L$379-EFEITO!$O$379*EFEITO!$AA$379</f>
        <v>278.01667751471223</v>
      </c>
      <c r="P379" s="39"/>
      <c r="Q379" s="39"/>
      <c r="R379" s="39"/>
      <c r="S379" s="39"/>
      <c r="T379" s="39"/>
      <c r="U379" s="39"/>
      <c r="V379" s="39"/>
      <c r="W379" s="39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35" t="s">
        <v>28</v>
      </c>
      <c r="B380" s="35" t="s">
        <v>42</v>
      </c>
      <c r="C380" s="35" t="s">
        <v>23</v>
      </c>
      <c r="D380" s="35" t="s">
        <v>43</v>
      </c>
      <c r="E380" s="35" t="s">
        <v>25</v>
      </c>
      <c r="F380" s="35" t="s">
        <v>25</v>
      </c>
      <c r="G380" s="35" t="s">
        <v>25</v>
      </c>
      <c r="H380" s="35" t="s">
        <v>25</v>
      </c>
      <c r="I380" s="55">
        <v>44562</v>
      </c>
      <c r="J380" s="56">
        <f>EFEITO!$J$380*EFEITO!$Y$287</f>
        <v>0</v>
      </c>
      <c r="K380" s="56">
        <f ca="1">EFEITO!$L$380*EFEITO!$Z$287</f>
        <v>292.07576018129288</v>
      </c>
      <c r="L380" s="56">
        <f>EFEITO!$N$380*EFEITO!$AA$287</f>
        <v>33.52209659845051</v>
      </c>
      <c r="M380" s="56">
        <f>$J$380-EFEITO!$K$380*EFEITO!$Y$380</f>
        <v>0</v>
      </c>
      <c r="N380" s="56">
        <f ca="1">$K$380-EFEITO!$M$380*EFEITO!$Z$380</f>
        <v>20.445303212690533</v>
      </c>
      <c r="O380" s="56">
        <f>$L$380-EFEITO!$O$380*EFEITO!$AA$380</f>
        <v>2.3465467618915348</v>
      </c>
      <c r="P380" s="39"/>
      <c r="Q380" s="39"/>
      <c r="R380" s="39"/>
      <c r="S380" s="39"/>
      <c r="T380" s="39"/>
      <c r="U380" s="39"/>
      <c r="V380" s="39"/>
      <c r="W380" s="39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35" t="s">
        <v>21</v>
      </c>
      <c r="B381" s="35" t="s">
        <v>42</v>
      </c>
      <c r="C381" s="35" t="s">
        <v>23</v>
      </c>
      <c r="D381" s="35" t="s">
        <v>43</v>
      </c>
      <c r="E381" s="35" t="s">
        <v>25</v>
      </c>
      <c r="F381" s="35" t="s">
        <v>25</v>
      </c>
      <c r="G381" s="35" t="s">
        <v>25</v>
      </c>
      <c r="H381" s="35" t="s">
        <v>25</v>
      </c>
      <c r="I381" s="55">
        <v>44593</v>
      </c>
      <c r="J381" s="56">
        <f>EFEITO!$J$381*EFEITO!$Y$287</f>
        <v>0</v>
      </c>
      <c r="K381" s="56">
        <f ca="1">EFEITO!$L$381*EFEITO!$Z$287</f>
        <v>41981.475427360434</v>
      </c>
      <c r="L381" s="56">
        <f>EFEITO!$N$381*EFEITO!$AA$287</f>
        <v>4818.2946566600749</v>
      </c>
      <c r="M381" s="56">
        <f>$J$381-EFEITO!$K$381*EFEITO!$Y$381</f>
        <v>0</v>
      </c>
      <c r="N381" s="56">
        <f ca="1">$K$381-EFEITO!$M$381*EFEITO!$Z$381</f>
        <v>2938.7032799152366</v>
      </c>
      <c r="O381" s="56">
        <f>$L$381-EFEITO!$O$381*EFEITO!$AA$381</f>
        <v>337.28062596620566</v>
      </c>
      <c r="P381" s="39"/>
      <c r="Q381" s="39"/>
      <c r="R381" s="39"/>
      <c r="S381" s="39"/>
      <c r="T381" s="39"/>
      <c r="U381" s="39"/>
      <c r="V381" s="39"/>
      <c r="W381" s="39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35" t="s">
        <v>21</v>
      </c>
      <c r="B382" s="35" t="s">
        <v>42</v>
      </c>
      <c r="C382" s="35" t="s">
        <v>23</v>
      </c>
      <c r="D382" s="35" t="s">
        <v>43</v>
      </c>
      <c r="E382" s="35" t="s">
        <v>25</v>
      </c>
      <c r="F382" s="35" t="s">
        <v>25</v>
      </c>
      <c r="G382" s="35" t="s">
        <v>25</v>
      </c>
      <c r="H382" s="35" t="s">
        <v>25</v>
      </c>
      <c r="I382" s="55">
        <v>44621</v>
      </c>
      <c r="J382" s="56">
        <f>EFEITO!$J$382*EFEITO!$Y$287</f>
        <v>0</v>
      </c>
      <c r="K382" s="56">
        <f ca="1">EFEITO!$L$382*EFEITO!$Z$287</f>
        <v>32067.880730044228</v>
      </c>
      <c r="L382" s="56">
        <f>EFEITO!$N$382*EFEITO!$AA$287</f>
        <v>3680.4923314173188</v>
      </c>
      <c r="M382" s="56">
        <f>$J$382-EFEITO!$K$382*EFEITO!$Y$382</f>
        <v>0</v>
      </c>
      <c r="N382" s="56">
        <f ca="1">$K$382-EFEITO!$M$382*EFEITO!$Z$382</f>
        <v>2244.751651103099</v>
      </c>
      <c r="O382" s="56">
        <f>$L$382-EFEITO!$O$382*EFEITO!$AA$382</f>
        <v>257.63446319921241</v>
      </c>
      <c r="P382" s="39"/>
      <c r="Q382" s="39"/>
      <c r="R382" s="39"/>
      <c r="S382" s="39"/>
      <c r="T382" s="39"/>
      <c r="U382" s="39"/>
      <c r="V382" s="39"/>
      <c r="W382" s="39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35" t="s">
        <v>28</v>
      </c>
      <c r="B383" s="35" t="s">
        <v>42</v>
      </c>
      <c r="C383" s="35" t="s">
        <v>23</v>
      </c>
      <c r="D383" s="35" t="s">
        <v>43</v>
      </c>
      <c r="E383" s="35" t="s">
        <v>25</v>
      </c>
      <c r="F383" s="35" t="s">
        <v>25</v>
      </c>
      <c r="G383" s="35" t="s">
        <v>25</v>
      </c>
      <c r="H383" s="35" t="s">
        <v>25</v>
      </c>
      <c r="I383" s="55">
        <v>44621</v>
      </c>
      <c r="J383" s="56">
        <f>EFEITO!$J$383*EFEITO!$Y$287</f>
        <v>0</v>
      </c>
      <c r="K383" s="56">
        <f ca="1">EFEITO!$L$383*EFEITO!$Z$287</f>
        <v>395.32114517561035</v>
      </c>
      <c r="L383" s="56">
        <f>EFEITO!$N$383*EFEITO!$AA$287</f>
        <v>45.371767954181848</v>
      </c>
      <c r="M383" s="56">
        <f>$J$383-EFEITO!$K$383*EFEITO!$Y$383</f>
        <v>0</v>
      </c>
      <c r="N383" s="56">
        <f ca="1">$K$383-EFEITO!$M$383*EFEITO!$Z$383</f>
        <v>27.6724801622928</v>
      </c>
      <c r="O383" s="56">
        <f>$L$383-EFEITO!$O$383*EFEITO!$AA$383</f>
        <v>3.1760237567927305</v>
      </c>
      <c r="P383" s="39"/>
      <c r="Q383" s="39"/>
      <c r="R383" s="39"/>
      <c r="S383" s="39"/>
      <c r="T383" s="39"/>
      <c r="U383" s="39"/>
      <c r="V383" s="39"/>
      <c r="W383" s="39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35" t="s">
        <v>21</v>
      </c>
      <c r="B384" s="35" t="s">
        <v>42</v>
      </c>
      <c r="C384" s="35" t="s">
        <v>23</v>
      </c>
      <c r="D384" s="35" t="s">
        <v>43</v>
      </c>
      <c r="E384" s="35" t="s">
        <v>25</v>
      </c>
      <c r="F384" s="35" t="s">
        <v>25</v>
      </c>
      <c r="G384" s="35" t="s">
        <v>25</v>
      </c>
      <c r="H384" s="35" t="s">
        <v>25</v>
      </c>
      <c r="I384" s="55">
        <v>44652</v>
      </c>
      <c r="J384" s="56">
        <f>EFEITO!$J$384*EFEITO!$Y$287</f>
        <v>0</v>
      </c>
      <c r="K384" s="56">
        <f ca="1">EFEITO!$L$384*EFEITO!$Z$287</f>
        <v>26919.875645360462</v>
      </c>
      <c r="L384" s="56">
        <f>EFEITO!$N$384*EFEITO!$AA$287</f>
        <v>3089.6458892785827</v>
      </c>
      <c r="M384" s="56">
        <f>$J$384-EFEITO!$K$384*EFEITO!$Y$384</f>
        <v>0</v>
      </c>
      <c r="N384" s="56">
        <f ca="1">$K$384-EFEITO!$M$384*EFEITO!$Z$384</f>
        <v>1884.3912951752354</v>
      </c>
      <c r="O384" s="56">
        <f>$L$384-EFEITO!$O$384*EFEITO!$AA$384</f>
        <v>216.27521224950078</v>
      </c>
      <c r="P384" s="39"/>
      <c r="Q384" s="39"/>
      <c r="R384" s="39"/>
      <c r="S384" s="39"/>
      <c r="T384" s="39"/>
      <c r="U384" s="39"/>
      <c r="V384" s="39"/>
      <c r="W384" s="39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35" t="s">
        <v>28</v>
      </c>
      <c r="B385" s="35" t="s">
        <v>42</v>
      </c>
      <c r="C385" s="35" t="s">
        <v>23</v>
      </c>
      <c r="D385" s="35" t="s">
        <v>43</v>
      </c>
      <c r="E385" s="35" t="s">
        <v>25</v>
      </c>
      <c r="F385" s="35" t="s">
        <v>25</v>
      </c>
      <c r="G385" s="35" t="s">
        <v>25</v>
      </c>
      <c r="H385" s="35" t="s">
        <v>25</v>
      </c>
      <c r="I385" s="55">
        <v>44652</v>
      </c>
      <c r="J385" s="56">
        <f>EFEITO!$J$385*EFEITO!$Y$287</f>
        <v>0</v>
      </c>
      <c r="K385" s="56">
        <f ca="1">EFEITO!$L$385*EFEITO!$Z$287</f>
        <v>630.3402452284646</v>
      </c>
      <c r="L385" s="56">
        <f>EFEITO!$N$385*EFEITO!$AA$287</f>
        <v>72.345361961307148</v>
      </c>
      <c r="M385" s="56">
        <f>$J$385-EFEITO!$K$385*EFEITO!$Y$385</f>
        <v>0</v>
      </c>
      <c r="N385" s="56">
        <f ca="1">$K$385-EFEITO!$M$385*EFEITO!$Z$385</f>
        <v>44.123817165992477</v>
      </c>
      <c r="O385" s="56">
        <f>$L$385-EFEITO!$O$385*EFEITO!$AA$385</f>
        <v>5.0641753372915019</v>
      </c>
      <c r="P385" s="39"/>
      <c r="Q385" s="39"/>
      <c r="R385" s="39"/>
      <c r="S385" s="39"/>
      <c r="T385" s="39"/>
      <c r="U385" s="39"/>
      <c r="V385" s="39"/>
      <c r="W385" s="39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35" t="s">
        <v>21</v>
      </c>
      <c r="B386" s="35" t="s">
        <v>42</v>
      </c>
      <c r="C386" s="35" t="s">
        <v>23</v>
      </c>
      <c r="D386" s="35" t="s">
        <v>43</v>
      </c>
      <c r="E386" s="35" t="s">
        <v>25</v>
      </c>
      <c r="F386" s="35" t="s">
        <v>25</v>
      </c>
      <c r="G386" s="35" t="s">
        <v>25</v>
      </c>
      <c r="H386" s="35" t="s">
        <v>25</v>
      </c>
      <c r="I386" s="55">
        <v>44682</v>
      </c>
      <c r="J386" s="56">
        <f>EFEITO!$J$386*EFEITO!$Y$287</f>
        <v>0</v>
      </c>
      <c r="K386" s="56">
        <f ca="1">EFEITO!$L$386*EFEITO!$Z$287</f>
        <v>24287.118328005366</v>
      </c>
      <c r="L386" s="56">
        <f>EFEITO!$N$386*EFEITO!$AA$287</f>
        <v>2787.4792697074336</v>
      </c>
      <c r="M386" s="56">
        <f>$J$386-EFEITO!$K$386*EFEITO!$Y$386</f>
        <v>0</v>
      </c>
      <c r="N386" s="56">
        <f ca="1">$K$386-EFEITO!$M$386*EFEITO!$Z$386</f>
        <v>1700.0982829603781</v>
      </c>
      <c r="O386" s="56">
        <f>$L$386-EFEITO!$O$386*EFEITO!$AA$386</f>
        <v>195.12354887952051</v>
      </c>
      <c r="P386" s="39"/>
      <c r="Q386" s="39"/>
      <c r="R386" s="39"/>
      <c r="S386" s="39"/>
      <c r="T386" s="39"/>
      <c r="U386" s="39"/>
      <c r="V386" s="39"/>
      <c r="W386" s="39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35" t="s">
        <v>28</v>
      </c>
      <c r="B387" s="35" t="s">
        <v>42</v>
      </c>
      <c r="C387" s="35" t="s">
        <v>23</v>
      </c>
      <c r="D387" s="35" t="s">
        <v>43</v>
      </c>
      <c r="E387" s="35" t="s">
        <v>25</v>
      </c>
      <c r="F387" s="35" t="s">
        <v>25</v>
      </c>
      <c r="G387" s="35" t="s">
        <v>25</v>
      </c>
      <c r="H387" s="35" t="s">
        <v>25</v>
      </c>
      <c r="I387" s="55">
        <v>44682</v>
      </c>
      <c r="J387" s="56">
        <f>EFEITO!$J$387*EFEITO!$Y$287</f>
        <v>0</v>
      </c>
      <c r="K387" s="56">
        <f ca="1">EFEITO!$L$387*EFEITO!$Z$287</f>
        <v>595.0194556251455</v>
      </c>
      <c r="L387" s="56">
        <f>EFEITO!$N$387*EFEITO!$AA$287</f>
        <v>68.291527023820109</v>
      </c>
      <c r="M387" s="56">
        <f>$J$387-EFEITO!$K$387*EFEITO!$Y$387</f>
        <v>0</v>
      </c>
      <c r="N387" s="56">
        <f ca="1">$K$387-EFEITO!$M$387*EFEITO!$Z$387</f>
        <v>41.651361893760281</v>
      </c>
      <c r="O387" s="56">
        <f>$L$387-EFEITO!$O$387*EFEITO!$AA$387</f>
        <v>4.7804068916674041</v>
      </c>
      <c r="P387" s="39"/>
      <c r="Q387" s="39"/>
      <c r="R387" s="39"/>
      <c r="S387" s="39"/>
      <c r="T387" s="39"/>
      <c r="U387" s="39"/>
      <c r="V387" s="39"/>
      <c r="W387" s="39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35" t="s">
        <v>21</v>
      </c>
      <c r="B388" s="35" t="s">
        <v>42</v>
      </c>
      <c r="C388" s="35" t="s">
        <v>23</v>
      </c>
      <c r="D388" s="35" t="s">
        <v>43</v>
      </c>
      <c r="E388" s="35" t="s">
        <v>25</v>
      </c>
      <c r="F388" s="35" t="s">
        <v>25</v>
      </c>
      <c r="G388" s="35" t="s">
        <v>25</v>
      </c>
      <c r="H388" s="35" t="s">
        <v>25</v>
      </c>
      <c r="I388" s="55">
        <v>44713</v>
      </c>
      <c r="J388" s="56">
        <f>EFEITO!$J$388*EFEITO!$Y$287</f>
        <v>0</v>
      </c>
      <c r="K388" s="56">
        <f ca="1">EFEITO!$L$388*EFEITO!$Z$287</f>
        <v>24704.175343706094</v>
      </c>
      <c r="L388" s="56">
        <f>EFEITO!$N$388*EFEITO!$AA$287</f>
        <v>2835.3457053154534</v>
      </c>
      <c r="M388" s="56">
        <f>$J$388-EFEITO!$K$388*EFEITO!$Y$388</f>
        <v>0</v>
      </c>
      <c r="N388" s="56">
        <f ca="1">$K$388-EFEITO!$M$388*EFEITO!$Z$388</f>
        <v>1729.2922740594258</v>
      </c>
      <c r="O388" s="56">
        <f>$L$388-EFEITO!$O$388*EFEITO!$AA$388</f>
        <v>198.47419937208178</v>
      </c>
      <c r="P388" s="39"/>
      <c r="Q388" s="39"/>
      <c r="R388" s="39"/>
      <c r="S388" s="39"/>
      <c r="T388" s="39"/>
      <c r="U388" s="39"/>
      <c r="V388" s="39"/>
      <c r="W388" s="39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35" t="s">
        <v>28</v>
      </c>
      <c r="B389" s="35" t="s">
        <v>42</v>
      </c>
      <c r="C389" s="35" t="s">
        <v>23</v>
      </c>
      <c r="D389" s="35" t="s">
        <v>43</v>
      </c>
      <c r="E389" s="35" t="s">
        <v>25</v>
      </c>
      <c r="F389" s="35" t="s">
        <v>25</v>
      </c>
      <c r="G389" s="35" t="s">
        <v>25</v>
      </c>
      <c r="H389" s="35" t="s">
        <v>25</v>
      </c>
      <c r="I389" s="55">
        <v>44713</v>
      </c>
      <c r="J389" s="56">
        <f>EFEITO!$J$389*EFEITO!$Y$287</f>
        <v>0</v>
      </c>
      <c r="K389" s="56">
        <f ca="1">EFEITO!$L$389*EFEITO!$Z$287</f>
        <v>2049.9642889003298</v>
      </c>
      <c r="L389" s="56">
        <f>EFEITO!$N$389*EFEITO!$AA$287</f>
        <v>235.27834310261309</v>
      </c>
      <c r="M389" s="56">
        <f>$J$389-EFEITO!$K$389*EFEITO!$Y$389</f>
        <v>0</v>
      </c>
      <c r="N389" s="56">
        <f ca="1">$K$389-EFEITO!$M$389*EFEITO!$Z$389</f>
        <v>143.49750022302328</v>
      </c>
      <c r="O389" s="56">
        <f>$L$389-EFEITO!$O$389*EFEITO!$AA$389</f>
        <v>16.469484017182907</v>
      </c>
      <c r="P389" s="39"/>
      <c r="Q389" s="39"/>
      <c r="R389" s="39"/>
      <c r="S389" s="39"/>
      <c r="T389" s="39"/>
      <c r="U389" s="39"/>
      <c r="V389" s="39"/>
      <c r="W389" s="39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35" t="s">
        <v>21</v>
      </c>
      <c r="B390" s="35" t="s">
        <v>42</v>
      </c>
      <c r="C390" s="35" t="s">
        <v>23</v>
      </c>
      <c r="D390" s="35" t="s">
        <v>43</v>
      </c>
      <c r="E390" s="35" t="s">
        <v>25</v>
      </c>
      <c r="F390" s="35" t="s">
        <v>25</v>
      </c>
      <c r="G390" s="35" t="s">
        <v>25</v>
      </c>
      <c r="H390" s="35" t="s">
        <v>25</v>
      </c>
      <c r="I390" s="55">
        <v>44743</v>
      </c>
      <c r="J390" s="56">
        <f>EFEITO!$J$390*EFEITO!$Y$287</f>
        <v>0</v>
      </c>
      <c r="K390" s="56">
        <f ca="1">EFEITO!$L$390*EFEITO!$Z$287</f>
        <v>20963.567875523819</v>
      </c>
      <c r="L390" s="56">
        <f>EFEITO!$N$390*EFEITO!$AA$287</f>
        <v>2406.0289937627399</v>
      </c>
      <c r="M390" s="56">
        <f>$J$390-EFEITO!$K$390*EFEITO!$Y$390</f>
        <v>0</v>
      </c>
      <c r="N390" s="56">
        <f ca="1">$K$390-EFEITO!$M$390*EFEITO!$Z$390</f>
        <v>1467.4497512866692</v>
      </c>
      <c r="O390" s="56">
        <f>$L$390-EFEITO!$O$390*EFEITO!$AA$390</f>
        <v>168.42202956339179</v>
      </c>
      <c r="P390" s="39"/>
      <c r="Q390" s="39"/>
      <c r="R390" s="39"/>
      <c r="S390" s="39"/>
      <c r="T390" s="39"/>
      <c r="U390" s="39"/>
      <c r="V390" s="39"/>
      <c r="W390" s="39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35" t="s">
        <v>28</v>
      </c>
      <c r="B391" s="35" t="s">
        <v>42</v>
      </c>
      <c r="C391" s="35" t="s">
        <v>23</v>
      </c>
      <c r="D391" s="35" t="s">
        <v>43</v>
      </c>
      <c r="E391" s="35" t="s">
        <v>25</v>
      </c>
      <c r="F391" s="35" t="s">
        <v>25</v>
      </c>
      <c r="G391" s="35" t="s">
        <v>25</v>
      </c>
      <c r="H391" s="35" t="s">
        <v>25</v>
      </c>
      <c r="I391" s="55">
        <v>44743</v>
      </c>
      <c r="J391" s="56">
        <f>EFEITO!$J$391*EFEITO!$Y$287</f>
        <v>0</v>
      </c>
      <c r="K391" s="56">
        <f ca="1">EFEITO!$L$391*EFEITO!$Z$287</f>
        <v>582.11378250085579</v>
      </c>
      <c r="L391" s="56">
        <f>EFEITO!$N$391*EFEITO!$AA$287</f>
        <v>66.810318104353698</v>
      </c>
      <c r="M391" s="56">
        <f>$J$391-EFEITO!$K$391*EFEITO!$Y$391</f>
        <v>0</v>
      </c>
      <c r="N391" s="56">
        <f ca="1">$K$391-EFEITO!$M$391*EFEITO!$Z$391</f>
        <v>40.747964775059927</v>
      </c>
      <c r="O391" s="56">
        <f>$L$391-EFEITO!$O$391*EFEITO!$AA$391</f>
        <v>4.6767222673047684</v>
      </c>
      <c r="P391" s="39"/>
      <c r="Q391" s="39"/>
      <c r="R391" s="39"/>
      <c r="S391" s="39"/>
      <c r="T391" s="39"/>
      <c r="U391" s="39"/>
      <c r="V391" s="39"/>
      <c r="W391" s="39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35" t="s">
        <v>21</v>
      </c>
      <c r="B392" s="35" t="s">
        <v>42</v>
      </c>
      <c r="C392" s="35" t="s">
        <v>23</v>
      </c>
      <c r="D392" s="35" t="s">
        <v>43</v>
      </c>
      <c r="E392" s="35" t="s">
        <v>25</v>
      </c>
      <c r="F392" s="35" t="s">
        <v>25</v>
      </c>
      <c r="G392" s="35" t="s">
        <v>25</v>
      </c>
      <c r="H392" s="35" t="s">
        <v>25</v>
      </c>
      <c r="I392" s="55">
        <v>44774</v>
      </c>
      <c r="J392" s="56">
        <f>EFEITO!$J$392*EFEITO!$Y$287</f>
        <v>0</v>
      </c>
      <c r="K392" s="56">
        <f ca="1">EFEITO!$L$392*EFEITO!$Z$287</f>
        <v>23826.589571254401</v>
      </c>
      <c r="L392" s="56">
        <f>EFEITO!$N$392*EFEITO!$AA$287</f>
        <v>2734.6234987917373</v>
      </c>
      <c r="M392" s="56">
        <f>$J$392-EFEITO!$K$392*EFEITO!$Y$392</f>
        <v>0</v>
      </c>
      <c r="N392" s="56">
        <f ca="1">$K$392-EFEITO!$M$392*EFEITO!$Z$392</f>
        <v>1667.8612699878104</v>
      </c>
      <c r="O392" s="56">
        <f>$L$392-EFEITO!$O$392*EFEITO!$AA$392</f>
        <v>191.42364491542139</v>
      </c>
      <c r="P392" s="39"/>
      <c r="Q392" s="39"/>
      <c r="R392" s="39"/>
      <c r="S392" s="39"/>
      <c r="T392" s="39"/>
      <c r="U392" s="39"/>
      <c r="V392" s="39"/>
      <c r="W392" s="39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35" t="s">
        <v>28</v>
      </c>
      <c r="B393" s="35" t="s">
        <v>42</v>
      </c>
      <c r="C393" s="35" t="s">
        <v>23</v>
      </c>
      <c r="D393" s="35" t="s">
        <v>43</v>
      </c>
      <c r="E393" s="35" t="s">
        <v>25</v>
      </c>
      <c r="F393" s="35" t="s">
        <v>25</v>
      </c>
      <c r="G393" s="35" t="s">
        <v>25</v>
      </c>
      <c r="H393" s="35" t="s">
        <v>25</v>
      </c>
      <c r="I393" s="55">
        <v>44774</v>
      </c>
      <c r="J393" s="56">
        <f>EFEITO!$J$393*EFEITO!$Y$287</f>
        <v>0</v>
      </c>
      <c r="K393" s="56">
        <f ca="1">EFEITO!$L$393*EFEITO!$Z$287</f>
        <v>389.20793159042046</v>
      </c>
      <c r="L393" s="56">
        <f>EFEITO!$N$393*EFEITO!$AA$287</f>
        <v>44.670142676539861</v>
      </c>
      <c r="M393" s="56">
        <f>$J$393-EFEITO!$K$393*EFEITO!$Y$393</f>
        <v>0</v>
      </c>
      <c r="N393" s="56">
        <f ca="1">$K$393-EFEITO!$M$393*EFEITO!$Z$393</f>
        <v>27.244555211329441</v>
      </c>
      <c r="O393" s="56">
        <f>$L$393-EFEITO!$O$393*EFEITO!$AA$393</f>
        <v>3.1269099873577915</v>
      </c>
      <c r="P393" s="39"/>
      <c r="Q393" s="39"/>
      <c r="R393" s="39"/>
      <c r="S393" s="39"/>
      <c r="T393" s="39"/>
      <c r="U393" s="39"/>
      <c r="V393" s="39"/>
      <c r="W393" s="39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35" t="s">
        <v>21</v>
      </c>
      <c r="B394" s="35" t="s">
        <v>37</v>
      </c>
      <c r="C394" s="35" t="s">
        <v>33</v>
      </c>
      <c r="D394" s="35" t="s">
        <v>41</v>
      </c>
      <c r="E394" s="35" t="s">
        <v>25</v>
      </c>
      <c r="F394" s="35" t="s">
        <v>25</v>
      </c>
      <c r="G394" s="35" t="s">
        <v>25</v>
      </c>
      <c r="H394" s="35" t="s">
        <v>35</v>
      </c>
      <c r="I394" s="55">
        <v>44440</v>
      </c>
      <c r="J394" s="56">
        <f>EFEITO!$J$394*EFEITO!$Y$394</f>
        <v>0</v>
      </c>
      <c r="K394" s="56">
        <f ca="1">EFEITO!$L$394*EFEITO!$Z$394</f>
        <v>413.49573514128735</v>
      </c>
      <c r="L394" s="56">
        <f>EFEITO!$N$394*EFEITO!$AA$394</f>
        <v>64.081775357968183</v>
      </c>
      <c r="M394" s="56">
        <f>$J$394-EFEITO!$K$394*EFEITO!$Y$394</f>
        <v>0</v>
      </c>
      <c r="N394" s="56">
        <f ca="1">$K$394-EFEITO!$M$394*EFEITO!$Z$394</f>
        <v>0</v>
      </c>
      <c r="O394" s="56">
        <f>$L$394-EFEITO!$O$394*EFEITO!$AA$394</f>
        <v>0</v>
      </c>
      <c r="P394" s="39"/>
      <c r="Q394" s="39"/>
      <c r="R394" s="39"/>
      <c r="S394" s="39"/>
      <c r="T394" s="39"/>
      <c r="U394" s="39"/>
      <c r="V394" s="39"/>
      <c r="W394" s="39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35" t="s">
        <v>21</v>
      </c>
      <c r="B395" s="35" t="s">
        <v>37</v>
      </c>
      <c r="C395" s="35" t="s">
        <v>33</v>
      </c>
      <c r="D395" s="35" t="s">
        <v>41</v>
      </c>
      <c r="E395" s="35" t="s">
        <v>25</v>
      </c>
      <c r="F395" s="35" t="s">
        <v>25</v>
      </c>
      <c r="G395" s="35" t="s">
        <v>25</v>
      </c>
      <c r="H395" s="35" t="s">
        <v>35</v>
      </c>
      <c r="I395" s="55">
        <v>44470</v>
      </c>
      <c r="J395" s="56">
        <f>EFEITO!$J$395*EFEITO!$Y$395</f>
        <v>0</v>
      </c>
      <c r="K395" s="56">
        <f ca="1">EFEITO!$L$395*EFEITO!$Z$395</f>
        <v>448.70826733093475</v>
      </c>
      <c r="L395" s="56">
        <f>EFEITO!$N$395*EFEITO!$AA$395</f>
        <v>69.538860850739198</v>
      </c>
      <c r="M395" s="56">
        <f>$J$395-EFEITO!$K$395*EFEITO!$Y$395</f>
        <v>0</v>
      </c>
      <c r="N395" s="56">
        <f ca="1">$K$395-EFEITO!$M$395*EFEITO!$Z$395</f>
        <v>0</v>
      </c>
      <c r="O395" s="56">
        <f>$L$395-EFEITO!$O$395*EFEITO!$AA$395</f>
        <v>0</v>
      </c>
      <c r="P395" s="39"/>
      <c r="Q395" s="39"/>
      <c r="R395" s="39"/>
      <c r="S395" s="39"/>
      <c r="T395" s="39"/>
      <c r="U395" s="39"/>
      <c r="V395" s="39"/>
      <c r="W395" s="39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35" t="s">
        <v>21</v>
      </c>
      <c r="B396" s="35" t="s">
        <v>37</v>
      </c>
      <c r="C396" s="35" t="s">
        <v>33</v>
      </c>
      <c r="D396" s="35" t="s">
        <v>41</v>
      </c>
      <c r="E396" s="35" t="s">
        <v>25</v>
      </c>
      <c r="F396" s="35" t="s">
        <v>25</v>
      </c>
      <c r="G396" s="35" t="s">
        <v>25</v>
      </c>
      <c r="H396" s="35" t="s">
        <v>35</v>
      </c>
      <c r="I396" s="55">
        <v>44501</v>
      </c>
      <c r="J396" s="56">
        <f>EFEITO!$J$396*EFEITO!$Y$396</f>
        <v>0</v>
      </c>
      <c r="K396" s="56">
        <f ca="1">EFEITO!$L$396*EFEITO!$Z$396</f>
        <v>343.07067076199274</v>
      </c>
      <c r="L396" s="56">
        <f>EFEITO!$N$396*EFEITO!$AA$396</f>
        <v>53.167604372426162</v>
      </c>
      <c r="M396" s="56">
        <f>$J$396-EFEITO!$K$396*EFEITO!$Y$396</f>
        <v>0</v>
      </c>
      <c r="N396" s="56">
        <f ca="1">$K$396-EFEITO!$M$396*EFEITO!$Z$396</f>
        <v>0</v>
      </c>
      <c r="O396" s="56">
        <f>$L$396-EFEITO!$O$396*EFEITO!$AA$396</f>
        <v>0</v>
      </c>
      <c r="P396" s="39"/>
      <c r="Q396" s="39"/>
      <c r="R396" s="39"/>
      <c r="S396" s="39"/>
      <c r="T396" s="39"/>
      <c r="U396" s="39"/>
      <c r="V396" s="39"/>
      <c r="W396" s="39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35" t="s">
        <v>28</v>
      </c>
      <c r="B397" s="35" t="s">
        <v>37</v>
      </c>
      <c r="C397" s="35" t="s">
        <v>33</v>
      </c>
      <c r="D397" s="35" t="s">
        <v>41</v>
      </c>
      <c r="E397" s="35" t="s">
        <v>25</v>
      </c>
      <c r="F397" s="35" t="s">
        <v>25</v>
      </c>
      <c r="G397" s="35" t="s">
        <v>25</v>
      </c>
      <c r="H397" s="35" t="s">
        <v>35</v>
      </c>
      <c r="I397" s="55">
        <v>44501</v>
      </c>
      <c r="J397" s="56">
        <f>EFEITO!$J$397*EFEITO!$Y$397</f>
        <v>0</v>
      </c>
      <c r="K397" s="56">
        <f ca="1">EFEITO!$L$397*EFEITO!$Z$397</f>
        <v>277.67596812407623</v>
      </c>
      <c r="L397" s="56">
        <f>EFEITO!$N$397*EFEITO!$AA$397</f>
        <v>43.033017028708564</v>
      </c>
      <c r="M397" s="56">
        <f>$J$397-EFEITO!$K$397*EFEITO!$Y$397</f>
        <v>0</v>
      </c>
      <c r="N397" s="56">
        <f ca="1">$K$397-EFEITO!$M$397*EFEITO!$Z$397</f>
        <v>0</v>
      </c>
      <c r="O397" s="56">
        <f>$L$397-EFEITO!$O$397*EFEITO!$AA$397</f>
        <v>0</v>
      </c>
      <c r="P397" s="39"/>
      <c r="Q397" s="39"/>
      <c r="R397" s="39"/>
      <c r="S397" s="39"/>
      <c r="T397" s="39"/>
      <c r="U397" s="39"/>
      <c r="V397" s="39"/>
      <c r="W397" s="39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35" t="s">
        <v>21</v>
      </c>
      <c r="B398" s="35" t="s">
        <v>37</v>
      </c>
      <c r="C398" s="35" t="s">
        <v>33</v>
      </c>
      <c r="D398" s="35" t="s">
        <v>41</v>
      </c>
      <c r="E398" s="35" t="s">
        <v>25</v>
      </c>
      <c r="F398" s="35" t="s">
        <v>25</v>
      </c>
      <c r="G398" s="35" t="s">
        <v>25</v>
      </c>
      <c r="H398" s="35" t="s">
        <v>35</v>
      </c>
      <c r="I398" s="55">
        <v>44531</v>
      </c>
      <c r="J398" s="56">
        <f>EFEITO!$J$398*EFEITO!$Y$398</f>
        <v>0</v>
      </c>
      <c r="K398" s="56">
        <f ca="1">EFEITO!$L$398*EFEITO!$Z$398</f>
        <v>2013.1507688995523</v>
      </c>
      <c r="L398" s="56">
        <f>EFEITO!$N$398*EFEITO!$AA$398</f>
        <v>311.98937345813704</v>
      </c>
      <c r="M398" s="56">
        <f>$J$398-EFEITO!$K$398*EFEITO!$Y$398</f>
        <v>0</v>
      </c>
      <c r="N398" s="56">
        <f ca="1">$K$398-EFEITO!$M$398*EFEITO!$Z$398</f>
        <v>0</v>
      </c>
      <c r="O398" s="56">
        <f>$L$398-EFEITO!$O$398*EFEITO!$AA$398</f>
        <v>0</v>
      </c>
      <c r="P398" s="39"/>
      <c r="Q398" s="39"/>
      <c r="R398" s="39"/>
      <c r="S398" s="39"/>
      <c r="T398" s="39"/>
      <c r="U398" s="39"/>
      <c r="V398" s="39"/>
      <c r="W398" s="39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35" t="s">
        <v>21</v>
      </c>
      <c r="B399" s="35" t="s">
        <v>37</v>
      </c>
      <c r="C399" s="35" t="s">
        <v>33</v>
      </c>
      <c r="D399" s="35" t="s">
        <v>41</v>
      </c>
      <c r="E399" s="35" t="s">
        <v>25</v>
      </c>
      <c r="F399" s="35" t="s">
        <v>25</v>
      </c>
      <c r="G399" s="35" t="s">
        <v>25</v>
      </c>
      <c r="H399" s="35" t="s">
        <v>35</v>
      </c>
      <c r="I399" s="55">
        <v>44562</v>
      </c>
      <c r="J399" s="56">
        <f>EFEITO!$J$399*EFEITO!$Y$399</f>
        <v>0</v>
      </c>
      <c r="K399" s="56">
        <f ca="1">EFEITO!$L$399*EFEITO!$Z$399</f>
        <v>2715.8923041700859</v>
      </c>
      <c r="L399" s="56">
        <f>EFEITO!$N$399*EFEITO!$AA$399</f>
        <v>420.89720822101003</v>
      </c>
      <c r="M399" s="56">
        <f>$J$399-EFEITO!$K$399*EFEITO!$Y$399</f>
        <v>0</v>
      </c>
      <c r="N399" s="56">
        <f ca="1">$K$399-EFEITO!$M$399*EFEITO!$Z$399</f>
        <v>0</v>
      </c>
      <c r="O399" s="56">
        <f>$L$399-EFEITO!$O$399*EFEITO!$AA$399</f>
        <v>0</v>
      </c>
      <c r="P399" s="39"/>
      <c r="Q399" s="39"/>
      <c r="R399" s="39"/>
      <c r="S399" s="39"/>
      <c r="T399" s="39"/>
      <c r="U399" s="39"/>
      <c r="V399" s="39"/>
      <c r="W399" s="39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35" t="s">
        <v>28</v>
      </c>
      <c r="B400" s="35" t="s">
        <v>37</v>
      </c>
      <c r="C400" s="35" t="s">
        <v>33</v>
      </c>
      <c r="D400" s="35" t="s">
        <v>41</v>
      </c>
      <c r="E400" s="35" t="s">
        <v>25</v>
      </c>
      <c r="F400" s="35" t="s">
        <v>25</v>
      </c>
      <c r="G400" s="35" t="s">
        <v>25</v>
      </c>
      <c r="H400" s="35" t="s">
        <v>35</v>
      </c>
      <c r="I400" s="55">
        <v>44562</v>
      </c>
      <c r="J400" s="56">
        <f>EFEITO!$J$400*EFEITO!$Y$400</f>
        <v>0</v>
      </c>
      <c r="K400" s="56">
        <f ca="1">EFEITO!$L$400*EFEITO!$Z$400</f>
        <v>30.182170448269151</v>
      </c>
      <c r="L400" s="56">
        <f>EFEITO!$N$400*EFEITO!$AA$400</f>
        <v>4.6775018509465829</v>
      </c>
      <c r="M400" s="56">
        <f>$J$400-EFEITO!$K$400*EFEITO!$Y$400</f>
        <v>0</v>
      </c>
      <c r="N400" s="56">
        <f ca="1">$K$400-EFEITO!$M$400*EFEITO!$Z$400</f>
        <v>0</v>
      </c>
      <c r="O400" s="56">
        <f>$L$400-EFEITO!$O$400*EFEITO!$AA$400</f>
        <v>0</v>
      </c>
      <c r="P400" s="39"/>
      <c r="Q400" s="39"/>
      <c r="R400" s="39"/>
      <c r="S400" s="39"/>
      <c r="T400" s="39"/>
      <c r="U400" s="39"/>
      <c r="V400" s="39"/>
      <c r="W400" s="39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35" t="s">
        <v>21</v>
      </c>
      <c r="B401" s="35" t="s">
        <v>37</v>
      </c>
      <c r="C401" s="35" t="s">
        <v>33</v>
      </c>
      <c r="D401" s="35" t="s">
        <v>41</v>
      </c>
      <c r="E401" s="35" t="s">
        <v>25</v>
      </c>
      <c r="F401" s="35" t="s">
        <v>25</v>
      </c>
      <c r="G401" s="35" t="s">
        <v>25</v>
      </c>
      <c r="H401" s="35" t="s">
        <v>35</v>
      </c>
      <c r="I401" s="55">
        <v>44593</v>
      </c>
      <c r="J401" s="56">
        <f>EFEITO!$J$401*EFEITO!$Y$401</f>
        <v>0</v>
      </c>
      <c r="K401" s="56">
        <f ca="1">EFEITO!$L$401*EFEITO!$Z$401</f>
        <v>3224.4618762234213</v>
      </c>
      <c r="L401" s="56">
        <f>EFEITO!$N$401*EFEITO!$AA$401</f>
        <v>499.71311440945993</v>
      </c>
      <c r="M401" s="56">
        <f>$J$401-EFEITO!$K$401*EFEITO!$Y$401</f>
        <v>0</v>
      </c>
      <c r="N401" s="56">
        <f ca="1">$K$401-EFEITO!$M$401*EFEITO!$Z$401</f>
        <v>0</v>
      </c>
      <c r="O401" s="56">
        <f>$L$401-EFEITO!$O$401*EFEITO!$AA$401</f>
        <v>0</v>
      </c>
      <c r="P401" s="39"/>
      <c r="Q401" s="39"/>
      <c r="R401" s="39"/>
      <c r="S401" s="39"/>
      <c r="T401" s="39"/>
      <c r="U401" s="39"/>
      <c r="V401" s="39"/>
      <c r="W401" s="39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35" t="s">
        <v>21</v>
      </c>
      <c r="B402" s="35" t="s">
        <v>37</v>
      </c>
      <c r="C402" s="35" t="s">
        <v>33</v>
      </c>
      <c r="D402" s="35" t="s">
        <v>41</v>
      </c>
      <c r="E402" s="35" t="s">
        <v>25</v>
      </c>
      <c r="F402" s="35" t="s">
        <v>25</v>
      </c>
      <c r="G402" s="35" t="s">
        <v>25</v>
      </c>
      <c r="H402" s="35" t="s">
        <v>35</v>
      </c>
      <c r="I402" s="55">
        <v>44621</v>
      </c>
      <c r="J402" s="56">
        <f>EFEITO!$J$402*EFEITO!$Y$402</f>
        <v>0</v>
      </c>
      <c r="K402" s="56">
        <f ca="1">EFEITO!$L$402*EFEITO!$Z$402</f>
        <v>3397.0032839526934</v>
      </c>
      <c r="L402" s="56">
        <f>EFEITO!$N$402*EFEITO!$AA$402</f>
        <v>526.4528333240379</v>
      </c>
      <c r="M402" s="56">
        <f>$J$402-EFEITO!$K$402*EFEITO!$Y$402</f>
        <v>0</v>
      </c>
      <c r="N402" s="56">
        <f ca="1">$K$402-EFEITO!$M$402*EFEITO!$Z$402</f>
        <v>0</v>
      </c>
      <c r="O402" s="56">
        <f>$L$402-EFEITO!$O$402*EFEITO!$AA$402</f>
        <v>0</v>
      </c>
      <c r="P402" s="39"/>
      <c r="Q402" s="39"/>
      <c r="R402" s="39"/>
      <c r="S402" s="39"/>
      <c r="T402" s="39"/>
      <c r="U402" s="39"/>
      <c r="V402" s="39"/>
      <c r="W402" s="39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35" t="s">
        <v>28</v>
      </c>
      <c r="B403" s="35" t="s">
        <v>37</v>
      </c>
      <c r="C403" s="35" t="s">
        <v>33</v>
      </c>
      <c r="D403" s="35" t="s">
        <v>41</v>
      </c>
      <c r="E403" s="35" t="s">
        <v>25</v>
      </c>
      <c r="F403" s="35" t="s">
        <v>25</v>
      </c>
      <c r="G403" s="35" t="s">
        <v>25</v>
      </c>
      <c r="H403" s="35" t="s">
        <v>35</v>
      </c>
      <c r="I403" s="55">
        <v>44621</v>
      </c>
      <c r="J403" s="56">
        <f>EFEITO!$J$403*EFEITO!$Y$403</f>
        <v>0</v>
      </c>
      <c r="K403" s="56">
        <f ca="1">EFEITO!$L$403*EFEITO!$Z$403</f>
        <v>482.41169099816864</v>
      </c>
      <c r="L403" s="56">
        <f>EFEITO!$N$403*EFEITO!$AA$403</f>
        <v>74.762071250962876</v>
      </c>
      <c r="M403" s="56">
        <f>$J$403-EFEITO!$K$403*EFEITO!$Y$403</f>
        <v>0</v>
      </c>
      <c r="N403" s="56">
        <f ca="1">$K$403-EFEITO!$M$403*EFEITO!$Z$403</f>
        <v>0</v>
      </c>
      <c r="O403" s="56">
        <f>$L$403-EFEITO!$O$403*EFEITO!$AA$403</f>
        <v>0</v>
      </c>
      <c r="P403" s="39"/>
      <c r="Q403" s="39"/>
      <c r="R403" s="39"/>
      <c r="S403" s="39"/>
      <c r="T403" s="39"/>
      <c r="U403" s="39"/>
      <c r="V403" s="39"/>
      <c r="W403" s="39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35" t="s">
        <v>21</v>
      </c>
      <c r="B404" s="35" t="s">
        <v>37</v>
      </c>
      <c r="C404" s="35" t="s">
        <v>33</v>
      </c>
      <c r="D404" s="35" t="s">
        <v>41</v>
      </c>
      <c r="E404" s="35" t="s">
        <v>25</v>
      </c>
      <c r="F404" s="35" t="s">
        <v>25</v>
      </c>
      <c r="G404" s="35" t="s">
        <v>25</v>
      </c>
      <c r="H404" s="35" t="s">
        <v>35</v>
      </c>
      <c r="I404" s="55">
        <v>44652</v>
      </c>
      <c r="J404" s="56">
        <f>EFEITO!$J$404*EFEITO!$Y$404</f>
        <v>0</v>
      </c>
      <c r="K404" s="56">
        <f ca="1">EFEITO!$L$404*EFEITO!$Z$404</f>
        <v>2799.3963090769639</v>
      </c>
      <c r="L404" s="56">
        <f>EFEITO!$N$404*EFEITO!$AA$404</f>
        <v>433.83829667529562</v>
      </c>
      <c r="M404" s="56">
        <f>$J$404-EFEITO!$K$404*EFEITO!$Y$404</f>
        <v>0</v>
      </c>
      <c r="N404" s="56">
        <f ca="1">$K$404-EFEITO!$M$404*EFEITO!$Z$404</f>
        <v>0</v>
      </c>
      <c r="O404" s="56">
        <f>$L$404-EFEITO!$O$404*EFEITO!$AA$404</f>
        <v>0</v>
      </c>
      <c r="P404" s="39"/>
      <c r="Q404" s="39"/>
      <c r="R404" s="39"/>
      <c r="S404" s="39"/>
      <c r="T404" s="39"/>
      <c r="U404" s="39"/>
      <c r="V404" s="39"/>
      <c r="W404" s="39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35" t="s">
        <v>28</v>
      </c>
      <c r="B405" s="35" t="s">
        <v>37</v>
      </c>
      <c r="C405" s="35" t="s">
        <v>33</v>
      </c>
      <c r="D405" s="35" t="s">
        <v>41</v>
      </c>
      <c r="E405" s="35" t="s">
        <v>25</v>
      </c>
      <c r="F405" s="35" t="s">
        <v>25</v>
      </c>
      <c r="G405" s="35" t="s">
        <v>25</v>
      </c>
      <c r="H405" s="35" t="s">
        <v>35</v>
      </c>
      <c r="I405" s="55">
        <v>44652</v>
      </c>
      <c r="J405" s="56">
        <f>EFEITO!$J$405*EFEITO!$Y$405</f>
        <v>0</v>
      </c>
      <c r="K405" s="56">
        <f ca="1">EFEITO!$L$405*EFEITO!$Z$405</f>
        <v>328.98565788613377</v>
      </c>
      <c r="L405" s="56">
        <f>EFEITO!$N$405*EFEITO!$AA$405</f>
        <v>50.984770175317756</v>
      </c>
      <c r="M405" s="56">
        <f>$J$405-EFEITO!$K$405*EFEITO!$Y$405</f>
        <v>0</v>
      </c>
      <c r="N405" s="56">
        <f ca="1">$K$405-EFEITO!$M$405*EFEITO!$Z$405</f>
        <v>0</v>
      </c>
      <c r="O405" s="56">
        <f>$L$405-EFEITO!$O$405*EFEITO!$AA$405</f>
        <v>0</v>
      </c>
      <c r="P405" s="39"/>
      <c r="Q405" s="39"/>
      <c r="R405" s="39"/>
      <c r="S405" s="39"/>
      <c r="T405" s="39"/>
      <c r="U405" s="39"/>
      <c r="V405" s="39"/>
      <c r="W405" s="39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35" t="s">
        <v>21</v>
      </c>
      <c r="B406" s="35" t="s">
        <v>37</v>
      </c>
      <c r="C406" s="35" t="s">
        <v>33</v>
      </c>
      <c r="D406" s="35" t="s">
        <v>41</v>
      </c>
      <c r="E406" s="35" t="s">
        <v>25</v>
      </c>
      <c r="F406" s="35" t="s">
        <v>25</v>
      </c>
      <c r="G406" s="35" t="s">
        <v>25</v>
      </c>
      <c r="H406" s="35" t="s">
        <v>35</v>
      </c>
      <c r="I406" s="55">
        <v>44682</v>
      </c>
      <c r="J406" s="56">
        <f>EFEITO!$J$406*EFEITO!$Y$406</f>
        <v>0</v>
      </c>
      <c r="K406" s="56">
        <f ca="1">EFEITO!$L$406*EFEITO!$Z$406</f>
        <v>2790.3416579424829</v>
      </c>
      <c r="L406" s="56">
        <f>EFEITO!$N$406*EFEITO!$AA$406</f>
        <v>432.43504612001158</v>
      </c>
      <c r="M406" s="56">
        <f>$J$406-EFEITO!$K$406*EFEITO!$Y$406</f>
        <v>0</v>
      </c>
      <c r="N406" s="56">
        <f ca="1">$K$406-EFEITO!$M$406*EFEITO!$Z$406</f>
        <v>0</v>
      </c>
      <c r="O406" s="56">
        <f>$L$406-EFEITO!$O$406*EFEITO!$AA$406</f>
        <v>0</v>
      </c>
      <c r="P406" s="39"/>
      <c r="Q406" s="39"/>
      <c r="R406" s="39"/>
      <c r="S406" s="39"/>
      <c r="T406" s="39"/>
      <c r="U406" s="39"/>
      <c r="V406" s="39"/>
      <c r="W406" s="39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35" t="s">
        <v>28</v>
      </c>
      <c r="B407" s="35" t="s">
        <v>37</v>
      </c>
      <c r="C407" s="35" t="s">
        <v>33</v>
      </c>
      <c r="D407" s="35" t="s">
        <v>41</v>
      </c>
      <c r="E407" s="35" t="s">
        <v>25</v>
      </c>
      <c r="F407" s="35" t="s">
        <v>25</v>
      </c>
      <c r="G407" s="35" t="s">
        <v>25</v>
      </c>
      <c r="H407" s="35" t="s">
        <v>35</v>
      </c>
      <c r="I407" s="55">
        <v>44682</v>
      </c>
      <c r="J407" s="56">
        <f>EFEITO!$J$407*EFEITO!$Y$407</f>
        <v>0</v>
      </c>
      <c r="K407" s="56">
        <f ca="1">EFEITO!$L$407*EFEITO!$Z$407</f>
        <v>295.28223421889987</v>
      </c>
      <c r="L407" s="56">
        <f>EFEITO!$N$407*EFEITO!$AA$407</f>
        <v>45.761559775094064</v>
      </c>
      <c r="M407" s="56">
        <f>$J$407-EFEITO!$K$407*EFEITO!$Y$407</f>
        <v>0</v>
      </c>
      <c r="N407" s="56">
        <f ca="1">$K$407-EFEITO!$M$407*EFEITO!$Z$407</f>
        <v>0</v>
      </c>
      <c r="O407" s="56">
        <f>$L$407-EFEITO!$O$407*EFEITO!$AA$407</f>
        <v>0</v>
      </c>
      <c r="P407" s="39"/>
      <c r="Q407" s="39"/>
      <c r="R407" s="39"/>
      <c r="S407" s="39"/>
      <c r="T407" s="39"/>
      <c r="U407" s="39"/>
      <c r="V407" s="39"/>
      <c r="W407" s="39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35" t="s">
        <v>21</v>
      </c>
      <c r="B408" s="35" t="s">
        <v>37</v>
      </c>
      <c r="C408" s="35" t="s">
        <v>33</v>
      </c>
      <c r="D408" s="35" t="s">
        <v>41</v>
      </c>
      <c r="E408" s="35" t="s">
        <v>25</v>
      </c>
      <c r="F408" s="35" t="s">
        <v>25</v>
      </c>
      <c r="G408" s="35" t="s">
        <v>25</v>
      </c>
      <c r="H408" s="35" t="s">
        <v>35</v>
      </c>
      <c r="I408" s="55">
        <v>44713</v>
      </c>
      <c r="J408" s="56">
        <f>EFEITO!$J$408*EFEITO!$Y$408</f>
        <v>0</v>
      </c>
      <c r="K408" s="56">
        <f ca="1">EFEITO!$L$408*EFEITO!$Z$408</f>
        <v>2314.9724733822441</v>
      </c>
      <c r="L408" s="56">
        <f>EFEITO!$N$408*EFEITO!$AA$408</f>
        <v>358.76439196760293</v>
      </c>
      <c r="M408" s="56">
        <f>$J$408-EFEITO!$K$408*EFEITO!$Y$408</f>
        <v>0</v>
      </c>
      <c r="N408" s="56">
        <f ca="1">$K$408-EFEITO!$M$408*EFEITO!$Z$408</f>
        <v>0</v>
      </c>
      <c r="O408" s="56">
        <f>$L$408-EFEITO!$O$408*EFEITO!$AA$408</f>
        <v>0</v>
      </c>
      <c r="P408" s="39"/>
      <c r="Q408" s="39"/>
      <c r="R408" s="39"/>
      <c r="S408" s="39"/>
      <c r="T408" s="39"/>
      <c r="U408" s="39"/>
      <c r="V408" s="39"/>
      <c r="W408" s="39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35" t="s">
        <v>28</v>
      </c>
      <c r="B409" s="35" t="s">
        <v>37</v>
      </c>
      <c r="C409" s="35" t="s">
        <v>33</v>
      </c>
      <c r="D409" s="35" t="s">
        <v>41</v>
      </c>
      <c r="E409" s="35" t="s">
        <v>25</v>
      </c>
      <c r="F409" s="35" t="s">
        <v>25</v>
      </c>
      <c r="G409" s="35" t="s">
        <v>25</v>
      </c>
      <c r="H409" s="35" t="s">
        <v>35</v>
      </c>
      <c r="I409" s="55">
        <v>44713</v>
      </c>
      <c r="J409" s="56">
        <f>EFEITO!$J$409*EFEITO!$Y$409</f>
        <v>0</v>
      </c>
      <c r="K409" s="56">
        <f ca="1">EFEITO!$L$409*EFEITO!$Z$409</f>
        <v>254.03326793959872</v>
      </c>
      <c r="L409" s="56">
        <f>EFEITO!$N$409*EFEITO!$AA$409</f>
        <v>39.36897391213374</v>
      </c>
      <c r="M409" s="56">
        <f>$J$409-EFEITO!$K$409*EFEITO!$Y$409</f>
        <v>0</v>
      </c>
      <c r="N409" s="56">
        <f ca="1">$K$409-EFEITO!$M$409*EFEITO!$Z$409</f>
        <v>0</v>
      </c>
      <c r="O409" s="56">
        <f>$L$409-EFEITO!$O$409*EFEITO!$AA$409</f>
        <v>0</v>
      </c>
      <c r="P409" s="39"/>
      <c r="Q409" s="39"/>
      <c r="R409" s="39"/>
      <c r="S409" s="39"/>
      <c r="T409" s="39"/>
      <c r="U409" s="39"/>
      <c r="V409" s="39"/>
      <c r="W409" s="39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35" t="s">
        <v>21</v>
      </c>
      <c r="B410" s="35" t="s">
        <v>37</v>
      </c>
      <c r="C410" s="35" t="s">
        <v>33</v>
      </c>
      <c r="D410" s="35" t="s">
        <v>41</v>
      </c>
      <c r="E410" s="35" t="s">
        <v>25</v>
      </c>
      <c r="F410" s="35" t="s">
        <v>25</v>
      </c>
      <c r="G410" s="35" t="s">
        <v>25</v>
      </c>
      <c r="H410" s="35" t="s">
        <v>35</v>
      </c>
      <c r="I410" s="55">
        <v>44743</v>
      </c>
      <c r="J410" s="56">
        <f>EFEITO!$J$410*EFEITO!$Y$410</f>
        <v>0</v>
      </c>
      <c r="K410" s="56">
        <f ca="1">EFEITO!$L$410*EFEITO!$Z$410</f>
        <v>188.63856530168221</v>
      </c>
      <c r="L410" s="56">
        <f>EFEITO!$N$410*EFEITO!$AA$410</f>
        <v>29.234386568416141</v>
      </c>
      <c r="M410" s="56">
        <f>$J$410-EFEITO!$K$410*EFEITO!$Y$410</f>
        <v>0</v>
      </c>
      <c r="N410" s="56">
        <f ca="1">$K$410-EFEITO!$M$410*EFEITO!$Z$410</f>
        <v>0</v>
      </c>
      <c r="O410" s="56">
        <f>$L$410-EFEITO!$O$410*EFEITO!$AA$410</f>
        <v>0</v>
      </c>
      <c r="P410" s="39"/>
      <c r="Q410" s="39"/>
      <c r="R410" s="39"/>
      <c r="S410" s="39"/>
      <c r="T410" s="39"/>
      <c r="U410" s="39"/>
      <c r="V410" s="39"/>
      <c r="W410" s="39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35" t="s">
        <v>28</v>
      </c>
      <c r="B411" s="35" t="s">
        <v>37</v>
      </c>
      <c r="C411" s="35" t="s">
        <v>33</v>
      </c>
      <c r="D411" s="35" t="s">
        <v>41</v>
      </c>
      <c r="E411" s="35" t="s">
        <v>25</v>
      </c>
      <c r="F411" s="35" t="s">
        <v>25</v>
      </c>
      <c r="G411" s="35" t="s">
        <v>25</v>
      </c>
      <c r="H411" s="35" t="s">
        <v>35</v>
      </c>
      <c r="I411" s="55">
        <v>44743</v>
      </c>
      <c r="J411" s="56">
        <f>EFEITO!$J$411*EFEITO!$Y$411</f>
        <v>0</v>
      </c>
      <c r="K411" s="56">
        <f ca="1">EFEITO!$L$411*EFEITO!$Z$411</f>
        <v>60.86737707067612</v>
      </c>
      <c r="L411" s="56">
        <f>EFEITO!$N$411*EFEITO!$AA$411</f>
        <v>9.4329620660756088</v>
      </c>
      <c r="M411" s="56">
        <f>$J$411-EFEITO!$K$411*EFEITO!$Y$411</f>
        <v>0</v>
      </c>
      <c r="N411" s="56">
        <f ca="1">$K$411-EFEITO!$M$411*EFEITO!$Z$411</f>
        <v>0</v>
      </c>
      <c r="O411" s="56">
        <f>$L$411-EFEITO!$O$411*EFEITO!$AA$411</f>
        <v>0</v>
      </c>
      <c r="P411" s="39"/>
      <c r="Q411" s="39"/>
      <c r="R411" s="39"/>
      <c r="S411" s="39"/>
      <c r="T411" s="39"/>
      <c r="U411" s="39"/>
      <c r="V411" s="39"/>
      <c r="W411" s="39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35" t="s">
        <v>21</v>
      </c>
      <c r="B412" s="35" t="s">
        <v>37</v>
      </c>
      <c r="C412" s="35" t="s">
        <v>33</v>
      </c>
      <c r="D412" s="35" t="s">
        <v>41</v>
      </c>
      <c r="E412" s="35" t="s">
        <v>25</v>
      </c>
      <c r="F412" s="35" t="s">
        <v>25</v>
      </c>
      <c r="G412" s="35" t="s">
        <v>25</v>
      </c>
      <c r="H412" s="35" t="s">
        <v>35</v>
      </c>
      <c r="I412" s="55">
        <v>44774</v>
      </c>
      <c r="J412" s="56">
        <f>EFEITO!$J$412*EFEITO!$Y$412</f>
        <v>0</v>
      </c>
      <c r="K412" s="56">
        <f ca="1">EFEITO!$L$412*EFEITO!$Z$412</f>
        <v>294.27616187062421</v>
      </c>
      <c r="L412" s="56">
        <f>EFEITO!$N$412*EFEITO!$AA$412</f>
        <v>45.605643046729178</v>
      </c>
      <c r="M412" s="56">
        <f>$J$412-EFEITO!$K$412*EFEITO!$Y$412</f>
        <v>0</v>
      </c>
      <c r="N412" s="56">
        <f ca="1">$K$412-EFEITO!$M$412*EFEITO!$Z$412</f>
        <v>0</v>
      </c>
      <c r="O412" s="56">
        <f>$L$412-EFEITO!$O$412*EFEITO!$AA$412</f>
        <v>0</v>
      </c>
      <c r="P412" s="39"/>
      <c r="Q412" s="39"/>
      <c r="R412" s="39"/>
      <c r="S412" s="39"/>
      <c r="T412" s="39"/>
      <c r="U412" s="39"/>
      <c r="V412" s="39"/>
      <c r="W412" s="39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35" t="s">
        <v>28</v>
      </c>
      <c r="B413" s="35" t="s">
        <v>37</v>
      </c>
      <c r="C413" s="35" t="s">
        <v>33</v>
      </c>
      <c r="D413" s="35" t="s">
        <v>41</v>
      </c>
      <c r="E413" s="35" t="s">
        <v>25</v>
      </c>
      <c r="F413" s="35" t="s">
        <v>25</v>
      </c>
      <c r="G413" s="35" t="s">
        <v>25</v>
      </c>
      <c r="H413" s="35" t="s">
        <v>35</v>
      </c>
      <c r="I413" s="55">
        <v>44774</v>
      </c>
      <c r="J413" s="56">
        <f>EFEITO!$J$413*EFEITO!$Y$413</f>
        <v>0</v>
      </c>
      <c r="K413" s="56">
        <f ca="1">EFEITO!$L$413*EFEITO!$Z$413</f>
        <v>1557.9030313048261</v>
      </c>
      <c r="L413" s="56">
        <f>EFEITO!$N$413*EFEITO!$AA$413</f>
        <v>241.43705387302612</v>
      </c>
      <c r="M413" s="56">
        <f>$J$413-EFEITO!$K$413*EFEITO!$Y$413</f>
        <v>0</v>
      </c>
      <c r="N413" s="56">
        <f ca="1">$K$413-EFEITO!$M$413*EFEITO!$Z$413</f>
        <v>0</v>
      </c>
      <c r="O413" s="56">
        <f>$L$413-EFEITO!$O$413*EFEITO!$AA$413</f>
        <v>0</v>
      </c>
      <c r="P413" s="39"/>
      <c r="Q413" s="39"/>
      <c r="R413" s="39"/>
      <c r="S413" s="39"/>
      <c r="T413" s="39"/>
      <c r="U413" s="39"/>
      <c r="V413" s="39"/>
      <c r="W413" s="39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35" t="s">
        <v>21</v>
      </c>
      <c r="B414" s="35" t="s">
        <v>37</v>
      </c>
      <c r="C414" s="35" t="s">
        <v>33</v>
      </c>
      <c r="D414" s="35" t="s">
        <v>41</v>
      </c>
      <c r="E414" s="35" t="s">
        <v>25</v>
      </c>
      <c r="F414" s="35" t="s">
        <v>25</v>
      </c>
      <c r="G414" s="35" t="s">
        <v>25</v>
      </c>
      <c r="H414" s="35" t="s">
        <v>36</v>
      </c>
      <c r="I414" s="55">
        <v>44440</v>
      </c>
      <c r="J414" s="56">
        <f>EFEITO!$J$414*EFEITO!$Y$414</f>
        <v>0</v>
      </c>
      <c r="K414" s="56">
        <f ca="1">EFEITO!$L$414*EFEITO!$Z$414</f>
        <v>83.681721723033178</v>
      </c>
      <c r="L414" s="56">
        <f>EFEITO!$N$414*EFEITO!$AA$414</f>
        <v>5.0672936718587982</v>
      </c>
      <c r="M414" s="56">
        <f>$J$414-EFEITO!$K$414*EFEITO!$Y$414</f>
        <v>0</v>
      </c>
      <c r="N414" s="56">
        <f ca="1">$K$414-EFEITO!$M$414*EFEITO!$Z$414</f>
        <v>0</v>
      </c>
      <c r="O414" s="56">
        <f>$L$414-EFEITO!$O$414*EFEITO!$AA$414</f>
        <v>0</v>
      </c>
      <c r="P414" s="39"/>
      <c r="Q414" s="39"/>
      <c r="R414" s="39"/>
      <c r="S414" s="39"/>
      <c r="T414" s="39"/>
      <c r="U414" s="39"/>
      <c r="V414" s="39"/>
      <c r="W414" s="39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35" t="s">
        <v>21</v>
      </c>
      <c r="B415" s="35" t="s">
        <v>37</v>
      </c>
      <c r="C415" s="35" t="s">
        <v>33</v>
      </c>
      <c r="D415" s="35" t="s">
        <v>41</v>
      </c>
      <c r="E415" s="35" t="s">
        <v>25</v>
      </c>
      <c r="F415" s="35" t="s">
        <v>25</v>
      </c>
      <c r="G415" s="35" t="s">
        <v>25</v>
      </c>
      <c r="H415" s="35" t="s">
        <v>36</v>
      </c>
      <c r="I415" s="55">
        <v>44470</v>
      </c>
      <c r="J415" s="56">
        <f>EFEITO!$J$415*EFEITO!$Y$415</f>
        <v>0</v>
      </c>
      <c r="K415" s="56">
        <f ca="1">EFEITO!$L$415*EFEITO!$Z$415</f>
        <v>83.681721723033178</v>
      </c>
      <c r="L415" s="56">
        <f>EFEITO!$N$415*EFEITO!$AA$415</f>
        <v>5.0672936718587982</v>
      </c>
      <c r="M415" s="56">
        <f>$J$415-EFEITO!$K$415*EFEITO!$Y$415</f>
        <v>0</v>
      </c>
      <c r="N415" s="56">
        <f ca="1">$K$415-EFEITO!$M$415*EFEITO!$Z$415</f>
        <v>0</v>
      </c>
      <c r="O415" s="56">
        <f>$L$415-EFEITO!$O$415*EFEITO!$AA$415</f>
        <v>0</v>
      </c>
      <c r="P415" s="39"/>
      <c r="Q415" s="39"/>
      <c r="R415" s="39"/>
      <c r="S415" s="39"/>
      <c r="T415" s="39"/>
      <c r="U415" s="39"/>
      <c r="V415" s="39"/>
      <c r="W415" s="39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35" t="s">
        <v>21</v>
      </c>
      <c r="B416" s="35" t="s">
        <v>37</v>
      </c>
      <c r="C416" s="35" t="s">
        <v>33</v>
      </c>
      <c r="D416" s="35" t="s">
        <v>41</v>
      </c>
      <c r="E416" s="35" t="s">
        <v>25</v>
      </c>
      <c r="F416" s="35" t="s">
        <v>25</v>
      </c>
      <c r="G416" s="35" t="s">
        <v>25</v>
      </c>
      <c r="H416" s="35" t="s">
        <v>36</v>
      </c>
      <c r="I416" s="55">
        <v>44501</v>
      </c>
      <c r="J416" s="56">
        <f>EFEITO!$J$416*EFEITO!$Y$416</f>
        <v>0</v>
      </c>
      <c r="K416" s="56">
        <f ca="1">EFEITO!$L$416*EFEITO!$Z$416</f>
        <v>77.244666205876769</v>
      </c>
      <c r="L416" s="56">
        <f>EFEITO!$N$416*EFEITO!$AA$416</f>
        <v>4.6775018509465829</v>
      </c>
      <c r="M416" s="56">
        <f>$J$416-EFEITO!$K$416*EFEITO!$Y$416</f>
        <v>0</v>
      </c>
      <c r="N416" s="56">
        <f ca="1">$K$416-EFEITO!$M$416*EFEITO!$Z$416</f>
        <v>0</v>
      </c>
      <c r="O416" s="56">
        <f>$L$416-EFEITO!$O$416*EFEITO!$AA$416</f>
        <v>0</v>
      </c>
      <c r="P416" s="39"/>
      <c r="Q416" s="39"/>
      <c r="R416" s="39"/>
      <c r="S416" s="39"/>
      <c r="T416" s="39"/>
      <c r="U416" s="39"/>
      <c r="V416" s="39"/>
      <c r="W416" s="39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35" t="s">
        <v>28</v>
      </c>
      <c r="B417" s="35" t="s">
        <v>37</v>
      </c>
      <c r="C417" s="35" t="s">
        <v>33</v>
      </c>
      <c r="D417" s="35" t="s">
        <v>41</v>
      </c>
      <c r="E417" s="35" t="s">
        <v>25</v>
      </c>
      <c r="F417" s="35" t="s">
        <v>25</v>
      </c>
      <c r="G417" s="35" t="s">
        <v>25</v>
      </c>
      <c r="H417" s="35" t="s">
        <v>36</v>
      </c>
      <c r="I417" s="55">
        <v>44501</v>
      </c>
      <c r="J417" s="56">
        <f>EFEITO!$J$417*EFEITO!$Y$417</f>
        <v>0</v>
      </c>
      <c r="K417" s="56">
        <f ca="1">EFEITO!$L$417*EFEITO!$Z$417</f>
        <v>7.7244666205876777</v>
      </c>
      <c r="L417" s="56">
        <f>EFEITO!$N$417*EFEITO!$AA$417</f>
        <v>0.46775018509465832</v>
      </c>
      <c r="M417" s="56">
        <f>$J$417-EFEITO!$K$417*EFEITO!$Y$417</f>
        <v>0</v>
      </c>
      <c r="N417" s="56">
        <f ca="1">$K$417-EFEITO!$M$417*EFEITO!$Z$417</f>
        <v>0</v>
      </c>
      <c r="O417" s="56">
        <f>$L$417-EFEITO!$O$417*EFEITO!$AA$417</f>
        <v>0</v>
      </c>
      <c r="P417" s="39"/>
      <c r="Q417" s="39"/>
      <c r="R417" s="39"/>
      <c r="S417" s="39"/>
      <c r="T417" s="39"/>
      <c r="U417" s="39"/>
      <c r="V417" s="39"/>
      <c r="W417" s="39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35" t="s">
        <v>21</v>
      </c>
      <c r="B418" s="35" t="s">
        <v>37</v>
      </c>
      <c r="C418" s="35" t="s">
        <v>33</v>
      </c>
      <c r="D418" s="35" t="s">
        <v>41</v>
      </c>
      <c r="E418" s="35" t="s">
        <v>25</v>
      </c>
      <c r="F418" s="35" t="s">
        <v>25</v>
      </c>
      <c r="G418" s="35" t="s">
        <v>25</v>
      </c>
      <c r="H418" s="35" t="s">
        <v>36</v>
      </c>
      <c r="I418" s="55">
        <v>44531</v>
      </c>
      <c r="J418" s="56">
        <f>EFEITO!$J$418*EFEITO!$Y$418</f>
        <v>0</v>
      </c>
      <c r="K418" s="56">
        <f ca="1">EFEITO!$L$418*EFEITO!$Z$418</f>
        <v>199.54872103184834</v>
      </c>
      <c r="L418" s="56">
        <f>EFEITO!$N$418*EFEITO!$AA$418</f>
        <v>12.083546448278673</v>
      </c>
      <c r="M418" s="56">
        <f>$J$418-EFEITO!$K$418*EFEITO!$Y$418</f>
        <v>0</v>
      </c>
      <c r="N418" s="56">
        <f ca="1">$K$418-EFEITO!$M$418*EFEITO!$Z$418</f>
        <v>0</v>
      </c>
      <c r="O418" s="56">
        <f>$L$418-EFEITO!$O$418*EFEITO!$AA$418</f>
        <v>0</v>
      </c>
      <c r="P418" s="39"/>
      <c r="Q418" s="39"/>
      <c r="R418" s="39"/>
      <c r="S418" s="39"/>
      <c r="T418" s="39"/>
      <c r="U418" s="39"/>
      <c r="V418" s="39"/>
      <c r="W418" s="39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35" t="s">
        <v>21</v>
      </c>
      <c r="B419" s="35" t="s">
        <v>37</v>
      </c>
      <c r="C419" s="35" t="s">
        <v>33</v>
      </c>
      <c r="D419" s="35" t="s">
        <v>41</v>
      </c>
      <c r="E419" s="35" t="s">
        <v>25</v>
      </c>
      <c r="F419" s="35" t="s">
        <v>25</v>
      </c>
      <c r="G419" s="35" t="s">
        <v>25</v>
      </c>
      <c r="H419" s="35" t="s">
        <v>36</v>
      </c>
      <c r="I419" s="55">
        <v>44562</v>
      </c>
      <c r="J419" s="56">
        <f>EFEITO!$J$419*EFEITO!$Y$419</f>
        <v>0</v>
      </c>
      <c r="K419" s="56">
        <f ca="1">EFEITO!$L$419*EFEITO!$Z$419</f>
        <v>251.04516516909953</v>
      </c>
      <c r="L419" s="56">
        <f>EFEITO!$N$419*EFEITO!$AA$419</f>
        <v>15.201881015576395</v>
      </c>
      <c r="M419" s="56">
        <f>$J$419-EFEITO!$K$419*EFEITO!$Y$419</f>
        <v>0</v>
      </c>
      <c r="N419" s="56">
        <f ca="1">$K$419-EFEITO!$M$419*EFEITO!$Z$419</f>
        <v>0</v>
      </c>
      <c r="O419" s="56">
        <f>$L$419-EFEITO!$O$419*EFEITO!$AA$419</f>
        <v>0</v>
      </c>
      <c r="P419" s="39"/>
      <c r="Q419" s="39"/>
      <c r="R419" s="39"/>
      <c r="S419" s="39"/>
      <c r="T419" s="39"/>
      <c r="U419" s="39"/>
      <c r="V419" s="39"/>
      <c r="W419" s="39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35" t="s">
        <v>21</v>
      </c>
      <c r="B420" s="35" t="s">
        <v>37</v>
      </c>
      <c r="C420" s="35" t="s">
        <v>33</v>
      </c>
      <c r="D420" s="35" t="s">
        <v>41</v>
      </c>
      <c r="E420" s="35" t="s">
        <v>25</v>
      </c>
      <c r="F420" s="35" t="s">
        <v>25</v>
      </c>
      <c r="G420" s="35" t="s">
        <v>25</v>
      </c>
      <c r="H420" s="35" t="s">
        <v>36</v>
      </c>
      <c r="I420" s="55">
        <v>44593</v>
      </c>
      <c r="J420" s="56">
        <f>EFEITO!$J$420*EFEITO!$Y$420</f>
        <v>0</v>
      </c>
      <c r="K420" s="56">
        <f ca="1">EFEITO!$L$420*EFEITO!$Z$420</f>
        <v>336.01429799556399</v>
      </c>
      <c r="L420" s="56">
        <f>EFEITO!$N$420*EFEITO!$AA$420</f>
        <v>20.347133051617636</v>
      </c>
      <c r="M420" s="56">
        <f>$J$420-EFEITO!$K$420*EFEITO!$Y$420</f>
        <v>0</v>
      </c>
      <c r="N420" s="56">
        <f ca="1">$K$420-EFEITO!$M$420*EFEITO!$Z$420</f>
        <v>0</v>
      </c>
      <c r="O420" s="56">
        <f>$L$420-EFEITO!$O$420*EFEITO!$AA$420</f>
        <v>0</v>
      </c>
      <c r="P420" s="39"/>
      <c r="Q420" s="39"/>
      <c r="R420" s="39"/>
      <c r="S420" s="39"/>
      <c r="T420" s="39"/>
      <c r="U420" s="39"/>
      <c r="V420" s="39"/>
      <c r="W420" s="39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35" t="s">
        <v>21</v>
      </c>
      <c r="B421" s="35" t="s">
        <v>37</v>
      </c>
      <c r="C421" s="35" t="s">
        <v>33</v>
      </c>
      <c r="D421" s="35" t="s">
        <v>41</v>
      </c>
      <c r="E421" s="35" t="s">
        <v>25</v>
      </c>
      <c r="F421" s="35" t="s">
        <v>25</v>
      </c>
      <c r="G421" s="35" t="s">
        <v>25</v>
      </c>
      <c r="H421" s="35" t="s">
        <v>36</v>
      </c>
      <c r="I421" s="55">
        <v>44621</v>
      </c>
      <c r="J421" s="56">
        <f>EFEITO!$J$421*EFEITO!$Y$421</f>
        <v>0</v>
      </c>
      <c r="K421" s="56">
        <f ca="1">EFEITO!$L$421*EFEITO!$Z$421</f>
        <v>294.81714268576303</v>
      </c>
      <c r="L421" s="56">
        <f>EFEITO!$N$421*EFEITO!$AA$421</f>
        <v>17.852465397779458</v>
      </c>
      <c r="M421" s="56">
        <f>$J$421-EFEITO!$K$421*EFEITO!$Y$421</f>
        <v>0</v>
      </c>
      <c r="N421" s="56">
        <f ca="1">$K$421-EFEITO!$M$421*EFEITO!$Z$421</f>
        <v>0</v>
      </c>
      <c r="O421" s="56">
        <f>$L$421-EFEITO!$O$421*EFEITO!$AA$421</f>
        <v>0</v>
      </c>
      <c r="P421" s="39"/>
      <c r="Q421" s="39"/>
      <c r="R421" s="39"/>
      <c r="S421" s="39"/>
      <c r="T421" s="39"/>
      <c r="U421" s="39"/>
      <c r="V421" s="39"/>
      <c r="W421" s="39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35" t="s">
        <v>28</v>
      </c>
      <c r="B422" s="35" t="s">
        <v>37</v>
      </c>
      <c r="C422" s="35" t="s">
        <v>33</v>
      </c>
      <c r="D422" s="35" t="s">
        <v>41</v>
      </c>
      <c r="E422" s="35" t="s">
        <v>25</v>
      </c>
      <c r="F422" s="35" t="s">
        <v>25</v>
      </c>
      <c r="G422" s="35" t="s">
        <v>25</v>
      </c>
      <c r="H422" s="35" t="s">
        <v>36</v>
      </c>
      <c r="I422" s="55">
        <v>44621</v>
      </c>
      <c r="J422" s="56">
        <f>EFEITO!$J$422*EFEITO!$Y$422</f>
        <v>0</v>
      </c>
      <c r="K422" s="56">
        <f ca="1">EFEITO!$L$422*EFEITO!$Z$422</f>
        <v>118.44182151567772</v>
      </c>
      <c r="L422" s="56">
        <f>EFEITO!$N$422*EFEITO!$AA$422</f>
        <v>7.17216950478476</v>
      </c>
      <c r="M422" s="56">
        <f>$J$422-EFEITO!$K$422*EFEITO!$Y$422</f>
        <v>0</v>
      </c>
      <c r="N422" s="56">
        <f ca="1">$K$422-EFEITO!$M$422*EFEITO!$Z$422</f>
        <v>0</v>
      </c>
      <c r="O422" s="56">
        <f>$L$422-EFEITO!$O$422*EFEITO!$AA$422</f>
        <v>0</v>
      </c>
      <c r="P422" s="39"/>
      <c r="Q422" s="39"/>
      <c r="R422" s="39"/>
      <c r="S422" s="39"/>
      <c r="T422" s="39"/>
      <c r="U422" s="39"/>
      <c r="V422" s="39"/>
      <c r="W422" s="39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35" t="s">
        <v>21</v>
      </c>
      <c r="B423" s="35" t="s">
        <v>37</v>
      </c>
      <c r="C423" s="35" t="s">
        <v>33</v>
      </c>
      <c r="D423" s="35" t="s">
        <v>41</v>
      </c>
      <c r="E423" s="35" t="s">
        <v>25</v>
      </c>
      <c r="F423" s="35" t="s">
        <v>25</v>
      </c>
      <c r="G423" s="35" t="s">
        <v>25</v>
      </c>
      <c r="H423" s="35" t="s">
        <v>36</v>
      </c>
      <c r="I423" s="55">
        <v>44652</v>
      </c>
      <c r="J423" s="56">
        <f>EFEITO!$J$423*EFEITO!$Y$423</f>
        <v>0</v>
      </c>
      <c r="K423" s="56">
        <f ca="1">EFEITO!$L$423*EFEITO!$Z$423</f>
        <v>243.32069854851184</v>
      </c>
      <c r="L423" s="56">
        <f>EFEITO!$N$423*EFEITO!$AA$423</f>
        <v>14.734130830481737</v>
      </c>
      <c r="M423" s="56">
        <f>$J$423-EFEITO!$K$423*EFEITO!$Y$423</f>
        <v>0</v>
      </c>
      <c r="N423" s="56">
        <f ca="1">$K$423-EFEITO!$M$423*EFEITO!$Z$423</f>
        <v>0</v>
      </c>
      <c r="O423" s="56">
        <f>$L$423-EFEITO!$O$423*EFEITO!$AA$423</f>
        <v>0</v>
      </c>
      <c r="P423" s="39"/>
      <c r="Q423" s="39"/>
      <c r="R423" s="39"/>
      <c r="S423" s="39"/>
      <c r="T423" s="39"/>
      <c r="U423" s="39"/>
      <c r="V423" s="39"/>
      <c r="W423" s="39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35" t="s">
        <v>28</v>
      </c>
      <c r="B424" s="35" t="s">
        <v>37</v>
      </c>
      <c r="C424" s="35" t="s">
        <v>33</v>
      </c>
      <c r="D424" s="35" t="s">
        <v>41</v>
      </c>
      <c r="E424" s="35" t="s">
        <v>25</v>
      </c>
      <c r="F424" s="35" t="s">
        <v>25</v>
      </c>
      <c r="G424" s="35" t="s">
        <v>25</v>
      </c>
      <c r="H424" s="35" t="s">
        <v>36</v>
      </c>
      <c r="I424" s="55">
        <v>44652</v>
      </c>
      <c r="J424" s="56">
        <f>EFEITO!$J$424*EFEITO!$Y$424</f>
        <v>0</v>
      </c>
      <c r="K424" s="56">
        <f ca="1">EFEITO!$L$424*EFEITO!$Z$424</f>
        <v>57.933499654407576</v>
      </c>
      <c r="L424" s="56">
        <f>EFEITO!$N$424*EFEITO!$AA$424</f>
        <v>3.5081263882099369</v>
      </c>
      <c r="M424" s="56">
        <f>$J$424-EFEITO!$K$424*EFEITO!$Y$424</f>
        <v>0</v>
      </c>
      <c r="N424" s="56">
        <f ca="1">$K$424-EFEITO!$M$424*EFEITO!$Z$424</f>
        <v>0</v>
      </c>
      <c r="O424" s="56">
        <f>$L$424-EFEITO!$O$424*EFEITO!$AA$424</f>
        <v>0</v>
      </c>
      <c r="P424" s="39"/>
      <c r="Q424" s="39"/>
      <c r="R424" s="39"/>
      <c r="S424" s="39"/>
      <c r="T424" s="39"/>
      <c r="U424" s="39"/>
      <c r="V424" s="39"/>
      <c r="W424" s="39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35" t="s">
        <v>21</v>
      </c>
      <c r="B425" s="35" t="s">
        <v>37</v>
      </c>
      <c r="C425" s="35" t="s">
        <v>33</v>
      </c>
      <c r="D425" s="35" t="s">
        <v>41</v>
      </c>
      <c r="E425" s="35" t="s">
        <v>25</v>
      </c>
      <c r="F425" s="35" t="s">
        <v>25</v>
      </c>
      <c r="G425" s="35" t="s">
        <v>25</v>
      </c>
      <c r="H425" s="35" t="s">
        <v>36</v>
      </c>
      <c r="I425" s="55">
        <v>44682</v>
      </c>
      <c r="J425" s="56">
        <f>EFEITO!$J$425*EFEITO!$Y$425</f>
        <v>0</v>
      </c>
      <c r="K425" s="56">
        <f ca="1">EFEITO!$L$425*EFEITO!$Z$425</f>
        <v>239.458465238218</v>
      </c>
      <c r="L425" s="56">
        <f>EFEITO!$N$425*EFEITO!$AA$425</f>
        <v>14.500255737934406</v>
      </c>
      <c r="M425" s="56">
        <f>$J$425-EFEITO!$K$425*EFEITO!$Y$425</f>
        <v>0</v>
      </c>
      <c r="N425" s="56">
        <f ca="1">$K$425-EFEITO!$M$425*EFEITO!$Z$425</f>
        <v>0</v>
      </c>
      <c r="O425" s="56">
        <f>$L$425-EFEITO!$O$425*EFEITO!$AA$425</f>
        <v>0</v>
      </c>
      <c r="P425" s="39"/>
      <c r="Q425" s="39"/>
      <c r="R425" s="39"/>
      <c r="S425" s="39"/>
      <c r="T425" s="39"/>
      <c r="U425" s="39"/>
      <c r="V425" s="39"/>
      <c r="W425" s="39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35" t="s">
        <v>21</v>
      </c>
      <c r="B426" s="35" t="s">
        <v>37</v>
      </c>
      <c r="C426" s="35" t="s">
        <v>33</v>
      </c>
      <c r="D426" s="35" t="s">
        <v>41</v>
      </c>
      <c r="E426" s="35" t="s">
        <v>25</v>
      </c>
      <c r="F426" s="35" t="s">
        <v>25</v>
      </c>
      <c r="G426" s="35" t="s">
        <v>25</v>
      </c>
      <c r="H426" s="35" t="s">
        <v>36</v>
      </c>
      <c r="I426" s="55">
        <v>44713</v>
      </c>
      <c r="J426" s="56">
        <f>EFEITO!$J$426*EFEITO!$Y$426</f>
        <v>0</v>
      </c>
      <c r="K426" s="56">
        <f ca="1">EFEITO!$L$426*EFEITO!$Z$426</f>
        <v>202.12354323871088</v>
      </c>
      <c r="L426" s="56">
        <f>EFEITO!$N$426*EFEITO!$AA$426</f>
        <v>12.239463176643559</v>
      </c>
      <c r="M426" s="56">
        <f>$J$426-EFEITO!$K$426*EFEITO!$Y$426</f>
        <v>0</v>
      </c>
      <c r="N426" s="56">
        <f ca="1">$K$426-EFEITO!$M$426*EFEITO!$Z$426</f>
        <v>0</v>
      </c>
      <c r="O426" s="56">
        <f>$L$426-EFEITO!$O$426*EFEITO!$AA$426</f>
        <v>0</v>
      </c>
      <c r="P426" s="39"/>
      <c r="Q426" s="39"/>
      <c r="R426" s="39"/>
      <c r="S426" s="39"/>
      <c r="T426" s="39"/>
      <c r="U426" s="39"/>
      <c r="V426" s="39"/>
      <c r="W426" s="39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35" t="s">
        <v>28</v>
      </c>
      <c r="B427" s="35" t="s">
        <v>37</v>
      </c>
      <c r="C427" s="35" t="s">
        <v>33</v>
      </c>
      <c r="D427" s="35" t="s">
        <v>41</v>
      </c>
      <c r="E427" s="35" t="s">
        <v>25</v>
      </c>
      <c r="F427" s="35" t="s">
        <v>25</v>
      </c>
      <c r="G427" s="35" t="s">
        <v>25</v>
      </c>
      <c r="H427" s="35" t="s">
        <v>36</v>
      </c>
      <c r="I427" s="55">
        <v>44713</v>
      </c>
      <c r="J427" s="56">
        <f>EFEITO!$J$427*EFEITO!$Y$427</f>
        <v>0</v>
      </c>
      <c r="K427" s="56">
        <f ca="1">EFEITO!$L$427*EFEITO!$Z$427</f>
        <v>41.197155309800948</v>
      </c>
      <c r="L427" s="56">
        <f>EFEITO!$N$427*EFEITO!$AA$427</f>
        <v>2.4946676538381776</v>
      </c>
      <c r="M427" s="56">
        <f>$J$427-EFEITO!$K$427*EFEITO!$Y$427</f>
        <v>0</v>
      </c>
      <c r="N427" s="56">
        <f ca="1">$K$427-EFEITO!$M$427*EFEITO!$Z$427</f>
        <v>0</v>
      </c>
      <c r="O427" s="56">
        <f>$L$427-EFEITO!$O$427*EFEITO!$AA$427</f>
        <v>0</v>
      </c>
      <c r="P427" s="39"/>
      <c r="Q427" s="39"/>
      <c r="R427" s="39"/>
      <c r="S427" s="39"/>
      <c r="T427" s="39"/>
      <c r="U427" s="39"/>
      <c r="V427" s="39"/>
      <c r="W427" s="39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35" t="s">
        <v>21</v>
      </c>
      <c r="B428" s="35" t="s">
        <v>37</v>
      </c>
      <c r="C428" s="35" t="s">
        <v>33</v>
      </c>
      <c r="D428" s="35" t="s">
        <v>41</v>
      </c>
      <c r="E428" s="35" t="s">
        <v>25</v>
      </c>
      <c r="F428" s="35" t="s">
        <v>25</v>
      </c>
      <c r="G428" s="35" t="s">
        <v>25</v>
      </c>
      <c r="H428" s="35" t="s">
        <v>36</v>
      </c>
      <c r="I428" s="55">
        <v>44743</v>
      </c>
      <c r="J428" s="56">
        <f>EFEITO!$J$428*EFEITO!$Y$428</f>
        <v>0</v>
      </c>
      <c r="K428" s="56">
        <f ca="1">EFEITO!$L$428*EFEITO!$Z$428</f>
        <v>30.897866482350711</v>
      </c>
      <c r="L428" s="56">
        <f>EFEITO!$N$428*EFEITO!$AA$428</f>
        <v>1.8710007403786333</v>
      </c>
      <c r="M428" s="56">
        <f>$J$428-EFEITO!$K$428*EFEITO!$Y$428</f>
        <v>0</v>
      </c>
      <c r="N428" s="56">
        <f ca="1">$K$428-EFEITO!$M$428*EFEITO!$Z$428</f>
        <v>0</v>
      </c>
      <c r="O428" s="56">
        <f>$L$428-EFEITO!$O$428*EFEITO!$AA$428</f>
        <v>0</v>
      </c>
      <c r="P428" s="39"/>
      <c r="Q428" s="39"/>
      <c r="R428" s="39"/>
      <c r="S428" s="39"/>
      <c r="T428" s="39"/>
      <c r="U428" s="39"/>
      <c r="V428" s="39"/>
      <c r="W428" s="39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35" t="s">
        <v>21</v>
      </c>
      <c r="B429" s="35" t="s">
        <v>37</v>
      </c>
      <c r="C429" s="35" t="s">
        <v>33</v>
      </c>
      <c r="D429" s="35" t="s">
        <v>41</v>
      </c>
      <c r="E429" s="35" t="s">
        <v>25</v>
      </c>
      <c r="F429" s="35" t="s">
        <v>25</v>
      </c>
      <c r="G429" s="35" t="s">
        <v>25</v>
      </c>
      <c r="H429" s="35" t="s">
        <v>36</v>
      </c>
      <c r="I429" s="55">
        <v>44774</v>
      </c>
      <c r="J429" s="56">
        <f>EFEITO!$J$429*EFEITO!$Y$429</f>
        <v>0</v>
      </c>
      <c r="K429" s="56">
        <f ca="1">EFEITO!$L$429*EFEITO!$Z$429</f>
        <v>48.921621930388625</v>
      </c>
      <c r="L429" s="56">
        <f>EFEITO!$N$429*EFEITO!$AA$429</f>
        <v>2.9624178389328359</v>
      </c>
      <c r="M429" s="56">
        <f>$J$429-EFEITO!$K$429*EFEITO!$Y$429</f>
        <v>0</v>
      </c>
      <c r="N429" s="56">
        <f ca="1">$K$429-EFEITO!$M$429*EFEITO!$Z$429</f>
        <v>0</v>
      </c>
      <c r="O429" s="56">
        <f>$L$429-EFEITO!$O$429*EFEITO!$AA$429</f>
        <v>0</v>
      </c>
      <c r="P429" s="39"/>
      <c r="Q429" s="39"/>
      <c r="R429" s="39"/>
      <c r="S429" s="39"/>
      <c r="T429" s="39"/>
      <c r="U429" s="39"/>
      <c r="V429" s="39"/>
      <c r="W429" s="39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35" t="s">
        <v>28</v>
      </c>
      <c r="B430" s="35" t="s">
        <v>37</v>
      </c>
      <c r="C430" s="35" t="s">
        <v>33</v>
      </c>
      <c r="D430" s="35" t="s">
        <v>41</v>
      </c>
      <c r="E430" s="35" t="s">
        <v>25</v>
      </c>
      <c r="F430" s="35" t="s">
        <v>25</v>
      </c>
      <c r="G430" s="35" t="s">
        <v>25</v>
      </c>
      <c r="H430" s="35" t="s">
        <v>36</v>
      </c>
      <c r="I430" s="55">
        <v>44774</v>
      </c>
      <c r="J430" s="56">
        <f>EFEITO!$J$430*EFEITO!$Y$430</f>
        <v>0</v>
      </c>
      <c r="K430" s="56">
        <f ca="1">EFEITO!$L$430*EFEITO!$Z$430</f>
        <v>101.70547717107108</v>
      </c>
      <c r="L430" s="56">
        <f>EFEITO!$N$430*EFEITO!$AA$430</f>
        <v>6.1587107704130011</v>
      </c>
      <c r="M430" s="56">
        <f>$J$430-EFEITO!$K$430*EFEITO!$Y$430</f>
        <v>0</v>
      </c>
      <c r="N430" s="56">
        <f ca="1">$K$430-EFEITO!$M$430*EFEITO!$Z$430</f>
        <v>0</v>
      </c>
      <c r="O430" s="56">
        <f>$L$430-EFEITO!$O$430*EFEITO!$AA$430</f>
        <v>0</v>
      </c>
      <c r="P430" s="39"/>
      <c r="Q430" s="39"/>
      <c r="R430" s="39"/>
      <c r="S430" s="39"/>
      <c r="T430" s="39"/>
      <c r="U430" s="39"/>
      <c r="V430" s="39"/>
      <c r="W430" s="39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35" t="s">
        <v>21</v>
      </c>
      <c r="B431" s="35" t="s">
        <v>37</v>
      </c>
      <c r="C431" s="35" t="s">
        <v>33</v>
      </c>
      <c r="D431" s="35" t="s">
        <v>41</v>
      </c>
      <c r="E431" s="35" t="s">
        <v>25</v>
      </c>
      <c r="F431" s="35" t="s">
        <v>25</v>
      </c>
      <c r="G431" s="35" t="s">
        <v>25</v>
      </c>
      <c r="H431" s="35" t="s">
        <v>34</v>
      </c>
      <c r="I431" s="55">
        <v>44440</v>
      </c>
      <c r="J431" s="56">
        <f>EFEITO!$J$431*EFEITO!$Y$431</f>
        <v>0</v>
      </c>
      <c r="K431" s="56">
        <f ca="1">EFEITO!$L$431*EFEITO!$Z$431</f>
        <v>186.46694658107054</v>
      </c>
      <c r="L431" s="56">
        <f>EFEITO!$N$431*EFEITO!$AA$431</f>
        <v>7.0162527764198739</v>
      </c>
      <c r="M431" s="56">
        <f>$J$431-EFEITO!$K$431*EFEITO!$Y$431</f>
        <v>0</v>
      </c>
      <c r="N431" s="56">
        <f ca="1">$K$431-EFEITO!$M$431*EFEITO!$Z$431</f>
        <v>0</v>
      </c>
      <c r="O431" s="56">
        <f>$L$431-EFEITO!$O$431*EFEITO!$AA$431</f>
        <v>0</v>
      </c>
      <c r="P431" s="39"/>
      <c r="Q431" s="39"/>
      <c r="R431" s="39"/>
      <c r="S431" s="39"/>
      <c r="T431" s="39"/>
      <c r="U431" s="39"/>
      <c r="V431" s="39"/>
      <c r="W431" s="39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35" t="s">
        <v>21</v>
      </c>
      <c r="B432" s="35" t="s">
        <v>37</v>
      </c>
      <c r="C432" s="35" t="s">
        <v>33</v>
      </c>
      <c r="D432" s="35" t="s">
        <v>41</v>
      </c>
      <c r="E432" s="35" t="s">
        <v>25</v>
      </c>
      <c r="F432" s="35" t="s">
        <v>25</v>
      </c>
      <c r="G432" s="35" t="s">
        <v>25</v>
      </c>
      <c r="H432" s="35" t="s">
        <v>34</v>
      </c>
      <c r="I432" s="55">
        <v>44470</v>
      </c>
      <c r="J432" s="56">
        <f>EFEITO!$J$432*EFEITO!$Y$432</f>
        <v>0</v>
      </c>
      <c r="K432" s="56">
        <f ca="1">EFEITO!$L$432*EFEITO!$Z$432</f>
        <v>163.67654199893971</v>
      </c>
      <c r="L432" s="56">
        <f>EFEITO!$N$432*EFEITO!$AA$432</f>
        <v>6.1587107704130011</v>
      </c>
      <c r="M432" s="56">
        <f>$J$432-EFEITO!$K$432*EFEITO!$Y$432</f>
        <v>0</v>
      </c>
      <c r="N432" s="56">
        <f ca="1">$K$432-EFEITO!$M$432*EFEITO!$Z$432</f>
        <v>0</v>
      </c>
      <c r="O432" s="56">
        <f>$L$432-EFEITO!$O$432*EFEITO!$AA$432</f>
        <v>0</v>
      </c>
      <c r="P432" s="39"/>
      <c r="Q432" s="39"/>
      <c r="R432" s="39"/>
      <c r="S432" s="39"/>
      <c r="T432" s="39"/>
      <c r="U432" s="39"/>
      <c r="V432" s="39"/>
      <c r="W432" s="39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35" t="s">
        <v>21</v>
      </c>
      <c r="B433" s="35" t="s">
        <v>37</v>
      </c>
      <c r="C433" s="35" t="s">
        <v>33</v>
      </c>
      <c r="D433" s="35" t="s">
        <v>41</v>
      </c>
      <c r="E433" s="35" t="s">
        <v>25</v>
      </c>
      <c r="F433" s="35" t="s">
        <v>25</v>
      </c>
      <c r="G433" s="35" t="s">
        <v>25</v>
      </c>
      <c r="H433" s="35" t="s">
        <v>34</v>
      </c>
      <c r="I433" s="55">
        <v>44501</v>
      </c>
      <c r="J433" s="56">
        <f>EFEITO!$J$433*EFEITO!$Y$433</f>
        <v>0</v>
      </c>
      <c r="K433" s="56">
        <f ca="1">EFEITO!$L$433*EFEITO!$Z$433</f>
        <v>182.32323665704678</v>
      </c>
      <c r="L433" s="56">
        <f>EFEITO!$N$433*EFEITO!$AA$433</f>
        <v>6.8603360480549878</v>
      </c>
      <c r="M433" s="56">
        <f>$J$433-EFEITO!$K$433*EFEITO!$Y$433</f>
        <v>0</v>
      </c>
      <c r="N433" s="56">
        <f ca="1">$K$433-EFEITO!$M$433*EFEITO!$Z$433</f>
        <v>0</v>
      </c>
      <c r="O433" s="56">
        <f>$L$433-EFEITO!$O$433*EFEITO!$AA$433</f>
        <v>0</v>
      </c>
      <c r="P433" s="39"/>
      <c r="Q433" s="39"/>
      <c r="R433" s="39"/>
      <c r="S433" s="39"/>
      <c r="T433" s="39"/>
      <c r="U433" s="39"/>
      <c r="V433" s="39"/>
      <c r="W433" s="39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35" t="s">
        <v>28</v>
      </c>
      <c r="B434" s="35" t="s">
        <v>37</v>
      </c>
      <c r="C434" s="35" t="s">
        <v>33</v>
      </c>
      <c r="D434" s="35" t="s">
        <v>41</v>
      </c>
      <c r="E434" s="35" t="s">
        <v>25</v>
      </c>
      <c r="F434" s="35" t="s">
        <v>25</v>
      </c>
      <c r="G434" s="35" t="s">
        <v>25</v>
      </c>
      <c r="H434" s="35" t="s">
        <v>34</v>
      </c>
      <c r="I434" s="55">
        <v>44501</v>
      </c>
      <c r="J434" s="56">
        <f>EFEITO!$J$434*EFEITO!$Y$434</f>
        <v>0</v>
      </c>
      <c r="K434" s="56">
        <f ca="1">EFEITO!$L$434*EFEITO!$Z$434</f>
        <v>8.2874198480475805</v>
      </c>
      <c r="L434" s="56">
        <f>EFEITO!$N$434*EFEITO!$AA$434</f>
        <v>0.3118334567297722</v>
      </c>
      <c r="M434" s="56">
        <f>$J$434-EFEITO!$K$434*EFEITO!$Y$434</f>
        <v>0</v>
      </c>
      <c r="N434" s="56">
        <f ca="1">$K$434-EFEITO!$M$434*EFEITO!$Z$434</f>
        <v>0</v>
      </c>
      <c r="O434" s="56">
        <f>$L$434-EFEITO!$O$434*EFEITO!$AA$434</f>
        <v>0</v>
      </c>
      <c r="P434" s="39"/>
      <c r="Q434" s="39"/>
      <c r="R434" s="39"/>
      <c r="S434" s="39"/>
      <c r="T434" s="39"/>
      <c r="U434" s="39"/>
      <c r="V434" s="39"/>
      <c r="W434" s="39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35" t="s">
        <v>21</v>
      </c>
      <c r="B435" s="35" t="s">
        <v>37</v>
      </c>
      <c r="C435" s="35" t="s">
        <v>33</v>
      </c>
      <c r="D435" s="35" t="s">
        <v>41</v>
      </c>
      <c r="E435" s="35" t="s">
        <v>25</v>
      </c>
      <c r="F435" s="35" t="s">
        <v>25</v>
      </c>
      <c r="G435" s="35" t="s">
        <v>25</v>
      </c>
      <c r="H435" s="35" t="s">
        <v>34</v>
      </c>
      <c r="I435" s="55">
        <v>44531</v>
      </c>
      <c r="J435" s="56">
        <f>EFEITO!$J$435*EFEITO!$Y$435</f>
        <v>0</v>
      </c>
      <c r="K435" s="56">
        <f ca="1">EFEITO!$L$435*EFEITO!$Z$435</f>
        <v>321.13751911184374</v>
      </c>
      <c r="L435" s="56">
        <f>EFEITO!$N$435*EFEITO!$AA$435</f>
        <v>12.083546448278673</v>
      </c>
      <c r="M435" s="56">
        <f>$J$435-EFEITO!$K$435*EFEITO!$Y$435</f>
        <v>0</v>
      </c>
      <c r="N435" s="56">
        <f ca="1">$K$435-EFEITO!$M$435*EFEITO!$Z$435</f>
        <v>0</v>
      </c>
      <c r="O435" s="56">
        <f>$L$435-EFEITO!$O$435*EFEITO!$AA$435</f>
        <v>0</v>
      </c>
      <c r="P435" s="39"/>
      <c r="Q435" s="39"/>
      <c r="R435" s="39"/>
      <c r="S435" s="39"/>
      <c r="T435" s="39"/>
      <c r="U435" s="39"/>
      <c r="V435" s="39"/>
      <c r="W435" s="39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35" t="s">
        <v>21</v>
      </c>
      <c r="B436" s="35" t="s">
        <v>37</v>
      </c>
      <c r="C436" s="35" t="s">
        <v>33</v>
      </c>
      <c r="D436" s="35" t="s">
        <v>41</v>
      </c>
      <c r="E436" s="35" t="s">
        <v>25</v>
      </c>
      <c r="F436" s="35" t="s">
        <v>25</v>
      </c>
      <c r="G436" s="35" t="s">
        <v>25</v>
      </c>
      <c r="H436" s="35" t="s">
        <v>34</v>
      </c>
      <c r="I436" s="55">
        <v>44562</v>
      </c>
      <c r="J436" s="56">
        <f>EFEITO!$J$436*EFEITO!$Y$436</f>
        <v>0</v>
      </c>
      <c r="K436" s="56">
        <f ca="1">EFEITO!$L$436*EFEITO!$Z$436</f>
        <v>439.23325194652176</v>
      </c>
      <c r="L436" s="56">
        <f>EFEITO!$N$436*EFEITO!$AA$436</f>
        <v>16.527173206677926</v>
      </c>
      <c r="M436" s="56">
        <f>$J$436-EFEITO!$K$436*EFEITO!$Y$436</f>
        <v>0</v>
      </c>
      <c r="N436" s="56">
        <f ca="1">$K$436-EFEITO!$M$436*EFEITO!$Z$436</f>
        <v>0</v>
      </c>
      <c r="O436" s="56">
        <f>$L$436-EFEITO!$O$436*EFEITO!$AA$436</f>
        <v>0</v>
      </c>
      <c r="P436" s="39"/>
      <c r="Q436" s="39"/>
      <c r="R436" s="39"/>
      <c r="S436" s="39"/>
      <c r="T436" s="39"/>
      <c r="U436" s="39"/>
      <c r="V436" s="39"/>
      <c r="W436" s="39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35" t="s">
        <v>21</v>
      </c>
      <c r="B437" s="35" t="s">
        <v>37</v>
      </c>
      <c r="C437" s="35" t="s">
        <v>33</v>
      </c>
      <c r="D437" s="35" t="s">
        <v>41</v>
      </c>
      <c r="E437" s="35" t="s">
        <v>25</v>
      </c>
      <c r="F437" s="35" t="s">
        <v>25</v>
      </c>
      <c r="G437" s="35" t="s">
        <v>25</v>
      </c>
      <c r="H437" s="35" t="s">
        <v>34</v>
      </c>
      <c r="I437" s="55">
        <v>44593</v>
      </c>
      <c r="J437" s="56">
        <f>EFEITO!$J$437*EFEITO!$Y$437</f>
        <v>0</v>
      </c>
      <c r="K437" s="56">
        <f ca="1">EFEITO!$L$437*EFEITO!$Z$437</f>
        <v>507.60446569291429</v>
      </c>
      <c r="L437" s="56">
        <f>EFEITO!$N$437*EFEITO!$AA$437</f>
        <v>19.099799224698547</v>
      </c>
      <c r="M437" s="56">
        <f>$J$437-EFEITO!$K$437*EFEITO!$Y$437</f>
        <v>0</v>
      </c>
      <c r="N437" s="56">
        <f ca="1">$K$437-EFEITO!$M$437*EFEITO!$Z$437</f>
        <v>0</v>
      </c>
      <c r="O437" s="56">
        <f>$L$437-EFEITO!$O$437*EFEITO!$AA$437</f>
        <v>0</v>
      </c>
      <c r="P437" s="39"/>
      <c r="Q437" s="39"/>
      <c r="R437" s="39"/>
      <c r="S437" s="39"/>
      <c r="T437" s="39"/>
      <c r="U437" s="39"/>
      <c r="V437" s="39"/>
      <c r="W437" s="39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35" t="s">
        <v>21</v>
      </c>
      <c r="B438" s="35" t="s">
        <v>37</v>
      </c>
      <c r="C438" s="35" t="s">
        <v>33</v>
      </c>
      <c r="D438" s="35" t="s">
        <v>41</v>
      </c>
      <c r="E438" s="35" t="s">
        <v>25</v>
      </c>
      <c r="F438" s="35" t="s">
        <v>25</v>
      </c>
      <c r="G438" s="35" t="s">
        <v>25</v>
      </c>
      <c r="H438" s="35" t="s">
        <v>34</v>
      </c>
      <c r="I438" s="55">
        <v>44621</v>
      </c>
      <c r="J438" s="56">
        <f>EFEITO!$J$438*EFEITO!$Y$438</f>
        <v>0</v>
      </c>
      <c r="K438" s="56">
        <f ca="1">EFEITO!$L$438*EFEITO!$Z$438</f>
        <v>401.93986263030769</v>
      </c>
      <c r="L438" s="56">
        <f>EFEITO!$N$438*EFEITO!$AA$438</f>
        <v>15.123922651393952</v>
      </c>
      <c r="M438" s="56">
        <f>$J$438-EFEITO!$K$438*EFEITO!$Y$438</f>
        <v>0</v>
      </c>
      <c r="N438" s="56">
        <f ca="1">$K$438-EFEITO!$M$438*EFEITO!$Z$438</f>
        <v>0</v>
      </c>
      <c r="O438" s="56">
        <f>$L$438-EFEITO!$O$438*EFEITO!$AA$438</f>
        <v>0</v>
      </c>
      <c r="P438" s="39"/>
      <c r="Q438" s="39"/>
      <c r="R438" s="39"/>
      <c r="S438" s="39"/>
      <c r="T438" s="39"/>
      <c r="U438" s="39"/>
      <c r="V438" s="39"/>
      <c r="W438" s="39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35" t="s">
        <v>28</v>
      </c>
      <c r="B439" s="35" t="s">
        <v>37</v>
      </c>
      <c r="C439" s="35" t="s">
        <v>33</v>
      </c>
      <c r="D439" s="35" t="s">
        <v>41</v>
      </c>
      <c r="E439" s="35" t="s">
        <v>25</v>
      </c>
      <c r="F439" s="35" t="s">
        <v>25</v>
      </c>
      <c r="G439" s="35" t="s">
        <v>25</v>
      </c>
      <c r="H439" s="35" t="s">
        <v>34</v>
      </c>
      <c r="I439" s="55">
        <v>44621</v>
      </c>
      <c r="J439" s="56">
        <f>EFEITO!$J$439*EFEITO!$Y$439</f>
        <v>0</v>
      </c>
      <c r="K439" s="56">
        <f ca="1">EFEITO!$L$439*EFEITO!$Z$439</f>
        <v>151.24541222686832</v>
      </c>
      <c r="L439" s="56">
        <f>EFEITO!$N$439*EFEITO!$AA$439</f>
        <v>5.6909605853183418</v>
      </c>
      <c r="M439" s="56">
        <f>$J$439-EFEITO!$K$439*EFEITO!$Y$439</f>
        <v>0</v>
      </c>
      <c r="N439" s="56">
        <f ca="1">$K$439-EFEITO!$M$439*EFEITO!$Z$439</f>
        <v>0</v>
      </c>
      <c r="O439" s="56">
        <f>$L$439-EFEITO!$O$439*EFEITO!$AA$439</f>
        <v>0</v>
      </c>
      <c r="P439" s="39"/>
      <c r="Q439" s="39"/>
      <c r="R439" s="39"/>
      <c r="S439" s="39"/>
      <c r="T439" s="39"/>
      <c r="U439" s="39"/>
      <c r="V439" s="39"/>
      <c r="W439" s="39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35" t="s">
        <v>21</v>
      </c>
      <c r="B440" s="35" t="s">
        <v>37</v>
      </c>
      <c r="C440" s="35" t="s">
        <v>33</v>
      </c>
      <c r="D440" s="35" t="s">
        <v>41</v>
      </c>
      <c r="E440" s="35" t="s">
        <v>25</v>
      </c>
      <c r="F440" s="35" t="s">
        <v>25</v>
      </c>
      <c r="G440" s="35" t="s">
        <v>25</v>
      </c>
      <c r="H440" s="35" t="s">
        <v>34</v>
      </c>
      <c r="I440" s="55">
        <v>44652</v>
      </c>
      <c r="J440" s="56">
        <f>EFEITO!$J$440*EFEITO!$Y$440</f>
        <v>0</v>
      </c>
      <c r="K440" s="56">
        <f ca="1">EFEITO!$L$440*EFEITO!$Z$440</f>
        <v>399.86800766829577</v>
      </c>
      <c r="L440" s="56">
        <f>EFEITO!$N$440*EFEITO!$AA$440</f>
        <v>15.045964287211509</v>
      </c>
      <c r="M440" s="56">
        <f>$J$440-EFEITO!$K$440*EFEITO!$Y$440</f>
        <v>0</v>
      </c>
      <c r="N440" s="56">
        <f ca="1">$K$440-EFEITO!$M$440*EFEITO!$Z$440</f>
        <v>0</v>
      </c>
      <c r="O440" s="56">
        <f>$L$440-EFEITO!$O$440*EFEITO!$AA$440</f>
        <v>0</v>
      </c>
      <c r="P440" s="39"/>
      <c r="Q440" s="39"/>
      <c r="R440" s="39"/>
      <c r="S440" s="39"/>
      <c r="T440" s="39"/>
      <c r="U440" s="39"/>
      <c r="V440" s="39"/>
      <c r="W440" s="39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35" t="s">
        <v>28</v>
      </c>
      <c r="B441" s="35" t="s">
        <v>37</v>
      </c>
      <c r="C441" s="35" t="s">
        <v>33</v>
      </c>
      <c r="D441" s="35" t="s">
        <v>41</v>
      </c>
      <c r="E441" s="35" t="s">
        <v>25</v>
      </c>
      <c r="F441" s="35" t="s">
        <v>25</v>
      </c>
      <c r="G441" s="35" t="s">
        <v>25</v>
      </c>
      <c r="H441" s="35" t="s">
        <v>34</v>
      </c>
      <c r="I441" s="55">
        <v>44652</v>
      </c>
      <c r="J441" s="56">
        <f>EFEITO!$J$441*EFEITO!$Y$441</f>
        <v>0</v>
      </c>
      <c r="K441" s="56">
        <f ca="1">EFEITO!$L$441*EFEITO!$Z$441</f>
        <v>78.730488556452016</v>
      </c>
      <c r="L441" s="56">
        <f>EFEITO!$N$441*EFEITO!$AA$441</f>
        <v>2.9624178389328359</v>
      </c>
      <c r="M441" s="56">
        <f>$J$441-EFEITO!$K$441*EFEITO!$Y$441</f>
        <v>0</v>
      </c>
      <c r="N441" s="56">
        <f ca="1">$K$441-EFEITO!$M$441*EFEITO!$Z$441</f>
        <v>0</v>
      </c>
      <c r="O441" s="56">
        <f>$L$441-EFEITO!$O$441*EFEITO!$AA$441</f>
        <v>0</v>
      </c>
      <c r="P441" s="39"/>
      <c r="Q441" s="39"/>
      <c r="R441" s="39"/>
      <c r="S441" s="39"/>
      <c r="T441" s="39"/>
      <c r="U441" s="39"/>
      <c r="V441" s="39"/>
      <c r="W441" s="39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35" t="s">
        <v>21</v>
      </c>
      <c r="B442" s="35" t="s">
        <v>37</v>
      </c>
      <c r="C442" s="35" t="s">
        <v>33</v>
      </c>
      <c r="D442" s="35" t="s">
        <v>41</v>
      </c>
      <c r="E442" s="35" t="s">
        <v>25</v>
      </c>
      <c r="F442" s="35" t="s">
        <v>25</v>
      </c>
      <c r="G442" s="35" t="s">
        <v>25</v>
      </c>
      <c r="H442" s="35" t="s">
        <v>34</v>
      </c>
      <c r="I442" s="55">
        <v>44682</v>
      </c>
      <c r="J442" s="56">
        <f>EFEITO!$J$442*EFEITO!$Y$442</f>
        <v>0</v>
      </c>
      <c r="K442" s="56">
        <f ca="1">EFEITO!$L$442*EFEITO!$Z$442</f>
        <v>445.44881683255744</v>
      </c>
      <c r="L442" s="56">
        <f>EFEITO!$N$442*EFEITO!$AA$442</f>
        <v>16.761048299225255</v>
      </c>
      <c r="M442" s="56">
        <f>$J$442-EFEITO!$K$442*EFEITO!$Y$442</f>
        <v>0</v>
      </c>
      <c r="N442" s="56">
        <f ca="1">$K$442-EFEITO!$M$442*EFEITO!$Z$442</f>
        <v>0</v>
      </c>
      <c r="O442" s="56">
        <f>$L$442-EFEITO!$O$442*EFEITO!$AA$442</f>
        <v>0</v>
      </c>
      <c r="P442" s="39"/>
      <c r="Q442" s="39"/>
      <c r="R442" s="39"/>
      <c r="S442" s="39"/>
      <c r="T442" s="39"/>
      <c r="U442" s="39"/>
      <c r="V442" s="39"/>
      <c r="W442" s="39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35" t="s">
        <v>21</v>
      </c>
      <c r="B443" s="35" t="s">
        <v>37</v>
      </c>
      <c r="C443" s="35" t="s">
        <v>33</v>
      </c>
      <c r="D443" s="35" t="s">
        <v>41</v>
      </c>
      <c r="E443" s="35" t="s">
        <v>25</v>
      </c>
      <c r="F443" s="35" t="s">
        <v>25</v>
      </c>
      <c r="G443" s="35" t="s">
        <v>25</v>
      </c>
      <c r="H443" s="35" t="s">
        <v>34</v>
      </c>
      <c r="I443" s="55">
        <v>44713</v>
      </c>
      <c r="J443" s="56">
        <f>EFEITO!$J$443*EFEITO!$Y$443</f>
        <v>0</v>
      </c>
      <c r="K443" s="56">
        <f ca="1">EFEITO!$L$443*EFEITO!$Z$443</f>
        <v>308.70638933977239</v>
      </c>
      <c r="L443" s="56">
        <f>EFEITO!$N$443*EFEITO!$AA$443</f>
        <v>11.615796263184015</v>
      </c>
      <c r="M443" s="56">
        <f>$J$443-EFEITO!$K$443*EFEITO!$Y$443</f>
        <v>0</v>
      </c>
      <c r="N443" s="56">
        <f ca="1">$K$443-EFEITO!$M$443*EFEITO!$Z$443</f>
        <v>0</v>
      </c>
      <c r="O443" s="56">
        <f>$L$443-EFEITO!$O$443*EFEITO!$AA$443</f>
        <v>0</v>
      </c>
      <c r="P443" s="39"/>
      <c r="Q443" s="39"/>
      <c r="R443" s="39"/>
      <c r="S443" s="39"/>
      <c r="T443" s="39"/>
      <c r="U443" s="39"/>
      <c r="V443" s="39"/>
      <c r="W443" s="39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35" t="s">
        <v>28</v>
      </c>
      <c r="B444" s="35" t="s">
        <v>37</v>
      </c>
      <c r="C444" s="35" t="s">
        <v>33</v>
      </c>
      <c r="D444" s="35" t="s">
        <v>41</v>
      </c>
      <c r="E444" s="35" t="s">
        <v>25</v>
      </c>
      <c r="F444" s="35" t="s">
        <v>25</v>
      </c>
      <c r="G444" s="35" t="s">
        <v>25</v>
      </c>
      <c r="H444" s="35" t="s">
        <v>34</v>
      </c>
      <c r="I444" s="55">
        <v>44713</v>
      </c>
      <c r="J444" s="56">
        <f>EFEITO!$J$444*EFEITO!$Y$444</f>
        <v>0</v>
      </c>
      <c r="K444" s="56">
        <f ca="1">EFEITO!$L$444*EFEITO!$Z$444</f>
        <v>68.371213746392542</v>
      </c>
      <c r="L444" s="56">
        <f>EFEITO!$N$444*EFEITO!$AA$444</f>
        <v>2.5726260180206206</v>
      </c>
      <c r="M444" s="56">
        <f>$J$444-EFEITO!$K$444*EFEITO!$Y$444</f>
        <v>0</v>
      </c>
      <c r="N444" s="56">
        <f ca="1">$K$444-EFEITO!$M$444*EFEITO!$Z$444</f>
        <v>0</v>
      </c>
      <c r="O444" s="56">
        <f>$L$444-EFEITO!$O$444*EFEITO!$AA$444</f>
        <v>0</v>
      </c>
      <c r="P444" s="39"/>
      <c r="Q444" s="39"/>
      <c r="R444" s="39"/>
      <c r="S444" s="39"/>
      <c r="T444" s="39"/>
      <c r="U444" s="39"/>
      <c r="V444" s="39"/>
      <c r="W444" s="39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35" t="s">
        <v>21</v>
      </c>
      <c r="B445" s="35" t="s">
        <v>37</v>
      </c>
      <c r="C445" s="35" t="s">
        <v>33</v>
      </c>
      <c r="D445" s="35" t="s">
        <v>41</v>
      </c>
      <c r="E445" s="35" t="s">
        <v>25</v>
      </c>
      <c r="F445" s="35" t="s">
        <v>25</v>
      </c>
      <c r="G445" s="35" t="s">
        <v>25</v>
      </c>
      <c r="H445" s="35" t="s">
        <v>34</v>
      </c>
      <c r="I445" s="55">
        <v>44743</v>
      </c>
      <c r="J445" s="56">
        <f>EFEITO!$J$445*EFEITO!$Y$445</f>
        <v>0</v>
      </c>
      <c r="K445" s="56">
        <f ca="1">EFEITO!$L$445*EFEITO!$Z$445</f>
        <v>64.227503822368746</v>
      </c>
      <c r="L445" s="56">
        <f>EFEITO!$N$445*EFEITO!$AA$445</f>
        <v>2.4167092896557345</v>
      </c>
      <c r="M445" s="56">
        <f>$J$445-EFEITO!$K$445*EFEITO!$Y$445</f>
        <v>0</v>
      </c>
      <c r="N445" s="56">
        <f ca="1">$K$445-EFEITO!$M$445*EFEITO!$Z$445</f>
        <v>0</v>
      </c>
      <c r="O445" s="56">
        <f>$L$445-EFEITO!$O$445*EFEITO!$AA$445</f>
        <v>0</v>
      </c>
      <c r="P445" s="39"/>
      <c r="Q445" s="39"/>
      <c r="R445" s="39"/>
      <c r="S445" s="39"/>
      <c r="T445" s="39"/>
      <c r="U445" s="39"/>
      <c r="V445" s="39"/>
      <c r="W445" s="39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35" t="s">
        <v>28</v>
      </c>
      <c r="B446" s="35" t="s">
        <v>37</v>
      </c>
      <c r="C446" s="35" t="s">
        <v>33</v>
      </c>
      <c r="D446" s="35" t="s">
        <v>41</v>
      </c>
      <c r="E446" s="35" t="s">
        <v>25</v>
      </c>
      <c r="F446" s="35" t="s">
        <v>25</v>
      </c>
      <c r="G446" s="35" t="s">
        <v>25</v>
      </c>
      <c r="H446" s="35" t="s">
        <v>34</v>
      </c>
      <c r="I446" s="55">
        <v>44743</v>
      </c>
      <c r="J446" s="56">
        <f>EFEITO!$J$446*EFEITO!$Y$446</f>
        <v>0</v>
      </c>
      <c r="K446" s="56">
        <f ca="1">EFEITO!$L$446*EFEITO!$Z$446</f>
        <v>53.868229012309271</v>
      </c>
      <c r="L446" s="56">
        <f>EFEITO!$N$446*EFEITO!$AA$446</f>
        <v>2.0269174687435192</v>
      </c>
      <c r="M446" s="56">
        <f>$J$446-EFEITO!$K$446*EFEITO!$Y$446</f>
        <v>0</v>
      </c>
      <c r="N446" s="56">
        <f ca="1">$K$446-EFEITO!$M$446*EFEITO!$Z$446</f>
        <v>0</v>
      </c>
      <c r="O446" s="56">
        <f>$L$446-EFEITO!$O$446*EFEITO!$AA$446</f>
        <v>0</v>
      </c>
      <c r="P446" s="39"/>
      <c r="Q446" s="39"/>
      <c r="R446" s="39"/>
      <c r="S446" s="39"/>
      <c r="T446" s="39"/>
      <c r="U446" s="39"/>
      <c r="V446" s="39"/>
      <c r="W446" s="39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35" t="s">
        <v>21</v>
      </c>
      <c r="B447" s="35" t="s">
        <v>37</v>
      </c>
      <c r="C447" s="35" t="s">
        <v>33</v>
      </c>
      <c r="D447" s="35" t="s">
        <v>41</v>
      </c>
      <c r="E447" s="35" t="s">
        <v>25</v>
      </c>
      <c r="F447" s="35" t="s">
        <v>25</v>
      </c>
      <c r="G447" s="35" t="s">
        <v>25</v>
      </c>
      <c r="H447" s="35" t="s">
        <v>34</v>
      </c>
      <c r="I447" s="55">
        <v>44774</v>
      </c>
      <c r="J447" s="56">
        <f>EFEITO!$J$447*EFEITO!$Y$447</f>
        <v>0</v>
      </c>
      <c r="K447" s="56">
        <f ca="1">EFEITO!$L$447*EFEITO!$Z$447</f>
        <v>122.23944275870181</v>
      </c>
      <c r="L447" s="56">
        <f>EFEITO!$N$447*EFEITO!$AA$447</f>
        <v>4.5995434867641398</v>
      </c>
      <c r="M447" s="56">
        <f>$J$447-EFEITO!$K$447*EFEITO!$Y$447</f>
        <v>0</v>
      </c>
      <c r="N447" s="56">
        <f ca="1">$K$447-EFEITO!$M$447*EFEITO!$Z$447</f>
        <v>0</v>
      </c>
      <c r="O447" s="56">
        <f>$L$447-EFEITO!$O$447*EFEITO!$AA$447</f>
        <v>0</v>
      </c>
      <c r="P447" s="39"/>
      <c r="Q447" s="39"/>
      <c r="R447" s="39"/>
      <c r="S447" s="39"/>
      <c r="T447" s="39"/>
      <c r="U447" s="39"/>
      <c r="V447" s="39"/>
      <c r="W447" s="39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35" t="s">
        <v>28</v>
      </c>
      <c r="B448" s="35" t="s">
        <v>37</v>
      </c>
      <c r="C448" s="35" t="s">
        <v>33</v>
      </c>
      <c r="D448" s="35" t="s">
        <v>41</v>
      </c>
      <c r="E448" s="35" t="s">
        <v>25</v>
      </c>
      <c r="F448" s="35" t="s">
        <v>25</v>
      </c>
      <c r="G448" s="35" t="s">
        <v>25</v>
      </c>
      <c r="H448" s="35" t="s">
        <v>34</v>
      </c>
      <c r="I448" s="55">
        <v>44774</v>
      </c>
      <c r="J448" s="56">
        <f>EFEITO!$J$448*EFEITO!$Y$448</f>
        <v>0</v>
      </c>
      <c r="K448" s="56">
        <f ca="1">EFEITO!$L$448*EFEITO!$Z$448</f>
        <v>66.299358784380644</v>
      </c>
      <c r="L448" s="56">
        <f>EFEITO!$N$448*EFEITO!$AA$448</f>
        <v>2.4946676538381776</v>
      </c>
      <c r="M448" s="56">
        <f>$J$448-EFEITO!$K$448*EFEITO!$Y$448</f>
        <v>0</v>
      </c>
      <c r="N448" s="56">
        <f ca="1">$K$448-EFEITO!$M$448*EFEITO!$Z$448</f>
        <v>0</v>
      </c>
      <c r="O448" s="56">
        <f>$L$448-EFEITO!$O$448*EFEITO!$AA$448</f>
        <v>0</v>
      </c>
      <c r="P448" s="39"/>
      <c r="Q448" s="39"/>
      <c r="R448" s="39"/>
      <c r="S448" s="39"/>
      <c r="T448" s="39"/>
      <c r="U448" s="39"/>
      <c r="V448" s="39"/>
      <c r="W448" s="39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35" t="s">
        <v>21</v>
      </c>
      <c r="B449" s="35" t="s">
        <v>37</v>
      </c>
      <c r="C449" s="35" t="s">
        <v>33</v>
      </c>
      <c r="D449" s="35" t="s">
        <v>38</v>
      </c>
      <c r="E449" s="35" t="s">
        <v>25</v>
      </c>
      <c r="F449" s="35" t="s">
        <v>25</v>
      </c>
      <c r="G449" s="35" t="s">
        <v>25</v>
      </c>
      <c r="H449" s="35" t="s">
        <v>35</v>
      </c>
      <c r="I449" s="55">
        <v>44440</v>
      </c>
      <c r="J449" s="56">
        <f>EFEITO!$J$449*EFEITO!$Y$449</f>
        <v>0</v>
      </c>
      <c r="K449" s="56">
        <f ca="1">EFEITO!$L$449*EFEITO!$Z$449</f>
        <v>7665.2652215120888</v>
      </c>
      <c r="L449" s="56">
        <f>EFEITO!$N$449*EFEITO!$AA$449</f>
        <v>1187.9295534120672</v>
      </c>
      <c r="M449" s="56">
        <f>$J$449-EFEITO!$K$449*EFEITO!$Y$449</f>
        <v>0</v>
      </c>
      <c r="N449" s="56">
        <f ca="1">$K$449-EFEITO!$M$449*EFEITO!$Z$449</f>
        <v>0</v>
      </c>
      <c r="O449" s="56">
        <f>$L$449-EFEITO!$O$449*EFEITO!$AA$449</f>
        <v>0</v>
      </c>
      <c r="P449" s="39"/>
      <c r="Q449" s="39"/>
      <c r="R449" s="39"/>
      <c r="S449" s="39"/>
      <c r="T449" s="39"/>
      <c r="U449" s="39"/>
      <c r="V449" s="39"/>
      <c r="W449" s="39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35" t="s">
        <v>21</v>
      </c>
      <c r="B450" s="35" t="s">
        <v>37</v>
      </c>
      <c r="C450" s="35" t="s">
        <v>33</v>
      </c>
      <c r="D450" s="35" t="s">
        <v>38</v>
      </c>
      <c r="E450" s="35" t="s">
        <v>25</v>
      </c>
      <c r="F450" s="35" t="s">
        <v>25</v>
      </c>
      <c r="G450" s="35" t="s">
        <v>25</v>
      </c>
      <c r="H450" s="35" t="s">
        <v>35</v>
      </c>
      <c r="I450" s="55">
        <v>44470</v>
      </c>
      <c r="J450" s="56">
        <f>EFEITO!$J$450*EFEITO!$Y$450</f>
        <v>0</v>
      </c>
      <c r="K450" s="56">
        <f ca="1">EFEITO!$L$450*EFEITO!$Z$450</f>
        <v>5830.692294431462</v>
      </c>
      <c r="L450" s="56">
        <f>EFEITO!$N$450*EFEITO!$AA$450</f>
        <v>903.61539923869736</v>
      </c>
      <c r="M450" s="56">
        <f>$J$450-EFEITO!$K$450*EFEITO!$Y$450</f>
        <v>0</v>
      </c>
      <c r="N450" s="56">
        <f ca="1">$K$450-EFEITO!$M$450*EFEITO!$Z$450</f>
        <v>0</v>
      </c>
      <c r="O450" s="56">
        <f>$L$450-EFEITO!$O$450*EFEITO!$AA$450</f>
        <v>0</v>
      </c>
      <c r="P450" s="39"/>
      <c r="Q450" s="39"/>
      <c r="R450" s="39"/>
      <c r="S450" s="39"/>
      <c r="T450" s="39"/>
      <c r="U450" s="39"/>
      <c r="V450" s="39"/>
      <c r="W450" s="39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35" t="s">
        <v>21</v>
      </c>
      <c r="B451" s="35" t="s">
        <v>37</v>
      </c>
      <c r="C451" s="35" t="s">
        <v>33</v>
      </c>
      <c r="D451" s="35" t="s">
        <v>38</v>
      </c>
      <c r="E451" s="35" t="s">
        <v>25</v>
      </c>
      <c r="F451" s="35" t="s">
        <v>25</v>
      </c>
      <c r="G451" s="35" t="s">
        <v>25</v>
      </c>
      <c r="H451" s="35" t="s">
        <v>35</v>
      </c>
      <c r="I451" s="55">
        <v>44501</v>
      </c>
      <c r="J451" s="56">
        <f>EFEITO!$J$451*EFEITO!$Y$451</f>
        <v>0</v>
      </c>
      <c r="K451" s="56">
        <f ca="1">EFEITO!$L$451*EFEITO!$Z$451</f>
        <v>6125.974528650363</v>
      </c>
      <c r="L451" s="56">
        <f>EFEITO!$N$451*EFEITO!$AA$451</f>
        <v>949.37695901379152</v>
      </c>
      <c r="M451" s="56">
        <f>$J$451-EFEITO!$K$451*EFEITO!$Y$451</f>
        <v>0</v>
      </c>
      <c r="N451" s="56">
        <f ca="1">$K$451-EFEITO!$M$451*EFEITO!$Z$451</f>
        <v>0</v>
      </c>
      <c r="O451" s="56">
        <f>$L$451-EFEITO!$O$451*EFEITO!$AA$451</f>
        <v>0</v>
      </c>
      <c r="P451" s="39"/>
      <c r="Q451" s="39"/>
      <c r="R451" s="39"/>
      <c r="S451" s="39"/>
      <c r="T451" s="39"/>
      <c r="U451" s="39"/>
      <c r="V451" s="39"/>
      <c r="W451" s="39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35" t="s">
        <v>28</v>
      </c>
      <c r="B452" s="35" t="s">
        <v>37</v>
      </c>
      <c r="C452" s="35" t="s">
        <v>33</v>
      </c>
      <c r="D452" s="35" t="s">
        <v>38</v>
      </c>
      <c r="E452" s="35" t="s">
        <v>25</v>
      </c>
      <c r="F452" s="35" t="s">
        <v>25</v>
      </c>
      <c r="G452" s="35" t="s">
        <v>25</v>
      </c>
      <c r="H452" s="35" t="s">
        <v>35</v>
      </c>
      <c r="I452" s="55">
        <v>44501</v>
      </c>
      <c r="J452" s="56">
        <f>EFEITO!$J$452*EFEITO!$Y$452</f>
        <v>0</v>
      </c>
      <c r="K452" s="56">
        <f ca="1">EFEITO!$L$452*EFEITO!$Z$452</f>
        <v>121.73475414135224</v>
      </c>
      <c r="L452" s="56">
        <f>EFEITO!$N$452*EFEITO!$AA$452</f>
        <v>18.865924132151218</v>
      </c>
      <c r="M452" s="56">
        <f>$J$452-EFEITO!$K$452*EFEITO!$Y$452</f>
        <v>0</v>
      </c>
      <c r="N452" s="56">
        <f ca="1">$K$452-EFEITO!$M$452*EFEITO!$Z$452</f>
        <v>0</v>
      </c>
      <c r="O452" s="56">
        <f>$L$452-EFEITO!$O$452*EFEITO!$AA$452</f>
        <v>0</v>
      </c>
      <c r="P452" s="39"/>
      <c r="Q452" s="39"/>
      <c r="R452" s="39"/>
      <c r="S452" s="39"/>
      <c r="T452" s="39"/>
      <c r="U452" s="39"/>
      <c r="V452" s="39"/>
      <c r="W452" s="39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35" t="s">
        <v>21</v>
      </c>
      <c r="B453" s="35" t="s">
        <v>37</v>
      </c>
      <c r="C453" s="35" t="s">
        <v>33</v>
      </c>
      <c r="D453" s="35" t="s">
        <v>38</v>
      </c>
      <c r="E453" s="35" t="s">
        <v>25</v>
      </c>
      <c r="F453" s="35" t="s">
        <v>25</v>
      </c>
      <c r="G453" s="35" t="s">
        <v>25</v>
      </c>
      <c r="H453" s="35" t="s">
        <v>35</v>
      </c>
      <c r="I453" s="55">
        <v>44531</v>
      </c>
      <c r="J453" s="56">
        <f>EFEITO!$J$453*EFEITO!$Y$453</f>
        <v>0</v>
      </c>
      <c r="K453" s="56">
        <f ca="1">EFEITO!$L$453*EFEITO!$Z$453</f>
        <v>5235.0974642522842</v>
      </c>
      <c r="L453" s="56">
        <f>EFEITO!$N$453*EFEITO!$AA$453</f>
        <v>811.31269604668478</v>
      </c>
      <c r="M453" s="56">
        <f>$J$453-EFEITO!$K$453*EFEITO!$Y$453</f>
        <v>0</v>
      </c>
      <c r="N453" s="56">
        <f ca="1">$K$453-EFEITO!$M$453*EFEITO!$Z$453</f>
        <v>0</v>
      </c>
      <c r="O453" s="56">
        <f>$L$453-EFEITO!$O$453*EFEITO!$AA$453</f>
        <v>0</v>
      </c>
      <c r="P453" s="39"/>
      <c r="Q453" s="39"/>
      <c r="R453" s="39"/>
      <c r="S453" s="39"/>
      <c r="T453" s="39"/>
      <c r="U453" s="39"/>
      <c r="V453" s="39"/>
      <c r="W453" s="39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35" t="s">
        <v>21</v>
      </c>
      <c r="B454" s="35" t="s">
        <v>37</v>
      </c>
      <c r="C454" s="35" t="s">
        <v>33</v>
      </c>
      <c r="D454" s="35" t="s">
        <v>38</v>
      </c>
      <c r="E454" s="35" t="s">
        <v>25</v>
      </c>
      <c r="F454" s="35" t="s">
        <v>25</v>
      </c>
      <c r="G454" s="35" t="s">
        <v>25</v>
      </c>
      <c r="H454" s="35" t="s">
        <v>35</v>
      </c>
      <c r="I454" s="55">
        <v>44562</v>
      </c>
      <c r="J454" s="56">
        <f>EFEITO!$J$454*EFEITO!$Y$454</f>
        <v>0</v>
      </c>
      <c r="K454" s="56">
        <f ca="1">EFEITO!$L$454*EFEITO!$Z$454</f>
        <v>5120.405216548862</v>
      </c>
      <c r="L454" s="56">
        <f>EFEITO!$N$454*EFEITO!$AA$454</f>
        <v>793.53818901308784</v>
      </c>
      <c r="M454" s="56">
        <f>$J$454-EFEITO!$K$454*EFEITO!$Y$454</f>
        <v>0</v>
      </c>
      <c r="N454" s="56">
        <f ca="1">$K$454-EFEITO!$M$454*EFEITO!$Z$454</f>
        <v>0</v>
      </c>
      <c r="O454" s="56">
        <f>$L$454-EFEITO!$O$454*EFEITO!$AA$454</f>
        <v>0</v>
      </c>
      <c r="P454" s="39"/>
      <c r="Q454" s="39"/>
      <c r="R454" s="39"/>
      <c r="S454" s="39"/>
      <c r="T454" s="39"/>
      <c r="U454" s="39"/>
      <c r="V454" s="39"/>
      <c r="W454" s="39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35" t="s">
        <v>28</v>
      </c>
      <c r="B455" s="35" t="s">
        <v>37</v>
      </c>
      <c r="C455" s="35" t="s">
        <v>33</v>
      </c>
      <c r="D455" s="35" t="s">
        <v>38</v>
      </c>
      <c r="E455" s="35" t="s">
        <v>25</v>
      </c>
      <c r="F455" s="35" t="s">
        <v>25</v>
      </c>
      <c r="G455" s="35" t="s">
        <v>25</v>
      </c>
      <c r="H455" s="35" t="s">
        <v>35</v>
      </c>
      <c r="I455" s="55">
        <v>44562</v>
      </c>
      <c r="J455" s="56">
        <f>EFEITO!$J$455*EFEITO!$Y$455</f>
        <v>0</v>
      </c>
      <c r="K455" s="56">
        <f ca="1">EFEITO!$L$455*EFEITO!$Z$455</f>
        <v>121.73475414135224</v>
      </c>
      <c r="L455" s="56">
        <f>EFEITO!$N$455*EFEITO!$AA$455</f>
        <v>18.865924132151218</v>
      </c>
      <c r="M455" s="56">
        <f>$J$455-EFEITO!$K$455*EFEITO!$Y$455</f>
        <v>0</v>
      </c>
      <c r="N455" s="56">
        <f ca="1">$K$455-EFEITO!$M$455*EFEITO!$Z$455</f>
        <v>0</v>
      </c>
      <c r="O455" s="56">
        <f>$L$455-EFEITO!$O$455*EFEITO!$AA$455</f>
        <v>0</v>
      </c>
      <c r="P455" s="39"/>
      <c r="Q455" s="39"/>
      <c r="R455" s="39"/>
      <c r="S455" s="39"/>
      <c r="T455" s="39"/>
      <c r="U455" s="39"/>
      <c r="V455" s="39"/>
      <c r="W455" s="39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35" t="s">
        <v>21</v>
      </c>
      <c r="B456" s="35" t="s">
        <v>37</v>
      </c>
      <c r="C456" s="35" t="s">
        <v>33</v>
      </c>
      <c r="D456" s="35" t="s">
        <v>38</v>
      </c>
      <c r="E456" s="35" t="s">
        <v>25</v>
      </c>
      <c r="F456" s="35" t="s">
        <v>25</v>
      </c>
      <c r="G456" s="35" t="s">
        <v>25</v>
      </c>
      <c r="H456" s="35" t="s">
        <v>35</v>
      </c>
      <c r="I456" s="55">
        <v>44593</v>
      </c>
      <c r="J456" s="56">
        <f>EFEITO!$J$456*EFEITO!$Y$456</f>
        <v>0</v>
      </c>
      <c r="K456" s="56">
        <f ca="1">EFEITO!$L$456*EFEITO!$Z$456</f>
        <v>6320.1464918675611</v>
      </c>
      <c r="L456" s="56">
        <f>EFEITO!$N$456*EFEITO!$AA$456</f>
        <v>979.46888758821444</v>
      </c>
      <c r="M456" s="56">
        <f>$J$456-EFEITO!$K$456*EFEITO!$Y$456</f>
        <v>0</v>
      </c>
      <c r="N456" s="56">
        <f ca="1">$K$456-EFEITO!$M$456*EFEITO!$Z$456</f>
        <v>0</v>
      </c>
      <c r="O456" s="56">
        <f>$L$456-EFEITO!$O$456*EFEITO!$AA$456</f>
        <v>0</v>
      </c>
      <c r="P456" s="39"/>
      <c r="Q456" s="39"/>
      <c r="R456" s="39"/>
      <c r="S456" s="39"/>
      <c r="T456" s="39"/>
      <c r="U456" s="39"/>
      <c r="V456" s="39"/>
      <c r="W456" s="39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35" t="s">
        <v>21</v>
      </c>
      <c r="B457" s="35" t="s">
        <v>37</v>
      </c>
      <c r="C457" s="35" t="s">
        <v>33</v>
      </c>
      <c r="D457" s="35" t="s">
        <v>38</v>
      </c>
      <c r="E457" s="35" t="s">
        <v>25</v>
      </c>
      <c r="F457" s="35" t="s">
        <v>25</v>
      </c>
      <c r="G457" s="35" t="s">
        <v>25</v>
      </c>
      <c r="H457" s="35" t="s">
        <v>35</v>
      </c>
      <c r="I457" s="55">
        <v>44621</v>
      </c>
      <c r="J457" s="56">
        <f>EFEITO!$J$457*EFEITO!$Y$457</f>
        <v>0</v>
      </c>
      <c r="K457" s="56">
        <f ca="1">EFEITO!$L$457*EFEITO!$Z$457</f>
        <v>6210.9876420796536</v>
      </c>
      <c r="L457" s="56">
        <f>EFEITO!$N$457*EFEITO!$AA$457</f>
        <v>962.55192256062423</v>
      </c>
      <c r="M457" s="56">
        <f>$J$457-EFEITO!$K$457*EFEITO!$Y$457</f>
        <v>0</v>
      </c>
      <c r="N457" s="56">
        <f ca="1">$K$457-EFEITO!$M$457*EFEITO!$Z$457</f>
        <v>0</v>
      </c>
      <c r="O457" s="56">
        <f>$L$457-EFEITO!$O$457*EFEITO!$AA$457</f>
        <v>0</v>
      </c>
      <c r="P457" s="39"/>
      <c r="Q457" s="39"/>
      <c r="R457" s="39"/>
      <c r="S457" s="39"/>
      <c r="T457" s="39"/>
      <c r="U457" s="39"/>
      <c r="V457" s="39"/>
      <c r="W457" s="39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35" t="s">
        <v>28</v>
      </c>
      <c r="B458" s="35" t="s">
        <v>37</v>
      </c>
      <c r="C458" s="35" t="s">
        <v>33</v>
      </c>
      <c r="D458" s="35" t="s">
        <v>38</v>
      </c>
      <c r="E458" s="35" t="s">
        <v>25</v>
      </c>
      <c r="F458" s="35" t="s">
        <v>25</v>
      </c>
      <c r="G458" s="35" t="s">
        <v>25</v>
      </c>
      <c r="H458" s="35" t="s">
        <v>35</v>
      </c>
      <c r="I458" s="55">
        <v>44621</v>
      </c>
      <c r="J458" s="56">
        <f>EFEITO!$J$458*EFEITO!$Y$458</f>
        <v>0</v>
      </c>
      <c r="K458" s="56">
        <f ca="1">EFEITO!$L$458*EFEITO!$Z$458</f>
        <v>121.73475414135224</v>
      </c>
      <c r="L458" s="56">
        <f>EFEITO!$N$458*EFEITO!$AA$458</f>
        <v>18.865924132151218</v>
      </c>
      <c r="M458" s="56">
        <f>$J$458-EFEITO!$K$458*EFEITO!$Y$458</f>
        <v>0</v>
      </c>
      <c r="N458" s="56">
        <f ca="1">$K$458-EFEITO!$M$458*EFEITO!$Z$458</f>
        <v>0</v>
      </c>
      <c r="O458" s="56">
        <f>$L$458-EFEITO!$O$458*EFEITO!$AA$458</f>
        <v>0</v>
      </c>
      <c r="P458" s="39"/>
      <c r="Q458" s="39"/>
      <c r="R458" s="39"/>
      <c r="S458" s="39"/>
      <c r="T458" s="39"/>
      <c r="U458" s="39"/>
      <c r="V458" s="39"/>
      <c r="W458" s="39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35" t="s">
        <v>21</v>
      </c>
      <c r="B459" s="35" t="s">
        <v>37</v>
      </c>
      <c r="C459" s="35" t="s">
        <v>33</v>
      </c>
      <c r="D459" s="35" t="s">
        <v>38</v>
      </c>
      <c r="E459" s="35" t="s">
        <v>25</v>
      </c>
      <c r="F459" s="35" t="s">
        <v>25</v>
      </c>
      <c r="G459" s="35" t="s">
        <v>25</v>
      </c>
      <c r="H459" s="35" t="s">
        <v>35</v>
      </c>
      <c r="I459" s="55">
        <v>44652</v>
      </c>
      <c r="J459" s="56">
        <f>EFEITO!$J$459*EFEITO!$Y$459</f>
        <v>0</v>
      </c>
      <c r="K459" s="56">
        <f ca="1">EFEITO!$L$459*EFEITO!$Z$459</f>
        <v>5771.3340258832004</v>
      </c>
      <c r="L459" s="56">
        <f>EFEITO!$N$459*EFEITO!$AA$459</f>
        <v>894.41631226516915</v>
      </c>
      <c r="M459" s="56">
        <f>$J$459-EFEITO!$K$459*EFEITO!$Y$459</f>
        <v>0</v>
      </c>
      <c r="N459" s="56">
        <f ca="1">$K$459-EFEITO!$M$459*EFEITO!$Z$459</f>
        <v>0</v>
      </c>
      <c r="O459" s="56">
        <f>$L$459-EFEITO!$O$459*EFEITO!$AA$459</f>
        <v>0</v>
      </c>
      <c r="P459" s="39"/>
      <c r="Q459" s="39"/>
      <c r="R459" s="39"/>
      <c r="S459" s="39"/>
      <c r="T459" s="39"/>
      <c r="U459" s="39"/>
      <c r="V459" s="39"/>
      <c r="W459" s="39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35" t="s">
        <v>28</v>
      </c>
      <c r="B460" s="35" t="s">
        <v>37</v>
      </c>
      <c r="C460" s="35" t="s">
        <v>33</v>
      </c>
      <c r="D460" s="35" t="s">
        <v>38</v>
      </c>
      <c r="E460" s="35" t="s">
        <v>25</v>
      </c>
      <c r="F460" s="35" t="s">
        <v>25</v>
      </c>
      <c r="G460" s="35" t="s">
        <v>25</v>
      </c>
      <c r="H460" s="35" t="s">
        <v>35</v>
      </c>
      <c r="I460" s="55">
        <v>44652</v>
      </c>
      <c r="J460" s="56">
        <f>EFEITO!$J$460*EFEITO!$Y$460</f>
        <v>0</v>
      </c>
      <c r="K460" s="56">
        <f ca="1">EFEITO!$L$460*EFEITO!$Z$460</f>
        <v>121.73475414135224</v>
      </c>
      <c r="L460" s="56">
        <f>EFEITO!$N$460*EFEITO!$AA$460</f>
        <v>18.865924132151218</v>
      </c>
      <c r="M460" s="56">
        <f>$J$460-EFEITO!$K$460*EFEITO!$Y$460</f>
        <v>0</v>
      </c>
      <c r="N460" s="56">
        <f ca="1">$K$460-EFEITO!$M$460*EFEITO!$Z$460</f>
        <v>0</v>
      </c>
      <c r="O460" s="56">
        <f>$L$460-EFEITO!$O$460*EFEITO!$AA$460</f>
        <v>0</v>
      </c>
      <c r="P460" s="39"/>
      <c r="Q460" s="39"/>
      <c r="R460" s="39"/>
      <c r="S460" s="39"/>
      <c r="T460" s="39"/>
      <c r="U460" s="39"/>
      <c r="V460" s="39"/>
      <c r="W460" s="39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35" t="s">
        <v>21</v>
      </c>
      <c r="B461" s="35" t="s">
        <v>37</v>
      </c>
      <c r="C461" s="35" t="s">
        <v>33</v>
      </c>
      <c r="D461" s="35" t="s">
        <v>38</v>
      </c>
      <c r="E461" s="35" t="s">
        <v>25</v>
      </c>
      <c r="F461" s="35" t="s">
        <v>25</v>
      </c>
      <c r="G461" s="35" t="s">
        <v>25</v>
      </c>
      <c r="H461" s="35" t="s">
        <v>35</v>
      </c>
      <c r="I461" s="55">
        <v>44682</v>
      </c>
      <c r="J461" s="56">
        <f>EFEITO!$J$461*EFEITO!$Y$461</f>
        <v>0</v>
      </c>
      <c r="K461" s="56">
        <f ca="1">EFEITO!$L$461*EFEITO!$Z$461</f>
        <v>6666.7384158485183</v>
      </c>
      <c r="L461" s="56">
        <f>EFEITO!$N$461*EFEITO!$AA$461</f>
        <v>1033.1822005099177</v>
      </c>
      <c r="M461" s="56">
        <f>$J$461-EFEITO!$K$461*EFEITO!$Y$461</f>
        <v>0</v>
      </c>
      <c r="N461" s="56">
        <f ca="1">$K$461-EFEITO!$M$461*EFEITO!$Z$461</f>
        <v>0</v>
      </c>
      <c r="O461" s="56">
        <f>$L$461-EFEITO!$O$461*EFEITO!$AA$461</f>
        <v>0</v>
      </c>
      <c r="P461" s="39"/>
      <c r="Q461" s="39"/>
      <c r="R461" s="39"/>
      <c r="S461" s="39"/>
      <c r="T461" s="39"/>
      <c r="U461" s="39"/>
      <c r="V461" s="39"/>
      <c r="W461" s="39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35" t="s">
        <v>28</v>
      </c>
      <c r="B462" s="35" t="s">
        <v>37</v>
      </c>
      <c r="C462" s="35" t="s">
        <v>33</v>
      </c>
      <c r="D462" s="35" t="s">
        <v>38</v>
      </c>
      <c r="E462" s="35" t="s">
        <v>25</v>
      </c>
      <c r="F462" s="35" t="s">
        <v>25</v>
      </c>
      <c r="G462" s="35" t="s">
        <v>25</v>
      </c>
      <c r="H462" s="35" t="s">
        <v>35</v>
      </c>
      <c r="I462" s="55">
        <v>44682</v>
      </c>
      <c r="J462" s="56">
        <f>EFEITO!$J$462*EFEITO!$Y$462</f>
        <v>0</v>
      </c>
      <c r="K462" s="56">
        <f ca="1">EFEITO!$L$462*EFEITO!$Z$462</f>
        <v>121.73475414135224</v>
      </c>
      <c r="L462" s="56">
        <f>EFEITO!$N$462*EFEITO!$AA$462</f>
        <v>18.865924132151218</v>
      </c>
      <c r="M462" s="56">
        <f>$J$462-EFEITO!$K$462*EFEITO!$Y$462</f>
        <v>0</v>
      </c>
      <c r="N462" s="56">
        <f ca="1">$K$462-EFEITO!$M$462*EFEITO!$Z$462</f>
        <v>0</v>
      </c>
      <c r="O462" s="56">
        <f>$L$462-EFEITO!$O$462*EFEITO!$AA$462</f>
        <v>0</v>
      </c>
      <c r="P462" s="39"/>
      <c r="Q462" s="39"/>
      <c r="R462" s="39"/>
      <c r="S462" s="39"/>
      <c r="T462" s="39"/>
      <c r="U462" s="39"/>
      <c r="V462" s="39"/>
      <c r="W462" s="39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35" t="s">
        <v>21</v>
      </c>
      <c r="B463" s="35" t="s">
        <v>37</v>
      </c>
      <c r="C463" s="35" t="s">
        <v>33</v>
      </c>
      <c r="D463" s="35" t="s">
        <v>38</v>
      </c>
      <c r="E463" s="35" t="s">
        <v>25</v>
      </c>
      <c r="F463" s="35" t="s">
        <v>25</v>
      </c>
      <c r="G463" s="35" t="s">
        <v>25</v>
      </c>
      <c r="H463" s="35" t="s">
        <v>35</v>
      </c>
      <c r="I463" s="55">
        <v>44713</v>
      </c>
      <c r="J463" s="56">
        <f>EFEITO!$J$463*EFEITO!$Y$463</f>
        <v>0</v>
      </c>
      <c r="K463" s="56">
        <f ca="1">EFEITO!$L$463*EFEITO!$Z$463</f>
        <v>4781.3588351799717</v>
      </c>
      <c r="L463" s="56">
        <f>EFEITO!$N$463*EFEITO!$AA$463</f>
        <v>740.99425155412121</v>
      </c>
      <c r="M463" s="56">
        <f>$J$463-EFEITO!$K$463*EFEITO!$Y$463</f>
        <v>0</v>
      </c>
      <c r="N463" s="56">
        <f ca="1">$K$463-EFEITO!$M$463*EFEITO!$Z$463</f>
        <v>0</v>
      </c>
      <c r="O463" s="56">
        <f>$L$463-EFEITO!$O$463*EFEITO!$AA$463</f>
        <v>0</v>
      </c>
      <c r="P463" s="39"/>
      <c r="Q463" s="39"/>
      <c r="R463" s="39"/>
      <c r="S463" s="39"/>
      <c r="T463" s="39"/>
      <c r="U463" s="39"/>
      <c r="V463" s="39"/>
      <c r="W463" s="39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35" t="s">
        <v>28</v>
      </c>
      <c r="B464" s="35" t="s">
        <v>37</v>
      </c>
      <c r="C464" s="35" t="s">
        <v>33</v>
      </c>
      <c r="D464" s="35" t="s">
        <v>38</v>
      </c>
      <c r="E464" s="35" t="s">
        <v>25</v>
      </c>
      <c r="F464" s="35" t="s">
        <v>25</v>
      </c>
      <c r="G464" s="35" t="s">
        <v>25</v>
      </c>
      <c r="H464" s="35" t="s">
        <v>35</v>
      </c>
      <c r="I464" s="55">
        <v>44713</v>
      </c>
      <c r="J464" s="56">
        <f>EFEITO!$J$464*EFEITO!$Y$464</f>
        <v>0</v>
      </c>
      <c r="K464" s="56">
        <f ca="1">EFEITO!$L$464*EFEITO!$Z$464</f>
        <v>121.73475414135224</v>
      </c>
      <c r="L464" s="56">
        <f>EFEITO!$N$464*EFEITO!$AA$464</f>
        <v>18.865924132151218</v>
      </c>
      <c r="M464" s="56">
        <f>$J$464-EFEITO!$K$464*EFEITO!$Y$464</f>
        <v>0</v>
      </c>
      <c r="N464" s="56">
        <f ca="1">$K$464-EFEITO!$M$464*EFEITO!$Z$464</f>
        <v>0</v>
      </c>
      <c r="O464" s="56">
        <f>$L$464-EFEITO!$O$464*EFEITO!$AA$464</f>
        <v>0</v>
      </c>
      <c r="P464" s="39"/>
      <c r="Q464" s="39"/>
      <c r="R464" s="39"/>
      <c r="S464" s="39"/>
      <c r="T464" s="39"/>
      <c r="U464" s="39"/>
      <c r="V464" s="39"/>
      <c r="W464" s="39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35" t="s">
        <v>21</v>
      </c>
      <c r="B465" s="35" t="s">
        <v>37</v>
      </c>
      <c r="C465" s="35" t="s">
        <v>33</v>
      </c>
      <c r="D465" s="35" t="s">
        <v>38</v>
      </c>
      <c r="E465" s="35" t="s">
        <v>25</v>
      </c>
      <c r="F465" s="35" t="s">
        <v>25</v>
      </c>
      <c r="G465" s="35" t="s">
        <v>25</v>
      </c>
      <c r="H465" s="35" t="s">
        <v>35</v>
      </c>
      <c r="I465" s="55">
        <v>44743</v>
      </c>
      <c r="J465" s="56">
        <f>EFEITO!$J$465*EFEITO!$Y$465</f>
        <v>0</v>
      </c>
      <c r="K465" s="56">
        <f ca="1">EFEITO!$L$465*EFEITO!$Z$465</f>
        <v>4758.2191711696314</v>
      </c>
      <c r="L465" s="56">
        <f>EFEITO!$N$465*EFEITO!$AA$465</f>
        <v>737.40816680172873</v>
      </c>
      <c r="M465" s="56">
        <f>$J$465-EFEITO!$K$465*EFEITO!$Y$465</f>
        <v>0</v>
      </c>
      <c r="N465" s="56">
        <f ca="1">$K$465-EFEITO!$M$465*EFEITO!$Z$465</f>
        <v>0</v>
      </c>
      <c r="O465" s="56">
        <f>$L$465-EFEITO!$O$465*EFEITO!$AA$465</f>
        <v>0</v>
      </c>
      <c r="P465" s="39"/>
      <c r="Q465" s="39"/>
      <c r="R465" s="39"/>
      <c r="S465" s="39"/>
      <c r="T465" s="39"/>
      <c r="U465" s="39"/>
      <c r="V465" s="39"/>
      <c r="W465" s="39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35" t="s">
        <v>28</v>
      </c>
      <c r="B466" s="35" t="s">
        <v>37</v>
      </c>
      <c r="C466" s="35" t="s">
        <v>33</v>
      </c>
      <c r="D466" s="35" t="s">
        <v>38</v>
      </c>
      <c r="E466" s="35" t="s">
        <v>25</v>
      </c>
      <c r="F466" s="35" t="s">
        <v>25</v>
      </c>
      <c r="G466" s="35" t="s">
        <v>25</v>
      </c>
      <c r="H466" s="35" t="s">
        <v>35</v>
      </c>
      <c r="I466" s="55">
        <v>44743</v>
      </c>
      <c r="J466" s="56">
        <f>EFEITO!$J$466*EFEITO!$Y$466</f>
        <v>0</v>
      </c>
      <c r="K466" s="56">
        <f ca="1">EFEITO!$L$466*EFEITO!$Z$466</f>
        <v>121.73475414135224</v>
      </c>
      <c r="L466" s="56">
        <f>EFEITO!$N$466*EFEITO!$AA$466</f>
        <v>18.865924132151218</v>
      </c>
      <c r="M466" s="56">
        <f>$J$466-EFEITO!$K$466*EFEITO!$Y$466</f>
        <v>0</v>
      </c>
      <c r="N466" s="56">
        <f ca="1">$K$466-EFEITO!$M$466*EFEITO!$Z$466</f>
        <v>0</v>
      </c>
      <c r="O466" s="56">
        <f>$L$466-EFEITO!$O$466*EFEITO!$AA$466</f>
        <v>0</v>
      </c>
      <c r="P466" s="39"/>
      <c r="Q466" s="39"/>
      <c r="R466" s="39"/>
      <c r="S466" s="39"/>
      <c r="T466" s="39"/>
      <c r="U466" s="39"/>
      <c r="V466" s="39"/>
      <c r="W466" s="39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35" t="s">
        <v>21</v>
      </c>
      <c r="B467" s="35" t="s">
        <v>37</v>
      </c>
      <c r="C467" s="35" t="s">
        <v>33</v>
      </c>
      <c r="D467" s="35" t="s">
        <v>38</v>
      </c>
      <c r="E467" s="35" t="s">
        <v>25</v>
      </c>
      <c r="F467" s="35" t="s">
        <v>25</v>
      </c>
      <c r="G467" s="35" t="s">
        <v>25</v>
      </c>
      <c r="H467" s="35" t="s">
        <v>35</v>
      </c>
      <c r="I467" s="55">
        <v>44774</v>
      </c>
      <c r="J467" s="56">
        <f>EFEITO!$J$467*EFEITO!$Y$467</f>
        <v>0</v>
      </c>
      <c r="K467" s="56">
        <f ca="1">EFEITO!$L$467*EFEITO!$Z$467</f>
        <v>6275.8793085434327</v>
      </c>
      <c r="L467" s="56">
        <f>EFEITO!$N$467*EFEITO!$AA$467</f>
        <v>972.60855154015951</v>
      </c>
      <c r="M467" s="56">
        <f>$J$467-EFEITO!$K$467*EFEITO!$Y$467</f>
        <v>0</v>
      </c>
      <c r="N467" s="56">
        <f ca="1">$K$467-EFEITO!$M$467*EFEITO!$Z$467</f>
        <v>0</v>
      </c>
      <c r="O467" s="56">
        <f>$L$467-EFEITO!$O$467*EFEITO!$AA$467</f>
        <v>0</v>
      </c>
      <c r="P467" s="39"/>
      <c r="Q467" s="39"/>
      <c r="R467" s="39"/>
      <c r="S467" s="39"/>
      <c r="T467" s="39"/>
      <c r="U467" s="39"/>
      <c r="V467" s="39"/>
      <c r="W467" s="39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35" t="s">
        <v>21</v>
      </c>
      <c r="B468" s="35" t="s">
        <v>37</v>
      </c>
      <c r="C468" s="35" t="s">
        <v>33</v>
      </c>
      <c r="D468" s="35" t="s">
        <v>38</v>
      </c>
      <c r="E468" s="35" t="s">
        <v>25</v>
      </c>
      <c r="F468" s="35" t="s">
        <v>25</v>
      </c>
      <c r="G468" s="35" t="s">
        <v>25</v>
      </c>
      <c r="H468" s="35" t="s">
        <v>36</v>
      </c>
      <c r="I468" s="55">
        <v>44440</v>
      </c>
      <c r="J468" s="56">
        <f>EFEITO!$J$468*EFEITO!$Y$468</f>
        <v>0</v>
      </c>
      <c r="K468" s="56">
        <f ca="1">EFEITO!$L$468*EFEITO!$Z$468</f>
        <v>592.20910757838863</v>
      </c>
      <c r="L468" s="56">
        <f>EFEITO!$N$468*EFEITO!$AA$468</f>
        <v>35.860847523923802</v>
      </c>
      <c r="M468" s="56">
        <f>$J$468-EFEITO!$K$468*EFEITO!$Y$468</f>
        <v>0</v>
      </c>
      <c r="N468" s="56">
        <f ca="1">$K$468-EFEITO!$M$468*EFEITO!$Z$468</f>
        <v>0</v>
      </c>
      <c r="O468" s="56">
        <f>$L$468-EFEITO!$O$468*EFEITO!$AA$468</f>
        <v>0</v>
      </c>
      <c r="P468" s="39"/>
      <c r="Q468" s="39"/>
      <c r="R468" s="39"/>
      <c r="S468" s="39"/>
      <c r="T468" s="39"/>
      <c r="U468" s="39"/>
      <c r="V468" s="39"/>
      <c r="W468" s="39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35" t="s">
        <v>21</v>
      </c>
      <c r="B469" s="35" t="s">
        <v>37</v>
      </c>
      <c r="C469" s="35" t="s">
        <v>33</v>
      </c>
      <c r="D469" s="35" t="s">
        <v>38</v>
      </c>
      <c r="E469" s="35" t="s">
        <v>25</v>
      </c>
      <c r="F469" s="35" t="s">
        <v>25</v>
      </c>
      <c r="G469" s="35" t="s">
        <v>25</v>
      </c>
      <c r="H469" s="35" t="s">
        <v>36</v>
      </c>
      <c r="I469" s="55">
        <v>44470</v>
      </c>
      <c r="J469" s="56">
        <f>EFEITO!$J$469*EFEITO!$Y$469</f>
        <v>0</v>
      </c>
      <c r="K469" s="56">
        <f ca="1">EFEITO!$L$469*EFEITO!$Z$469</f>
        <v>615.38250744015158</v>
      </c>
      <c r="L469" s="56">
        <f>EFEITO!$N$469*EFEITO!$AA$469</f>
        <v>37.264098079207777</v>
      </c>
      <c r="M469" s="56">
        <f>$J$469-EFEITO!$K$469*EFEITO!$Y$469</f>
        <v>0</v>
      </c>
      <c r="N469" s="56">
        <f ca="1">$K$469-EFEITO!$M$469*EFEITO!$Z$469</f>
        <v>0</v>
      </c>
      <c r="O469" s="56">
        <f>$L$469-EFEITO!$O$469*EFEITO!$AA$469</f>
        <v>0</v>
      </c>
      <c r="P469" s="39"/>
      <c r="Q469" s="39"/>
      <c r="R469" s="39"/>
      <c r="S469" s="39"/>
      <c r="T469" s="39"/>
      <c r="U469" s="39"/>
      <c r="V469" s="39"/>
      <c r="W469" s="39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35" t="s">
        <v>21</v>
      </c>
      <c r="B470" s="35" t="s">
        <v>37</v>
      </c>
      <c r="C470" s="35" t="s">
        <v>33</v>
      </c>
      <c r="D470" s="35" t="s">
        <v>38</v>
      </c>
      <c r="E470" s="35" t="s">
        <v>25</v>
      </c>
      <c r="F470" s="35" t="s">
        <v>25</v>
      </c>
      <c r="G470" s="35" t="s">
        <v>25</v>
      </c>
      <c r="H470" s="35" t="s">
        <v>36</v>
      </c>
      <c r="I470" s="55">
        <v>44501</v>
      </c>
      <c r="J470" s="56">
        <f>EFEITO!$J$470*EFEITO!$Y$470</f>
        <v>0</v>
      </c>
      <c r="K470" s="56">
        <f ca="1">EFEITO!$L$470*EFEITO!$Z$470</f>
        <v>422.27084192545971</v>
      </c>
      <c r="L470" s="56">
        <f>EFEITO!$N$470*EFEITO!$AA$470</f>
        <v>25.570343451841321</v>
      </c>
      <c r="M470" s="56">
        <f>$J$470-EFEITO!$K$470*EFEITO!$Y$470</f>
        <v>0</v>
      </c>
      <c r="N470" s="56">
        <f ca="1">$K$470-EFEITO!$M$470*EFEITO!$Z$470</f>
        <v>0</v>
      </c>
      <c r="O470" s="56">
        <f>$L$470-EFEITO!$O$470*EFEITO!$AA$470</f>
        <v>0</v>
      </c>
      <c r="P470" s="39"/>
      <c r="Q470" s="39"/>
      <c r="R470" s="39"/>
      <c r="S470" s="39"/>
      <c r="T470" s="39"/>
      <c r="U470" s="39"/>
      <c r="V470" s="39"/>
      <c r="W470" s="39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35" t="s">
        <v>21</v>
      </c>
      <c r="B471" s="35" t="s">
        <v>37</v>
      </c>
      <c r="C471" s="35" t="s">
        <v>33</v>
      </c>
      <c r="D471" s="35" t="s">
        <v>38</v>
      </c>
      <c r="E471" s="35" t="s">
        <v>25</v>
      </c>
      <c r="F471" s="35" t="s">
        <v>25</v>
      </c>
      <c r="G471" s="35" t="s">
        <v>25</v>
      </c>
      <c r="H471" s="35" t="s">
        <v>36</v>
      </c>
      <c r="I471" s="55">
        <v>44531</v>
      </c>
      <c r="J471" s="56">
        <f>EFEITO!$J$471*EFEITO!$Y$471</f>
        <v>0</v>
      </c>
      <c r="K471" s="56">
        <f ca="1">EFEITO!$L$471*EFEITO!$Z$471</f>
        <v>384.93591992595259</v>
      </c>
      <c r="L471" s="56">
        <f>EFEITO!$N$471*EFEITO!$AA$471</f>
        <v>23.309550890550472</v>
      </c>
      <c r="M471" s="56">
        <f>$J$471-EFEITO!$K$471*EFEITO!$Y$471</f>
        <v>0</v>
      </c>
      <c r="N471" s="56">
        <f ca="1">$K$471-EFEITO!$M$471*EFEITO!$Z$471</f>
        <v>0</v>
      </c>
      <c r="O471" s="56">
        <f>$L$471-EFEITO!$O$471*EFEITO!$AA$471</f>
        <v>0</v>
      </c>
      <c r="P471" s="39"/>
      <c r="Q471" s="39"/>
      <c r="R471" s="39"/>
      <c r="S471" s="39"/>
      <c r="T471" s="39"/>
      <c r="U471" s="39"/>
      <c r="V471" s="39"/>
      <c r="W471" s="39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35" t="s">
        <v>21</v>
      </c>
      <c r="B472" s="35" t="s">
        <v>37</v>
      </c>
      <c r="C472" s="35" t="s">
        <v>33</v>
      </c>
      <c r="D472" s="35" t="s">
        <v>38</v>
      </c>
      <c r="E472" s="35" t="s">
        <v>25</v>
      </c>
      <c r="F472" s="35" t="s">
        <v>25</v>
      </c>
      <c r="G472" s="35" t="s">
        <v>25</v>
      </c>
      <c r="H472" s="35" t="s">
        <v>36</v>
      </c>
      <c r="I472" s="55">
        <v>44562</v>
      </c>
      <c r="J472" s="56">
        <f>EFEITO!$J$472*EFEITO!$Y$472</f>
        <v>0</v>
      </c>
      <c r="K472" s="56">
        <f ca="1">EFEITO!$L$472*EFEITO!$Z$472</f>
        <v>369.48698668477721</v>
      </c>
      <c r="L472" s="56">
        <f>EFEITO!$N$472*EFEITO!$AA$472</f>
        <v>22.374050520361152</v>
      </c>
      <c r="M472" s="56">
        <f>$J$472-EFEITO!$K$472*EFEITO!$Y$472</f>
        <v>0</v>
      </c>
      <c r="N472" s="56">
        <f ca="1">$K$472-EFEITO!$M$472*EFEITO!$Z$472</f>
        <v>0</v>
      </c>
      <c r="O472" s="56">
        <f>$L$472-EFEITO!$O$472*EFEITO!$AA$472</f>
        <v>0</v>
      </c>
      <c r="P472" s="39"/>
      <c r="Q472" s="39"/>
      <c r="R472" s="39"/>
      <c r="S472" s="39"/>
      <c r="T472" s="39"/>
      <c r="U472" s="39"/>
      <c r="V472" s="39"/>
      <c r="W472" s="39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35" t="s">
        <v>21</v>
      </c>
      <c r="B473" s="35" t="s">
        <v>37</v>
      </c>
      <c r="C473" s="35" t="s">
        <v>33</v>
      </c>
      <c r="D473" s="35" t="s">
        <v>38</v>
      </c>
      <c r="E473" s="35" t="s">
        <v>25</v>
      </c>
      <c r="F473" s="35" t="s">
        <v>25</v>
      </c>
      <c r="G473" s="35" t="s">
        <v>25</v>
      </c>
      <c r="H473" s="35" t="s">
        <v>36</v>
      </c>
      <c r="I473" s="55">
        <v>44593</v>
      </c>
      <c r="J473" s="56">
        <f>EFEITO!$J$473*EFEITO!$Y$473</f>
        <v>0</v>
      </c>
      <c r="K473" s="56">
        <f ca="1">EFEITO!$L$473*EFEITO!$Z$473</f>
        <v>458.31835282153548</v>
      </c>
      <c r="L473" s="56">
        <f>EFEITO!$N$473*EFEITO!$AA$473</f>
        <v>27.753177648949723</v>
      </c>
      <c r="M473" s="56">
        <f>$J$473-EFEITO!$K$473*EFEITO!$Y$473</f>
        <v>0</v>
      </c>
      <c r="N473" s="56">
        <f ca="1">$K$473-EFEITO!$M$473*EFEITO!$Z$473</f>
        <v>0</v>
      </c>
      <c r="O473" s="56">
        <f>$L$473-EFEITO!$O$473*EFEITO!$AA$473</f>
        <v>0</v>
      </c>
      <c r="P473" s="39"/>
      <c r="Q473" s="39"/>
      <c r="R473" s="39"/>
      <c r="S473" s="39"/>
      <c r="T473" s="39"/>
      <c r="U473" s="39"/>
      <c r="V473" s="39"/>
      <c r="W473" s="39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35" t="s">
        <v>21</v>
      </c>
      <c r="B474" s="35" t="s">
        <v>37</v>
      </c>
      <c r="C474" s="35" t="s">
        <v>33</v>
      </c>
      <c r="D474" s="35" t="s">
        <v>38</v>
      </c>
      <c r="E474" s="35" t="s">
        <v>25</v>
      </c>
      <c r="F474" s="35" t="s">
        <v>25</v>
      </c>
      <c r="G474" s="35" t="s">
        <v>25</v>
      </c>
      <c r="H474" s="35" t="s">
        <v>36</v>
      </c>
      <c r="I474" s="55">
        <v>44621</v>
      </c>
      <c r="J474" s="56">
        <f>EFEITO!$J$474*EFEITO!$Y$474</f>
        <v>0</v>
      </c>
      <c r="K474" s="56">
        <f ca="1">EFEITO!$L$474*EFEITO!$Z$474</f>
        <v>444.15683068379144</v>
      </c>
      <c r="L474" s="56">
        <f>EFEITO!$N$474*EFEITO!$AA$474</f>
        <v>26.89563564294285</v>
      </c>
      <c r="M474" s="56">
        <f>$J$474-EFEITO!$K$474*EFEITO!$Y$474</f>
        <v>0</v>
      </c>
      <c r="N474" s="56">
        <f ca="1">$K$474-EFEITO!$M$474*EFEITO!$Z$474</f>
        <v>0</v>
      </c>
      <c r="O474" s="56">
        <f>$L$474-EFEITO!$O$474*EFEITO!$AA$474</f>
        <v>0</v>
      </c>
      <c r="P474" s="39"/>
      <c r="Q474" s="39"/>
      <c r="R474" s="39"/>
      <c r="S474" s="39"/>
      <c r="T474" s="39"/>
      <c r="U474" s="39"/>
      <c r="V474" s="39"/>
      <c r="W474" s="39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35" t="s">
        <v>21</v>
      </c>
      <c r="B475" s="35" t="s">
        <v>37</v>
      </c>
      <c r="C475" s="35" t="s">
        <v>33</v>
      </c>
      <c r="D475" s="35" t="s">
        <v>38</v>
      </c>
      <c r="E475" s="35" t="s">
        <v>25</v>
      </c>
      <c r="F475" s="35" t="s">
        <v>25</v>
      </c>
      <c r="G475" s="35" t="s">
        <v>25</v>
      </c>
      <c r="H475" s="35" t="s">
        <v>36</v>
      </c>
      <c r="I475" s="55">
        <v>44652</v>
      </c>
      <c r="J475" s="56">
        <f>EFEITO!$J$475*EFEITO!$Y$475</f>
        <v>0</v>
      </c>
      <c r="K475" s="56">
        <f ca="1">EFEITO!$L$475*EFEITO!$Z$475</f>
        <v>209.84800985929857</v>
      </c>
      <c r="L475" s="56">
        <f>EFEITO!$N$475*EFEITO!$AA$475</f>
        <v>12.707213361738217</v>
      </c>
      <c r="M475" s="56">
        <f>$J$475-EFEITO!$K$475*EFEITO!$Y$475</f>
        <v>0</v>
      </c>
      <c r="N475" s="56">
        <f ca="1">$K$475-EFEITO!$M$475*EFEITO!$Z$475</f>
        <v>0</v>
      </c>
      <c r="O475" s="56">
        <f>$L$475-EFEITO!$O$475*EFEITO!$AA$475</f>
        <v>0</v>
      </c>
      <c r="P475" s="39"/>
      <c r="Q475" s="39"/>
      <c r="R475" s="39"/>
      <c r="S475" s="39"/>
      <c r="T475" s="39"/>
      <c r="U475" s="39"/>
      <c r="V475" s="39"/>
      <c r="W475" s="39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35" t="s">
        <v>21</v>
      </c>
      <c r="B476" s="35" t="s">
        <v>37</v>
      </c>
      <c r="C476" s="35" t="s">
        <v>33</v>
      </c>
      <c r="D476" s="35" t="s">
        <v>38</v>
      </c>
      <c r="E476" s="35" t="s">
        <v>25</v>
      </c>
      <c r="F476" s="35" t="s">
        <v>25</v>
      </c>
      <c r="G476" s="35" t="s">
        <v>25</v>
      </c>
      <c r="H476" s="35" t="s">
        <v>36</v>
      </c>
      <c r="I476" s="55">
        <v>44682</v>
      </c>
      <c r="J476" s="56">
        <f>EFEITO!$J$476*EFEITO!$Y$476</f>
        <v>0</v>
      </c>
      <c r="K476" s="56">
        <f ca="1">EFEITO!$L$476*EFEITO!$Z$476</f>
        <v>252.33257627253082</v>
      </c>
      <c r="L476" s="56">
        <f>EFEITO!$N$476*EFEITO!$AA$476</f>
        <v>15.279839379758839</v>
      </c>
      <c r="M476" s="56">
        <f>$J$476-EFEITO!$K$476*EFEITO!$Y$476</f>
        <v>0</v>
      </c>
      <c r="N476" s="56">
        <f ca="1">$K$476-EFEITO!$M$476*EFEITO!$Z$476</f>
        <v>0</v>
      </c>
      <c r="O476" s="56">
        <f>$L$476-EFEITO!$O$476*EFEITO!$AA$476</f>
        <v>0</v>
      </c>
      <c r="P476" s="39"/>
      <c r="Q476" s="39"/>
      <c r="R476" s="39"/>
      <c r="S476" s="39"/>
      <c r="T476" s="39"/>
      <c r="U476" s="39"/>
      <c r="V476" s="39"/>
      <c r="W476" s="39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35" t="s">
        <v>21</v>
      </c>
      <c r="B477" s="35" t="s">
        <v>37</v>
      </c>
      <c r="C477" s="35" t="s">
        <v>33</v>
      </c>
      <c r="D477" s="35" t="s">
        <v>38</v>
      </c>
      <c r="E477" s="35" t="s">
        <v>25</v>
      </c>
      <c r="F477" s="35" t="s">
        <v>25</v>
      </c>
      <c r="G477" s="35" t="s">
        <v>25</v>
      </c>
      <c r="H477" s="35" t="s">
        <v>36</v>
      </c>
      <c r="I477" s="55">
        <v>44713</v>
      </c>
      <c r="J477" s="56">
        <f>EFEITO!$J$477*EFEITO!$Y$477</f>
        <v>0</v>
      </c>
      <c r="K477" s="56">
        <f ca="1">EFEITO!$L$477*EFEITO!$Z$477</f>
        <v>177.66273227351658</v>
      </c>
      <c r="L477" s="56">
        <f>EFEITO!$N$477*EFEITO!$AA$477</f>
        <v>10.758254257177141</v>
      </c>
      <c r="M477" s="56">
        <f>$J$477-EFEITO!$K$477*EFEITO!$Y$477</f>
        <v>0</v>
      </c>
      <c r="N477" s="56">
        <f ca="1">$K$477-EFEITO!$M$477*EFEITO!$Z$477</f>
        <v>0</v>
      </c>
      <c r="O477" s="56">
        <f>$L$477-EFEITO!$O$477*EFEITO!$AA$477</f>
        <v>0</v>
      </c>
      <c r="P477" s="39"/>
      <c r="Q477" s="39"/>
      <c r="R477" s="39"/>
      <c r="S477" s="39"/>
      <c r="T477" s="39"/>
      <c r="U477" s="39"/>
      <c r="V477" s="39"/>
      <c r="W477" s="39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35" t="s">
        <v>21</v>
      </c>
      <c r="B478" s="35" t="s">
        <v>37</v>
      </c>
      <c r="C478" s="35" t="s">
        <v>33</v>
      </c>
      <c r="D478" s="35" t="s">
        <v>38</v>
      </c>
      <c r="E478" s="35" t="s">
        <v>25</v>
      </c>
      <c r="F478" s="35" t="s">
        <v>25</v>
      </c>
      <c r="G478" s="35" t="s">
        <v>25</v>
      </c>
      <c r="H478" s="35" t="s">
        <v>36</v>
      </c>
      <c r="I478" s="55">
        <v>44743</v>
      </c>
      <c r="J478" s="56">
        <f>EFEITO!$J$478*EFEITO!$Y$478</f>
        <v>0</v>
      </c>
      <c r="K478" s="56">
        <f ca="1">EFEITO!$L$478*EFEITO!$Z$478</f>
        <v>141.61522137744075</v>
      </c>
      <c r="L478" s="56">
        <f>EFEITO!$N$478*EFEITO!$AA$478</f>
        <v>8.5754200600687351</v>
      </c>
      <c r="M478" s="56">
        <f>$J$478-EFEITO!$K$478*EFEITO!$Y$478</f>
        <v>0</v>
      </c>
      <c r="N478" s="56">
        <f ca="1">$K$478-EFEITO!$M$478*EFEITO!$Z$478</f>
        <v>0</v>
      </c>
      <c r="O478" s="56">
        <f>$L$478-EFEITO!$O$478*EFEITO!$AA$478</f>
        <v>0</v>
      </c>
      <c r="P478" s="39"/>
      <c r="Q478" s="39"/>
      <c r="R478" s="39"/>
      <c r="S478" s="39"/>
      <c r="T478" s="39"/>
      <c r="U478" s="39"/>
      <c r="V478" s="39"/>
      <c r="W478" s="39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35" t="s">
        <v>21</v>
      </c>
      <c r="B479" s="35" t="s">
        <v>37</v>
      </c>
      <c r="C479" s="35" t="s">
        <v>33</v>
      </c>
      <c r="D479" s="35" t="s">
        <v>38</v>
      </c>
      <c r="E479" s="35" t="s">
        <v>25</v>
      </c>
      <c r="F479" s="35" t="s">
        <v>25</v>
      </c>
      <c r="G479" s="35" t="s">
        <v>25</v>
      </c>
      <c r="H479" s="35" t="s">
        <v>36</v>
      </c>
      <c r="I479" s="55">
        <v>44774</v>
      </c>
      <c r="J479" s="56">
        <f>EFEITO!$J$479*EFEITO!$Y$479</f>
        <v>0</v>
      </c>
      <c r="K479" s="56">
        <f ca="1">EFEITO!$L$479*EFEITO!$Z$479</f>
        <v>176.37532117008533</v>
      </c>
      <c r="L479" s="56">
        <f>EFEITO!$N$479*EFEITO!$AA$479</f>
        <v>10.680295892994698</v>
      </c>
      <c r="M479" s="56">
        <f>$J$479-EFEITO!$K$479*EFEITO!$Y$479</f>
        <v>0</v>
      </c>
      <c r="N479" s="56">
        <f ca="1">$K$479-EFEITO!$M$479*EFEITO!$Z$479</f>
        <v>0</v>
      </c>
      <c r="O479" s="56">
        <f>$L$479-EFEITO!$O$479*EFEITO!$AA$479</f>
        <v>0</v>
      </c>
      <c r="P479" s="39"/>
      <c r="Q479" s="39"/>
      <c r="R479" s="39"/>
      <c r="S479" s="39"/>
      <c r="T479" s="39"/>
      <c r="U479" s="39"/>
      <c r="V479" s="39"/>
      <c r="W479" s="39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35" t="s">
        <v>21</v>
      </c>
      <c r="B480" s="35" t="s">
        <v>37</v>
      </c>
      <c r="C480" s="35" t="s">
        <v>33</v>
      </c>
      <c r="D480" s="35" t="s">
        <v>38</v>
      </c>
      <c r="E480" s="35" t="s">
        <v>25</v>
      </c>
      <c r="F480" s="35" t="s">
        <v>25</v>
      </c>
      <c r="G480" s="35" t="s">
        <v>25</v>
      </c>
      <c r="H480" s="35" t="s">
        <v>34</v>
      </c>
      <c r="I480" s="55">
        <v>44440</v>
      </c>
      <c r="J480" s="56">
        <f>EFEITO!$J$480*EFEITO!$Y$480</f>
        <v>0</v>
      </c>
      <c r="K480" s="56">
        <f ca="1">EFEITO!$L$480*EFEITO!$Z$480</f>
        <v>186.46694658107054</v>
      </c>
      <c r="L480" s="56">
        <f>EFEITO!$N$480*EFEITO!$AA$480</f>
        <v>7.0162527764198739</v>
      </c>
      <c r="M480" s="56">
        <f>$J$480-EFEITO!$K$480*EFEITO!$Y$480</f>
        <v>0</v>
      </c>
      <c r="N480" s="56">
        <f ca="1">$K$480-EFEITO!$M$480*EFEITO!$Z$480</f>
        <v>0</v>
      </c>
      <c r="O480" s="56">
        <f>$L$480-EFEITO!$O$480*EFEITO!$AA$480</f>
        <v>0</v>
      </c>
      <c r="P480" s="39"/>
      <c r="Q480" s="39"/>
      <c r="R480" s="39"/>
      <c r="S480" s="39"/>
      <c r="T480" s="39"/>
      <c r="U480" s="39"/>
      <c r="V480" s="39"/>
      <c r="W480" s="39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35" t="s">
        <v>21</v>
      </c>
      <c r="B481" s="35" t="s">
        <v>37</v>
      </c>
      <c r="C481" s="35" t="s">
        <v>33</v>
      </c>
      <c r="D481" s="35" t="s">
        <v>38</v>
      </c>
      <c r="E481" s="35" t="s">
        <v>25</v>
      </c>
      <c r="F481" s="35" t="s">
        <v>25</v>
      </c>
      <c r="G481" s="35" t="s">
        <v>25</v>
      </c>
      <c r="H481" s="35" t="s">
        <v>34</v>
      </c>
      <c r="I481" s="55">
        <v>44470</v>
      </c>
      <c r="J481" s="56">
        <f>EFEITO!$J$481*EFEITO!$Y$481</f>
        <v>0</v>
      </c>
      <c r="K481" s="56">
        <f ca="1">EFEITO!$L$481*EFEITO!$Z$481</f>
        <v>302.49082445373665</v>
      </c>
      <c r="L481" s="56">
        <f>EFEITO!$N$481*EFEITO!$AA$481</f>
        <v>11.381921170636684</v>
      </c>
      <c r="M481" s="56">
        <f>$J$481-EFEITO!$K$481*EFEITO!$Y$481</f>
        <v>0</v>
      </c>
      <c r="N481" s="56">
        <f ca="1">$K$481-EFEITO!$M$481*EFEITO!$Z$481</f>
        <v>0</v>
      </c>
      <c r="O481" s="56">
        <f>$L$481-EFEITO!$O$481*EFEITO!$AA$481</f>
        <v>0</v>
      </c>
      <c r="P481" s="39"/>
      <c r="Q481" s="39"/>
      <c r="R481" s="39"/>
      <c r="S481" s="39"/>
      <c r="T481" s="39"/>
      <c r="U481" s="39"/>
      <c r="V481" s="39"/>
      <c r="W481" s="39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35" t="s">
        <v>21</v>
      </c>
      <c r="B482" s="35" t="s">
        <v>37</v>
      </c>
      <c r="C482" s="35" t="s">
        <v>33</v>
      </c>
      <c r="D482" s="35" t="s">
        <v>38</v>
      </c>
      <c r="E482" s="35" t="s">
        <v>25</v>
      </c>
      <c r="F482" s="35" t="s">
        <v>25</v>
      </c>
      <c r="G482" s="35" t="s">
        <v>25</v>
      </c>
      <c r="H482" s="35" t="s">
        <v>34</v>
      </c>
      <c r="I482" s="55">
        <v>44501</v>
      </c>
      <c r="J482" s="56">
        <f>EFEITO!$J$482*EFEITO!$Y$482</f>
        <v>0</v>
      </c>
      <c r="K482" s="56">
        <f ca="1">EFEITO!$L$482*EFEITO!$Z$482</f>
        <v>225.83219085929656</v>
      </c>
      <c r="L482" s="56">
        <f>EFEITO!$N$482*EFEITO!$AA$482</f>
        <v>8.4974616958862921</v>
      </c>
      <c r="M482" s="56">
        <f>$J$482-EFEITO!$K$482*EFEITO!$Y$482</f>
        <v>0</v>
      </c>
      <c r="N482" s="56">
        <f ca="1">$K$482-EFEITO!$M$482*EFEITO!$Z$482</f>
        <v>0</v>
      </c>
      <c r="O482" s="56">
        <f>$L$482-EFEITO!$O$482*EFEITO!$AA$482</f>
        <v>0</v>
      </c>
      <c r="P482" s="39"/>
      <c r="Q482" s="39"/>
      <c r="R482" s="39"/>
      <c r="S482" s="39"/>
      <c r="T482" s="39"/>
      <c r="U482" s="39"/>
      <c r="V482" s="39"/>
      <c r="W482" s="39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35" t="s">
        <v>21</v>
      </c>
      <c r="B483" s="35" t="s">
        <v>37</v>
      </c>
      <c r="C483" s="35" t="s">
        <v>33</v>
      </c>
      <c r="D483" s="35" t="s">
        <v>38</v>
      </c>
      <c r="E483" s="35" t="s">
        <v>25</v>
      </c>
      <c r="F483" s="35" t="s">
        <v>25</v>
      </c>
      <c r="G483" s="35" t="s">
        <v>25</v>
      </c>
      <c r="H483" s="35" t="s">
        <v>34</v>
      </c>
      <c r="I483" s="55">
        <v>44531</v>
      </c>
      <c r="J483" s="56">
        <f>EFEITO!$J$483*EFEITO!$Y$483</f>
        <v>0</v>
      </c>
      <c r="K483" s="56">
        <f ca="1">EFEITO!$L$483*EFEITO!$Z$483</f>
        <v>372.93389316214109</v>
      </c>
      <c r="L483" s="56">
        <f>EFEITO!$N$483*EFEITO!$AA$483</f>
        <v>14.032505552839748</v>
      </c>
      <c r="M483" s="56">
        <f>$J$483-EFEITO!$K$483*EFEITO!$Y$483</f>
        <v>0</v>
      </c>
      <c r="N483" s="56">
        <f ca="1">$K$483-EFEITO!$M$483*EFEITO!$Z$483</f>
        <v>0</v>
      </c>
      <c r="O483" s="56">
        <f>$L$483-EFEITO!$O$483*EFEITO!$AA$483</f>
        <v>0</v>
      </c>
      <c r="P483" s="39"/>
      <c r="Q483" s="39"/>
      <c r="R483" s="39"/>
      <c r="S483" s="39"/>
      <c r="T483" s="39"/>
      <c r="U483" s="39"/>
      <c r="V483" s="39"/>
      <c r="W483" s="39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35" t="s">
        <v>21</v>
      </c>
      <c r="B484" s="35" t="s">
        <v>37</v>
      </c>
      <c r="C484" s="35" t="s">
        <v>33</v>
      </c>
      <c r="D484" s="35" t="s">
        <v>38</v>
      </c>
      <c r="E484" s="35" t="s">
        <v>25</v>
      </c>
      <c r="F484" s="35" t="s">
        <v>25</v>
      </c>
      <c r="G484" s="35" t="s">
        <v>25</v>
      </c>
      <c r="H484" s="35" t="s">
        <v>34</v>
      </c>
      <c r="I484" s="55">
        <v>44562</v>
      </c>
      <c r="J484" s="56">
        <f>EFEITO!$J$484*EFEITO!$Y$484</f>
        <v>0</v>
      </c>
      <c r="K484" s="56">
        <f ca="1">EFEITO!$L$484*EFEITO!$Z$484</f>
        <v>234.11961070734415</v>
      </c>
      <c r="L484" s="56">
        <f>EFEITO!$N$484*EFEITO!$AA$484</f>
        <v>8.8092951526160643</v>
      </c>
      <c r="M484" s="56">
        <f>$J$484-EFEITO!$K$484*EFEITO!$Y$484</f>
        <v>0</v>
      </c>
      <c r="N484" s="56">
        <f ca="1">$K$484-EFEITO!$M$484*EFEITO!$Z$484</f>
        <v>0</v>
      </c>
      <c r="O484" s="56">
        <f>$L$484-EFEITO!$O$484*EFEITO!$AA$484</f>
        <v>0</v>
      </c>
      <c r="P484" s="39"/>
      <c r="Q484" s="39"/>
      <c r="R484" s="39"/>
      <c r="S484" s="39"/>
      <c r="T484" s="39"/>
      <c r="U484" s="39"/>
      <c r="V484" s="39"/>
      <c r="W484" s="39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35" t="s">
        <v>21</v>
      </c>
      <c r="B485" s="35" t="s">
        <v>37</v>
      </c>
      <c r="C485" s="35" t="s">
        <v>33</v>
      </c>
      <c r="D485" s="35" t="s">
        <v>38</v>
      </c>
      <c r="E485" s="35" t="s">
        <v>25</v>
      </c>
      <c r="F485" s="35" t="s">
        <v>25</v>
      </c>
      <c r="G485" s="35" t="s">
        <v>25</v>
      </c>
      <c r="H485" s="35" t="s">
        <v>34</v>
      </c>
      <c r="I485" s="55">
        <v>44593</v>
      </c>
      <c r="J485" s="56">
        <f>EFEITO!$J$485*EFEITO!$Y$485</f>
        <v>0</v>
      </c>
      <c r="K485" s="56">
        <f ca="1">EFEITO!$L$485*EFEITO!$Z$485</f>
        <v>176.1076717710111</v>
      </c>
      <c r="L485" s="56">
        <f>EFEITO!$N$485*EFEITO!$AA$485</f>
        <v>6.6264609555076595</v>
      </c>
      <c r="M485" s="56">
        <f>$J$485-EFEITO!$K$485*EFEITO!$Y$485</f>
        <v>0</v>
      </c>
      <c r="N485" s="56">
        <f ca="1">$K$485-EFEITO!$M$485*EFEITO!$Z$485</f>
        <v>0</v>
      </c>
      <c r="O485" s="56">
        <f>$L$485-EFEITO!$O$485*EFEITO!$AA$485</f>
        <v>0</v>
      </c>
      <c r="P485" s="39"/>
      <c r="Q485" s="39"/>
      <c r="R485" s="39"/>
      <c r="S485" s="39"/>
      <c r="T485" s="39"/>
      <c r="U485" s="39"/>
      <c r="V485" s="39"/>
      <c r="W485" s="39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35" t="s">
        <v>21</v>
      </c>
      <c r="B486" s="35" t="s">
        <v>37</v>
      </c>
      <c r="C486" s="35" t="s">
        <v>33</v>
      </c>
      <c r="D486" s="35" t="s">
        <v>38</v>
      </c>
      <c r="E486" s="35" t="s">
        <v>25</v>
      </c>
      <c r="F486" s="35" t="s">
        <v>25</v>
      </c>
      <c r="G486" s="35" t="s">
        <v>25</v>
      </c>
      <c r="H486" s="35" t="s">
        <v>34</v>
      </c>
      <c r="I486" s="55">
        <v>44621</v>
      </c>
      <c r="J486" s="56">
        <f>EFEITO!$J$486*EFEITO!$Y$486</f>
        <v>0</v>
      </c>
      <c r="K486" s="56">
        <f ca="1">EFEITO!$L$486*EFEITO!$Z$486</f>
        <v>200.96993131515384</v>
      </c>
      <c r="L486" s="56">
        <f>EFEITO!$N$486*EFEITO!$AA$486</f>
        <v>7.5619613256969762</v>
      </c>
      <c r="M486" s="56">
        <f>$J$486-EFEITO!$K$486*EFEITO!$Y$486</f>
        <v>0</v>
      </c>
      <c r="N486" s="56">
        <f ca="1">$K$486-EFEITO!$M$486*EFEITO!$Z$486</f>
        <v>0</v>
      </c>
      <c r="O486" s="56">
        <f>$L$486-EFEITO!$O$486*EFEITO!$AA$486</f>
        <v>0</v>
      </c>
      <c r="P486" s="39"/>
      <c r="Q486" s="39"/>
      <c r="R486" s="39"/>
      <c r="S486" s="39"/>
      <c r="T486" s="39"/>
      <c r="U486" s="39"/>
      <c r="V486" s="39"/>
      <c r="W486" s="39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35" t="s">
        <v>21</v>
      </c>
      <c r="B487" s="35" t="s">
        <v>37</v>
      </c>
      <c r="C487" s="35" t="s">
        <v>33</v>
      </c>
      <c r="D487" s="35" t="s">
        <v>38</v>
      </c>
      <c r="E487" s="35" t="s">
        <v>25</v>
      </c>
      <c r="F487" s="35" t="s">
        <v>25</v>
      </c>
      <c r="G487" s="35" t="s">
        <v>25</v>
      </c>
      <c r="H487" s="35" t="s">
        <v>34</v>
      </c>
      <c r="I487" s="55">
        <v>44652</v>
      </c>
      <c r="J487" s="56">
        <f>EFEITO!$J$487*EFEITO!$Y$487</f>
        <v>0</v>
      </c>
      <c r="K487" s="56">
        <f ca="1">EFEITO!$L$487*EFEITO!$Z$487</f>
        <v>155.38912215089212</v>
      </c>
      <c r="L487" s="56">
        <f>EFEITO!$N$487*EFEITO!$AA$487</f>
        <v>5.8468773136832288</v>
      </c>
      <c r="M487" s="56">
        <f>$J$487-EFEITO!$K$487*EFEITO!$Y$487</f>
        <v>0</v>
      </c>
      <c r="N487" s="56">
        <f ca="1">$K$487-EFEITO!$M$487*EFEITO!$Z$487</f>
        <v>0</v>
      </c>
      <c r="O487" s="56">
        <f>$L$487-EFEITO!$O$487*EFEITO!$AA$487</f>
        <v>0</v>
      </c>
      <c r="P487" s="39"/>
      <c r="Q487" s="39"/>
      <c r="R487" s="39"/>
      <c r="S487" s="39"/>
      <c r="T487" s="39"/>
      <c r="U487" s="39"/>
      <c r="V487" s="39"/>
      <c r="W487" s="39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1.25" customHeight="1" x14ac:dyDescent="0.2">
      <c r="A488" s="35" t="s">
        <v>21</v>
      </c>
      <c r="B488" s="35" t="s">
        <v>37</v>
      </c>
      <c r="C488" s="35" t="s">
        <v>33</v>
      </c>
      <c r="D488" s="35" t="s">
        <v>38</v>
      </c>
      <c r="E488" s="35" t="s">
        <v>25</v>
      </c>
      <c r="F488" s="35" t="s">
        <v>25</v>
      </c>
      <c r="G488" s="35" t="s">
        <v>25</v>
      </c>
      <c r="H488" s="35" t="s">
        <v>34</v>
      </c>
      <c r="I488" s="55">
        <v>44682</v>
      </c>
      <c r="J488" s="56">
        <f>EFEITO!$J$488*EFEITO!$Y$488</f>
        <v>0</v>
      </c>
      <c r="K488" s="56">
        <f ca="1">EFEITO!$L$488*EFEITO!$Z$488</f>
        <v>132.59871756876129</v>
      </c>
      <c r="L488" s="56">
        <f>EFEITO!$N$488*EFEITO!$AA$488</f>
        <v>4.9893353076763551</v>
      </c>
      <c r="M488" s="56">
        <f>$J$488-EFEITO!$K$488*EFEITO!$Y$488</f>
        <v>0</v>
      </c>
      <c r="N488" s="56">
        <f ca="1">$K$488-EFEITO!$M$488*EFEITO!$Z$488</f>
        <v>0</v>
      </c>
      <c r="O488" s="56">
        <f>$L$488-EFEITO!$O$488*EFEITO!$AA$488</f>
        <v>0</v>
      </c>
      <c r="P488" s="39"/>
      <c r="Q488" s="39"/>
      <c r="R488" s="39"/>
      <c r="S488" s="39"/>
      <c r="T488" s="39"/>
      <c r="U488" s="39"/>
      <c r="V488" s="39"/>
      <c r="W488" s="39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1.25" customHeight="1" x14ac:dyDescent="0.2">
      <c r="A489" s="35" t="s">
        <v>21</v>
      </c>
      <c r="B489" s="35" t="s">
        <v>37</v>
      </c>
      <c r="C489" s="35" t="s">
        <v>33</v>
      </c>
      <c r="D489" s="35" t="s">
        <v>38</v>
      </c>
      <c r="E489" s="35" t="s">
        <v>25</v>
      </c>
      <c r="F489" s="35" t="s">
        <v>25</v>
      </c>
      <c r="G489" s="35" t="s">
        <v>25</v>
      </c>
      <c r="H489" s="35" t="s">
        <v>34</v>
      </c>
      <c r="I489" s="55">
        <v>44713</v>
      </c>
      <c r="J489" s="56">
        <f>EFEITO!$J$489*EFEITO!$Y$489</f>
        <v>0</v>
      </c>
      <c r="K489" s="56">
        <f ca="1">EFEITO!$L$489*EFEITO!$Z$489</f>
        <v>99.449038176570966</v>
      </c>
      <c r="L489" s="56">
        <f>EFEITO!$N$489*EFEITO!$AA$489</f>
        <v>3.7420014807572666</v>
      </c>
      <c r="M489" s="56">
        <f>$J$489-EFEITO!$K$489*EFEITO!$Y$489</f>
        <v>0</v>
      </c>
      <c r="N489" s="56">
        <f ca="1">$K$489-EFEITO!$M$489*EFEITO!$Z$489</f>
        <v>0</v>
      </c>
      <c r="O489" s="56">
        <f>$L$489-EFEITO!$O$489*EFEITO!$AA$489</f>
        <v>0</v>
      </c>
      <c r="P489" s="39"/>
      <c r="Q489" s="39"/>
      <c r="R489" s="39"/>
      <c r="S489" s="39"/>
      <c r="T489" s="39"/>
      <c r="U489" s="39"/>
      <c r="V489" s="39"/>
      <c r="W489" s="39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1.25" customHeight="1" x14ac:dyDescent="0.2">
      <c r="A490" s="35" t="s">
        <v>21</v>
      </c>
      <c r="B490" s="35" t="s">
        <v>37</v>
      </c>
      <c r="C490" s="35" t="s">
        <v>33</v>
      </c>
      <c r="D490" s="35" t="s">
        <v>38</v>
      </c>
      <c r="E490" s="35" t="s">
        <v>25</v>
      </c>
      <c r="F490" s="35" t="s">
        <v>25</v>
      </c>
      <c r="G490" s="35" t="s">
        <v>25</v>
      </c>
      <c r="H490" s="35" t="s">
        <v>34</v>
      </c>
      <c r="I490" s="55">
        <v>44743</v>
      </c>
      <c r="J490" s="56">
        <f>EFEITO!$J$490*EFEITO!$Y$490</f>
        <v>0</v>
      </c>
      <c r="K490" s="56">
        <f ca="1">EFEITO!$L$490*EFEITO!$Z$490</f>
        <v>103.59274810059476</v>
      </c>
      <c r="L490" s="56">
        <f>EFEITO!$N$490*EFEITO!$AA$490</f>
        <v>3.8979182091221527</v>
      </c>
      <c r="M490" s="56">
        <f>$J$490-EFEITO!$K$490*EFEITO!$Y$490</f>
        <v>0</v>
      </c>
      <c r="N490" s="56">
        <f ca="1">$K$490-EFEITO!$M$490*EFEITO!$Z$490</f>
        <v>0</v>
      </c>
      <c r="O490" s="56">
        <f>$L$490-EFEITO!$O$490*EFEITO!$AA$490</f>
        <v>0</v>
      </c>
      <c r="P490" s="39"/>
      <c r="Q490" s="39"/>
      <c r="R490" s="39"/>
      <c r="S490" s="39"/>
      <c r="T490" s="39"/>
      <c r="U490" s="39"/>
      <c r="V490" s="39"/>
      <c r="W490" s="39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1.25" customHeight="1" x14ac:dyDescent="0.2">
      <c r="A491" s="35" t="s">
        <v>21</v>
      </c>
      <c r="B491" s="35" t="s">
        <v>37</v>
      </c>
      <c r="C491" s="35" t="s">
        <v>33</v>
      </c>
      <c r="D491" s="35" t="s">
        <v>38</v>
      </c>
      <c r="E491" s="35" t="s">
        <v>25</v>
      </c>
      <c r="F491" s="35" t="s">
        <v>25</v>
      </c>
      <c r="G491" s="35" t="s">
        <v>25</v>
      </c>
      <c r="H491" s="35" t="s">
        <v>34</v>
      </c>
      <c r="I491" s="55">
        <v>44774</v>
      </c>
      <c r="J491" s="56">
        <f>EFEITO!$J$491*EFEITO!$Y$491</f>
        <v>0</v>
      </c>
      <c r="K491" s="56">
        <f ca="1">EFEITO!$L$491*EFEITO!$Z$491</f>
        <v>136.74242749278508</v>
      </c>
      <c r="L491" s="56">
        <f>EFEITO!$N$491*EFEITO!$AA$491</f>
        <v>5.1452520360412413</v>
      </c>
      <c r="M491" s="56">
        <f>$J$491-EFEITO!$K$491*EFEITO!$Y$491</f>
        <v>0</v>
      </c>
      <c r="N491" s="56">
        <f ca="1">$K$491-EFEITO!$M$491*EFEITO!$Z$491</f>
        <v>0</v>
      </c>
      <c r="O491" s="56">
        <f>$L$491-EFEITO!$O$491*EFEITO!$AA$491</f>
        <v>0</v>
      </c>
      <c r="P491" s="39"/>
      <c r="Q491" s="39"/>
      <c r="R491" s="39"/>
      <c r="S491" s="39"/>
      <c r="T491" s="39"/>
      <c r="U491" s="39"/>
      <c r="V491" s="39"/>
      <c r="W491" s="39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1.25" customHeight="1" x14ac:dyDescent="0.2">
      <c r="A492" s="35" t="s">
        <v>21</v>
      </c>
      <c r="B492" s="35" t="s">
        <v>37</v>
      </c>
      <c r="C492" s="35" t="s">
        <v>23</v>
      </c>
      <c r="D492" s="35" t="s">
        <v>41</v>
      </c>
      <c r="E492" s="35" t="s">
        <v>25</v>
      </c>
      <c r="F492" s="35" t="s">
        <v>25</v>
      </c>
      <c r="G492" s="35" t="s">
        <v>25</v>
      </c>
      <c r="H492" s="35" t="s">
        <v>25</v>
      </c>
      <c r="I492" s="55">
        <v>44440</v>
      </c>
      <c r="J492" s="56">
        <f>EFEITO!$J$492*EFEITO!$Y$492</f>
        <v>0</v>
      </c>
      <c r="K492" s="56">
        <f ca="1">EFEITO!$L$492*EFEITO!$Z$492</f>
        <v>573202.75483151071</v>
      </c>
      <c r="L492" s="56">
        <f>EFEITO!$N$492*EFEITO!$AA$492</f>
        <v>65787.582324644216</v>
      </c>
      <c r="M492" s="56">
        <f>$J$492-EFEITO!$K$492*EFEITO!$Y$492</f>
        <v>0</v>
      </c>
      <c r="N492" s="56">
        <f ca="1">$K$492-EFEITO!$M$492*EFEITO!$Z$492</f>
        <v>0</v>
      </c>
      <c r="O492" s="56">
        <f>$L$492-EFEITO!$O$492*EFEITO!$AA$492</f>
        <v>0</v>
      </c>
      <c r="P492" s="39"/>
      <c r="Q492" s="39"/>
      <c r="R492" s="39"/>
      <c r="S492" s="39"/>
      <c r="T492" s="39"/>
      <c r="U492" s="39"/>
      <c r="V492" s="39"/>
      <c r="W492" s="39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1.25" customHeight="1" x14ac:dyDescent="0.2">
      <c r="A493" s="35" t="s">
        <v>28</v>
      </c>
      <c r="B493" s="35" t="s">
        <v>37</v>
      </c>
      <c r="C493" s="35" t="s">
        <v>23</v>
      </c>
      <c r="D493" s="35" t="s">
        <v>41</v>
      </c>
      <c r="E493" s="35" t="s">
        <v>25</v>
      </c>
      <c r="F493" s="35" t="s">
        <v>25</v>
      </c>
      <c r="G493" s="35" t="s">
        <v>25</v>
      </c>
      <c r="H493" s="35" t="s">
        <v>25</v>
      </c>
      <c r="I493" s="55">
        <v>44440</v>
      </c>
      <c r="J493" s="56">
        <f>EFEITO!$J$493*EFEITO!$Y$493</f>
        <v>0</v>
      </c>
      <c r="K493" s="56">
        <f ca="1">EFEITO!$L$493*EFEITO!$Z$493</f>
        <v>39275.359546983062</v>
      </c>
      <c r="L493" s="56">
        <f>EFEITO!$N$493*EFEITO!$AA$493</f>
        <v>4507.7085337572225</v>
      </c>
      <c r="M493" s="56">
        <f>$J$493-EFEITO!$K$493*EFEITO!$Y$493</f>
        <v>0</v>
      </c>
      <c r="N493" s="56">
        <f ca="1">$K$493-EFEITO!$M$493*EFEITO!$Z$493</f>
        <v>0</v>
      </c>
      <c r="O493" s="56">
        <f>$L$493-EFEITO!$O$493*EFEITO!$AA$493</f>
        <v>0</v>
      </c>
      <c r="P493" s="39"/>
      <c r="Q493" s="39"/>
      <c r="R493" s="39"/>
      <c r="S493" s="39"/>
      <c r="T493" s="39"/>
      <c r="U493" s="39"/>
      <c r="V493" s="39"/>
      <c r="W493" s="39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1.25" customHeight="1" x14ac:dyDescent="0.2">
      <c r="A494" s="35" t="s">
        <v>21</v>
      </c>
      <c r="B494" s="35" t="s">
        <v>37</v>
      </c>
      <c r="C494" s="35" t="s">
        <v>23</v>
      </c>
      <c r="D494" s="35" t="s">
        <v>41</v>
      </c>
      <c r="E494" s="35" t="s">
        <v>25</v>
      </c>
      <c r="F494" s="35" t="s">
        <v>25</v>
      </c>
      <c r="G494" s="35" t="s">
        <v>25</v>
      </c>
      <c r="H494" s="35" t="s">
        <v>25</v>
      </c>
      <c r="I494" s="55">
        <v>44470</v>
      </c>
      <c r="J494" s="56">
        <f>EFEITO!$J$494*EFEITO!$Y$494</f>
        <v>0</v>
      </c>
      <c r="K494" s="56">
        <f ca="1">EFEITO!$L$494*EFEITO!$Z$494</f>
        <v>555200.69931503444</v>
      </c>
      <c r="L494" s="56">
        <f>EFEITO!$N$494*EFEITO!$AA$494</f>
        <v>63721.451798716938</v>
      </c>
      <c r="M494" s="56">
        <f>$J$494-EFEITO!$K$494*EFEITO!$Y$494</f>
        <v>0</v>
      </c>
      <c r="N494" s="56">
        <f ca="1">$K$494-EFEITO!$M$494*EFEITO!$Z$494</f>
        <v>0</v>
      </c>
      <c r="O494" s="56">
        <f>$L$494-EFEITO!$O$494*EFEITO!$AA$494</f>
        <v>0</v>
      </c>
      <c r="P494" s="39"/>
      <c r="Q494" s="39"/>
      <c r="R494" s="39"/>
      <c r="S494" s="39"/>
      <c r="T494" s="39"/>
      <c r="U494" s="39"/>
      <c r="V494" s="39"/>
      <c r="W494" s="39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1.25" customHeight="1" x14ac:dyDescent="0.2">
      <c r="A495" s="35" t="s">
        <v>28</v>
      </c>
      <c r="B495" s="35" t="s">
        <v>37</v>
      </c>
      <c r="C495" s="35" t="s">
        <v>23</v>
      </c>
      <c r="D495" s="35" t="s">
        <v>41</v>
      </c>
      <c r="E495" s="35" t="s">
        <v>25</v>
      </c>
      <c r="F495" s="35" t="s">
        <v>25</v>
      </c>
      <c r="G495" s="35" t="s">
        <v>25</v>
      </c>
      <c r="H495" s="35" t="s">
        <v>25</v>
      </c>
      <c r="I495" s="55">
        <v>44470</v>
      </c>
      <c r="J495" s="56">
        <f>EFEITO!$J$495*EFEITO!$Y$495</f>
        <v>0</v>
      </c>
      <c r="K495" s="56">
        <f ca="1">EFEITO!$L$495*EFEITO!$Z$495</f>
        <v>39924.039432967096</v>
      </c>
      <c r="L495" s="56">
        <f>EFEITO!$N$495*EFEITO!$AA$495</f>
        <v>4582.1587715514552</v>
      </c>
      <c r="M495" s="56">
        <f>$J$495-EFEITO!$K$495*EFEITO!$Y$495</f>
        <v>0</v>
      </c>
      <c r="N495" s="56">
        <f ca="1">$K$495-EFEITO!$M$495*EFEITO!$Z$495</f>
        <v>0</v>
      </c>
      <c r="O495" s="56">
        <f>$L$495-EFEITO!$O$495*EFEITO!$AA$495</f>
        <v>0</v>
      </c>
      <c r="P495" s="39"/>
      <c r="Q495" s="39"/>
      <c r="R495" s="39"/>
      <c r="S495" s="39"/>
      <c r="T495" s="39"/>
      <c r="U495" s="39"/>
      <c r="V495" s="39"/>
      <c r="W495" s="39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1.25" customHeight="1" x14ac:dyDescent="0.2">
      <c r="A496" s="35" t="s">
        <v>21</v>
      </c>
      <c r="B496" s="35" t="s">
        <v>37</v>
      </c>
      <c r="C496" s="35" t="s">
        <v>23</v>
      </c>
      <c r="D496" s="35" t="s">
        <v>41</v>
      </c>
      <c r="E496" s="35" t="s">
        <v>25</v>
      </c>
      <c r="F496" s="35" t="s">
        <v>25</v>
      </c>
      <c r="G496" s="35" t="s">
        <v>25</v>
      </c>
      <c r="H496" s="35" t="s">
        <v>25</v>
      </c>
      <c r="I496" s="55">
        <v>44501</v>
      </c>
      <c r="J496" s="56">
        <f>EFEITO!$J$496*EFEITO!$Y$496</f>
        <v>0</v>
      </c>
      <c r="K496" s="56">
        <f ca="1">EFEITO!$L$496*EFEITO!$Z$496</f>
        <v>604068.37022313429</v>
      </c>
      <c r="L496" s="56">
        <f>EFEITO!$N$496*EFEITO!$AA$496</f>
        <v>69330.088351458617</v>
      </c>
      <c r="M496" s="56">
        <f>$J$496-EFEITO!$K$496*EFEITO!$Y$496</f>
        <v>0</v>
      </c>
      <c r="N496" s="56">
        <f ca="1">$K$496-EFEITO!$M$496*EFEITO!$Z$496</f>
        <v>0</v>
      </c>
      <c r="O496" s="56">
        <f>$L$496-EFEITO!$O$496*EFEITO!$AA$496</f>
        <v>0</v>
      </c>
      <c r="P496" s="39"/>
      <c r="Q496" s="39"/>
      <c r="R496" s="39"/>
      <c r="S496" s="39"/>
      <c r="T496" s="39"/>
      <c r="U496" s="39"/>
      <c r="V496" s="39"/>
      <c r="W496" s="39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1.25" customHeight="1" x14ac:dyDescent="0.2">
      <c r="A497" s="35" t="s">
        <v>28</v>
      </c>
      <c r="B497" s="35" t="s">
        <v>37</v>
      </c>
      <c r="C497" s="35" t="s">
        <v>23</v>
      </c>
      <c r="D497" s="35" t="s">
        <v>41</v>
      </c>
      <c r="E497" s="35" t="s">
        <v>25</v>
      </c>
      <c r="F497" s="35" t="s">
        <v>25</v>
      </c>
      <c r="G497" s="35" t="s">
        <v>25</v>
      </c>
      <c r="H497" s="35" t="s">
        <v>25</v>
      </c>
      <c r="I497" s="55">
        <v>44501</v>
      </c>
      <c r="J497" s="56">
        <f>EFEITO!$J$497*EFEITO!$Y$497</f>
        <v>0</v>
      </c>
      <c r="K497" s="56">
        <f ca="1">EFEITO!$L$497*EFEITO!$Z$497</f>
        <v>28355.122345972257</v>
      </c>
      <c r="L497" s="56">
        <f>EFEITO!$N$497*EFEITO!$AA$497</f>
        <v>3254.3719127960849</v>
      </c>
      <c r="M497" s="56">
        <f>$J$497-EFEITO!$K$497*EFEITO!$Y$497</f>
        <v>0</v>
      </c>
      <c r="N497" s="56">
        <f ca="1">$K$497-EFEITO!$M$497*EFEITO!$Z$497</f>
        <v>0</v>
      </c>
      <c r="O497" s="56">
        <f>$L$497-EFEITO!$O$497*EFEITO!$AA$497</f>
        <v>0</v>
      </c>
      <c r="P497" s="39"/>
      <c r="Q497" s="39"/>
      <c r="R497" s="39"/>
      <c r="S497" s="39"/>
      <c r="T497" s="39"/>
      <c r="U497" s="39"/>
      <c r="V497" s="39"/>
      <c r="W497" s="39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1.25" customHeight="1" x14ac:dyDescent="0.2">
      <c r="A498" s="35" t="s">
        <v>21</v>
      </c>
      <c r="B498" s="35" t="s">
        <v>37</v>
      </c>
      <c r="C498" s="35" t="s">
        <v>23</v>
      </c>
      <c r="D498" s="35" t="s">
        <v>41</v>
      </c>
      <c r="E498" s="35" t="s">
        <v>25</v>
      </c>
      <c r="F498" s="35" t="s">
        <v>25</v>
      </c>
      <c r="G498" s="35" t="s">
        <v>25</v>
      </c>
      <c r="H498" s="35" t="s">
        <v>25</v>
      </c>
      <c r="I498" s="55">
        <v>44531</v>
      </c>
      <c r="J498" s="56">
        <f>EFEITO!$J$498*EFEITO!$Y$498</f>
        <v>0</v>
      </c>
      <c r="K498" s="56">
        <f ca="1">EFEITO!$L$498*EFEITO!$Z$498</f>
        <v>594018.92633503606</v>
      </c>
      <c r="L498" s="56">
        <f>EFEITO!$N$498*EFEITO!$AA$498</f>
        <v>68176.694353379382</v>
      </c>
      <c r="M498" s="56">
        <f>$J$498-EFEITO!$K$498*EFEITO!$Y$498</f>
        <v>0</v>
      </c>
      <c r="N498" s="56">
        <f ca="1">$K$498-EFEITO!$M$498*EFEITO!$Z$498</f>
        <v>0</v>
      </c>
      <c r="O498" s="56">
        <f>$L$498-EFEITO!$O$498*EFEITO!$AA$498</f>
        <v>0</v>
      </c>
      <c r="P498" s="39"/>
      <c r="Q498" s="39"/>
      <c r="R498" s="39"/>
      <c r="S498" s="39"/>
      <c r="T498" s="39"/>
      <c r="U498" s="39"/>
      <c r="V498" s="39"/>
      <c r="W498" s="39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1.25" customHeight="1" x14ac:dyDescent="0.2">
      <c r="A499" s="35" t="s">
        <v>28</v>
      </c>
      <c r="B499" s="35" t="s">
        <v>37</v>
      </c>
      <c r="C499" s="35" t="s">
        <v>23</v>
      </c>
      <c r="D499" s="35" t="s">
        <v>41</v>
      </c>
      <c r="E499" s="35" t="s">
        <v>25</v>
      </c>
      <c r="F499" s="35" t="s">
        <v>25</v>
      </c>
      <c r="G499" s="35" t="s">
        <v>25</v>
      </c>
      <c r="H499" s="35" t="s">
        <v>25</v>
      </c>
      <c r="I499" s="55">
        <v>44531</v>
      </c>
      <c r="J499" s="56">
        <f>EFEITO!$J$499*EFEITO!$Y$499</f>
        <v>0</v>
      </c>
      <c r="K499" s="56">
        <f ca="1">EFEITO!$L$499*EFEITO!$Z$499</f>
        <v>22299.644666864755</v>
      </c>
      <c r="L499" s="56">
        <f>EFEITO!$N$499*EFEITO!$AA$499</f>
        <v>2559.3730961096053</v>
      </c>
      <c r="M499" s="56">
        <f>$J$499-EFEITO!$K$499*EFEITO!$Y$499</f>
        <v>0</v>
      </c>
      <c r="N499" s="56">
        <f ca="1">$K$499-EFEITO!$M$499*EFEITO!$Z$499</f>
        <v>0</v>
      </c>
      <c r="O499" s="56">
        <f>$L$499-EFEITO!$O$499*EFEITO!$AA$499</f>
        <v>0</v>
      </c>
      <c r="P499" s="39"/>
      <c r="Q499" s="39"/>
      <c r="R499" s="39"/>
      <c r="S499" s="39"/>
      <c r="T499" s="39"/>
      <c r="U499" s="39"/>
      <c r="V499" s="39"/>
      <c r="W499" s="39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1.25" customHeight="1" x14ac:dyDescent="0.2">
      <c r="A500" s="35" t="s">
        <v>21</v>
      </c>
      <c r="B500" s="35" t="s">
        <v>37</v>
      </c>
      <c r="C500" s="35" t="s">
        <v>23</v>
      </c>
      <c r="D500" s="35" t="s">
        <v>41</v>
      </c>
      <c r="E500" s="35" t="s">
        <v>25</v>
      </c>
      <c r="F500" s="35" t="s">
        <v>25</v>
      </c>
      <c r="G500" s="35" t="s">
        <v>25</v>
      </c>
      <c r="H500" s="35" t="s">
        <v>25</v>
      </c>
      <c r="I500" s="55">
        <v>44562</v>
      </c>
      <c r="J500" s="56">
        <f>EFEITO!$J$500*EFEITO!$Y$500</f>
        <v>0</v>
      </c>
      <c r="K500" s="56">
        <f ca="1">EFEITO!$L$500*EFEITO!$Z$500</f>
        <v>877517.1686103536</v>
      </c>
      <c r="L500" s="56">
        <f>EFEITO!$N$500*EFEITO!$AA$500</f>
        <v>100714.33272893398</v>
      </c>
      <c r="M500" s="56">
        <f>$J$500-EFEITO!$K$500*EFEITO!$Y$500</f>
        <v>0</v>
      </c>
      <c r="N500" s="56">
        <f ca="1">$K$500-EFEITO!$M$500*EFEITO!$Z$500</f>
        <v>0</v>
      </c>
      <c r="O500" s="56">
        <f>$L$500-EFEITO!$O$500*EFEITO!$AA$500</f>
        <v>0</v>
      </c>
      <c r="P500" s="39"/>
      <c r="Q500" s="39"/>
      <c r="R500" s="39"/>
      <c r="S500" s="39"/>
      <c r="T500" s="39"/>
      <c r="U500" s="39"/>
      <c r="V500" s="39"/>
      <c r="W500" s="39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1.25" customHeight="1" x14ac:dyDescent="0.2">
      <c r="A501" s="35" t="s">
        <v>27</v>
      </c>
      <c r="B501" s="35" t="s">
        <v>37</v>
      </c>
      <c r="C501" s="35" t="s">
        <v>23</v>
      </c>
      <c r="D501" s="35" t="s">
        <v>41</v>
      </c>
      <c r="E501" s="35" t="s">
        <v>25</v>
      </c>
      <c r="F501" s="35" t="s">
        <v>25</v>
      </c>
      <c r="G501" s="35" t="s">
        <v>25</v>
      </c>
      <c r="H501" s="35" t="s">
        <v>25</v>
      </c>
      <c r="I501" s="55">
        <v>44562</v>
      </c>
      <c r="J501" s="56">
        <f>EFEITO!$J$501*EFEITO!$Y$501</f>
        <v>0</v>
      </c>
      <c r="K501" s="56">
        <f ca="1">EFEITO!$L$501*EFEITO!$Z$501</f>
        <v>-1837.3603053265051</v>
      </c>
      <c r="L501" s="56">
        <f>EFEITO!$N$501*EFEITO!$AA$501</f>
        <v>-210.87737511350846</v>
      </c>
      <c r="M501" s="56">
        <f>$J$501-EFEITO!$K$501*EFEITO!$Y$501</f>
        <v>0</v>
      </c>
      <c r="N501" s="56">
        <f ca="1">$K$501-EFEITO!$M$501*EFEITO!$Z$501</f>
        <v>0</v>
      </c>
      <c r="O501" s="56">
        <f>$L$501-EFEITO!$O$501*EFEITO!$AA$501</f>
        <v>0</v>
      </c>
      <c r="P501" s="39"/>
      <c r="Q501" s="39"/>
      <c r="R501" s="39"/>
      <c r="S501" s="39"/>
      <c r="T501" s="39"/>
      <c r="U501" s="39"/>
      <c r="V501" s="39"/>
      <c r="W501" s="39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1.25" customHeight="1" x14ac:dyDescent="0.2">
      <c r="A502" s="35" t="s">
        <v>28</v>
      </c>
      <c r="B502" s="35" t="s">
        <v>37</v>
      </c>
      <c r="C502" s="35" t="s">
        <v>23</v>
      </c>
      <c r="D502" s="35" t="s">
        <v>41</v>
      </c>
      <c r="E502" s="35" t="s">
        <v>25</v>
      </c>
      <c r="F502" s="35" t="s">
        <v>25</v>
      </c>
      <c r="G502" s="35" t="s">
        <v>25</v>
      </c>
      <c r="H502" s="35" t="s">
        <v>25</v>
      </c>
      <c r="I502" s="55">
        <v>44562</v>
      </c>
      <c r="J502" s="56">
        <f>EFEITO!$J$502*EFEITO!$Y$502</f>
        <v>0</v>
      </c>
      <c r="K502" s="56">
        <f ca="1">EFEITO!$L$502*EFEITO!$Z$502</f>
        <v>44347.28908482891</v>
      </c>
      <c r="L502" s="56">
        <f>EFEITO!$N$502*EFEITO!$AA$502</f>
        <v>5089.8236391075243</v>
      </c>
      <c r="M502" s="56">
        <f>$J$502-EFEITO!$K$502*EFEITO!$Y$502</f>
        <v>0</v>
      </c>
      <c r="N502" s="56">
        <f ca="1">$K$502-EFEITO!$M$502*EFEITO!$Z$502</f>
        <v>0</v>
      </c>
      <c r="O502" s="56">
        <f>$L$502-EFEITO!$O$502*EFEITO!$AA$502</f>
        <v>0</v>
      </c>
      <c r="P502" s="39"/>
      <c r="Q502" s="39"/>
      <c r="R502" s="39"/>
      <c r="S502" s="39"/>
      <c r="T502" s="39"/>
      <c r="U502" s="39"/>
      <c r="V502" s="39"/>
      <c r="W502" s="39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1.25" customHeight="1" x14ac:dyDescent="0.2">
      <c r="A503" s="35" t="s">
        <v>21</v>
      </c>
      <c r="B503" s="35" t="s">
        <v>37</v>
      </c>
      <c r="C503" s="35" t="s">
        <v>23</v>
      </c>
      <c r="D503" s="35" t="s">
        <v>41</v>
      </c>
      <c r="E503" s="35" t="s">
        <v>25</v>
      </c>
      <c r="F503" s="35" t="s">
        <v>25</v>
      </c>
      <c r="G503" s="35" t="s">
        <v>25</v>
      </c>
      <c r="H503" s="35" t="s">
        <v>25</v>
      </c>
      <c r="I503" s="55">
        <v>44593</v>
      </c>
      <c r="J503" s="56">
        <f>EFEITO!$J$503*EFEITO!$Y$503</f>
        <v>0</v>
      </c>
      <c r="K503" s="56">
        <f ca="1">EFEITO!$L$503*EFEITO!$Z$503</f>
        <v>913851.39317690651</v>
      </c>
      <c r="L503" s="56">
        <f>EFEITO!$N$503*EFEITO!$AA$503</f>
        <v>104884.48154578124</v>
      </c>
      <c r="M503" s="56">
        <f>$J$503-EFEITO!$K$503*EFEITO!$Y$503</f>
        <v>0</v>
      </c>
      <c r="N503" s="56">
        <f ca="1">$K$503-EFEITO!$M$503*EFEITO!$Z$503</f>
        <v>0</v>
      </c>
      <c r="O503" s="56">
        <f>$L$503-EFEITO!$O$503*EFEITO!$AA$503</f>
        <v>0</v>
      </c>
      <c r="P503" s="39"/>
      <c r="Q503" s="39"/>
      <c r="R503" s="39"/>
      <c r="S503" s="39"/>
      <c r="T503" s="39"/>
      <c r="U503" s="39"/>
      <c r="V503" s="39"/>
      <c r="W503" s="39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1.25" customHeight="1" x14ac:dyDescent="0.2">
      <c r="A504" s="35" t="s">
        <v>27</v>
      </c>
      <c r="B504" s="35" t="s">
        <v>37</v>
      </c>
      <c r="C504" s="35" t="s">
        <v>23</v>
      </c>
      <c r="D504" s="35" t="s">
        <v>41</v>
      </c>
      <c r="E504" s="35" t="s">
        <v>25</v>
      </c>
      <c r="F504" s="35" t="s">
        <v>25</v>
      </c>
      <c r="G504" s="35" t="s">
        <v>25</v>
      </c>
      <c r="H504" s="35" t="s">
        <v>25</v>
      </c>
      <c r="I504" s="55">
        <v>44593</v>
      </c>
      <c r="J504" s="56">
        <f>EFEITO!$J$504*EFEITO!$Y$504</f>
        <v>0</v>
      </c>
      <c r="K504" s="56">
        <f ca="1">EFEITO!$L$504*EFEITO!$Z$504</f>
        <v>-1574.4921211633416</v>
      </c>
      <c r="L504" s="56">
        <f>EFEITO!$N$504*EFEITO!$AA$504</f>
        <v>-180.70748817490301</v>
      </c>
      <c r="M504" s="56">
        <f>$J$504-EFEITO!$K$504*EFEITO!$Y$504</f>
        <v>0</v>
      </c>
      <c r="N504" s="56">
        <f ca="1">$K$504-EFEITO!$M$504*EFEITO!$Z$504</f>
        <v>0</v>
      </c>
      <c r="O504" s="56">
        <f>$L$504-EFEITO!$O$504*EFEITO!$AA$504</f>
        <v>0</v>
      </c>
      <c r="P504" s="39"/>
      <c r="Q504" s="39"/>
      <c r="R504" s="39"/>
      <c r="S504" s="39"/>
      <c r="T504" s="39"/>
      <c r="U504" s="39"/>
      <c r="V504" s="39"/>
      <c r="W504" s="39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1.25" customHeight="1" x14ac:dyDescent="0.2">
      <c r="A505" s="35" t="s">
        <v>21</v>
      </c>
      <c r="B505" s="35" t="s">
        <v>37</v>
      </c>
      <c r="C505" s="35" t="s">
        <v>23</v>
      </c>
      <c r="D505" s="35" t="s">
        <v>41</v>
      </c>
      <c r="E505" s="35" t="s">
        <v>25</v>
      </c>
      <c r="F505" s="35" t="s">
        <v>25</v>
      </c>
      <c r="G505" s="35" t="s">
        <v>25</v>
      </c>
      <c r="H505" s="35" t="s">
        <v>25</v>
      </c>
      <c r="I505" s="55">
        <v>44621</v>
      </c>
      <c r="J505" s="56">
        <f>EFEITO!$J$505*EFEITO!$Y$505</f>
        <v>0</v>
      </c>
      <c r="K505" s="56">
        <f ca="1">EFEITO!$L$505*EFEITO!$Z$505</f>
        <v>905178.10159143002</v>
      </c>
      <c r="L505" s="56">
        <f>EFEITO!$N$505*EFEITO!$AA$505</f>
        <v>103889.03119353563</v>
      </c>
      <c r="M505" s="56">
        <f>$J$505-EFEITO!$K$505*EFEITO!$Y$505</f>
        <v>0</v>
      </c>
      <c r="N505" s="56">
        <f ca="1">$K$505-EFEITO!$M$505*EFEITO!$Z$505</f>
        <v>0</v>
      </c>
      <c r="O505" s="56">
        <f>$L$505-EFEITO!$O$505*EFEITO!$AA$505</f>
        <v>0</v>
      </c>
      <c r="P505" s="39"/>
      <c r="Q505" s="39"/>
      <c r="R505" s="39"/>
      <c r="S505" s="39"/>
      <c r="T505" s="39"/>
      <c r="U505" s="39"/>
      <c r="V505" s="39"/>
      <c r="W505" s="39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1.25" customHeight="1" x14ac:dyDescent="0.2">
      <c r="A506" s="35" t="s">
        <v>28</v>
      </c>
      <c r="B506" s="35" t="s">
        <v>37</v>
      </c>
      <c r="C506" s="35" t="s">
        <v>23</v>
      </c>
      <c r="D506" s="35" t="s">
        <v>41</v>
      </c>
      <c r="E506" s="35" t="s">
        <v>25</v>
      </c>
      <c r="F506" s="35" t="s">
        <v>25</v>
      </c>
      <c r="G506" s="35" t="s">
        <v>25</v>
      </c>
      <c r="H506" s="35" t="s">
        <v>25</v>
      </c>
      <c r="I506" s="55">
        <v>44621</v>
      </c>
      <c r="J506" s="56">
        <f>EFEITO!$J$506*EFEITO!$Y$506</f>
        <v>0</v>
      </c>
      <c r="K506" s="56">
        <f ca="1">EFEITO!$L$506*EFEITO!$Z$506</f>
        <v>71259.69302469636</v>
      </c>
      <c r="L506" s="56">
        <f>EFEITO!$N$506*EFEITO!$AA$506</f>
        <v>8178.6119863800996</v>
      </c>
      <c r="M506" s="56">
        <f>$J$506-EFEITO!$K$506*EFEITO!$Y$506</f>
        <v>0</v>
      </c>
      <c r="N506" s="56">
        <f ca="1">$K$506-EFEITO!$M$506*EFEITO!$Z$506</f>
        <v>0</v>
      </c>
      <c r="O506" s="56">
        <f>$L$506-EFEITO!$O$506*EFEITO!$AA$506</f>
        <v>0</v>
      </c>
      <c r="P506" s="39"/>
      <c r="Q506" s="39"/>
      <c r="R506" s="39"/>
      <c r="S506" s="39"/>
      <c r="T506" s="39"/>
      <c r="U506" s="39"/>
      <c r="V506" s="39"/>
      <c r="W506" s="39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1.25" customHeight="1" x14ac:dyDescent="0.2">
      <c r="A507" s="35" t="s">
        <v>21</v>
      </c>
      <c r="B507" s="35" t="s">
        <v>37</v>
      </c>
      <c r="C507" s="35" t="s">
        <v>23</v>
      </c>
      <c r="D507" s="35" t="s">
        <v>41</v>
      </c>
      <c r="E507" s="35" t="s">
        <v>25</v>
      </c>
      <c r="F507" s="35" t="s">
        <v>25</v>
      </c>
      <c r="G507" s="35" t="s">
        <v>25</v>
      </c>
      <c r="H507" s="35" t="s">
        <v>25</v>
      </c>
      <c r="I507" s="55">
        <v>44652</v>
      </c>
      <c r="J507" s="56">
        <f>EFEITO!$J$507*EFEITO!$Y$507</f>
        <v>0</v>
      </c>
      <c r="K507" s="56">
        <f ca="1">EFEITO!$L$507*EFEITO!$Z$507</f>
        <v>691578.34344917303</v>
      </c>
      <c r="L507" s="56">
        <f>EFEITO!$N$507*EFEITO!$AA$507</f>
        <v>79373.776242539476</v>
      </c>
      <c r="M507" s="56">
        <f>$J$507-EFEITO!$K$507*EFEITO!$Y$507</f>
        <v>0</v>
      </c>
      <c r="N507" s="56">
        <f ca="1">$K$507-EFEITO!$M$507*EFEITO!$Z$507</f>
        <v>0</v>
      </c>
      <c r="O507" s="56">
        <f>$L$507-EFEITO!$O$507*EFEITO!$AA$507</f>
        <v>0</v>
      </c>
      <c r="P507" s="39"/>
      <c r="Q507" s="39"/>
      <c r="R507" s="39"/>
      <c r="S507" s="39"/>
      <c r="T507" s="39"/>
      <c r="U507" s="39"/>
      <c r="V507" s="39"/>
      <c r="W507" s="39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1.25" customHeight="1" x14ac:dyDescent="0.2">
      <c r="A508" s="35" t="s">
        <v>28</v>
      </c>
      <c r="B508" s="35" t="s">
        <v>37</v>
      </c>
      <c r="C508" s="35" t="s">
        <v>23</v>
      </c>
      <c r="D508" s="35" t="s">
        <v>41</v>
      </c>
      <c r="E508" s="35" t="s">
        <v>25</v>
      </c>
      <c r="F508" s="35" t="s">
        <v>25</v>
      </c>
      <c r="G508" s="35" t="s">
        <v>25</v>
      </c>
      <c r="H508" s="35" t="s">
        <v>25</v>
      </c>
      <c r="I508" s="55">
        <v>44652</v>
      </c>
      <c r="J508" s="56">
        <f>EFEITO!$J$508*EFEITO!$Y$508</f>
        <v>0</v>
      </c>
      <c r="K508" s="56">
        <f ca="1">EFEITO!$L$508*EFEITO!$Z$508</f>
        <v>44650.23278027276</v>
      </c>
      <c r="L508" s="56">
        <f>EFEITO!$N$508*EFEITO!$AA$508</f>
        <v>5124.5930695328934</v>
      </c>
      <c r="M508" s="56">
        <f>$J$508-EFEITO!$K$508*EFEITO!$Y$508</f>
        <v>0</v>
      </c>
      <c r="N508" s="56">
        <f ca="1">$K$508-EFEITO!$M$508*EFEITO!$Z$508</f>
        <v>0</v>
      </c>
      <c r="O508" s="56">
        <f>$L$508-EFEITO!$O$508*EFEITO!$AA$508</f>
        <v>0</v>
      </c>
      <c r="P508" s="39"/>
      <c r="Q508" s="39"/>
      <c r="R508" s="39"/>
      <c r="S508" s="39"/>
      <c r="T508" s="39"/>
      <c r="U508" s="39"/>
      <c r="V508" s="39"/>
      <c r="W508" s="39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1.25" customHeight="1" x14ac:dyDescent="0.2">
      <c r="A509" s="35" t="s">
        <v>21</v>
      </c>
      <c r="B509" s="35" t="s">
        <v>37</v>
      </c>
      <c r="C509" s="35" t="s">
        <v>23</v>
      </c>
      <c r="D509" s="35" t="s">
        <v>41</v>
      </c>
      <c r="E509" s="35" t="s">
        <v>25</v>
      </c>
      <c r="F509" s="35" t="s">
        <v>25</v>
      </c>
      <c r="G509" s="35" t="s">
        <v>25</v>
      </c>
      <c r="H509" s="35" t="s">
        <v>25</v>
      </c>
      <c r="I509" s="55">
        <v>44682</v>
      </c>
      <c r="J509" s="56">
        <f>EFEITO!$J$509*EFEITO!$Y$509</f>
        <v>0</v>
      </c>
      <c r="K509" s="56">
        <f ca="1">EFEITO!$L$509*EFEITO!$Z$509</f>
        <v>572033.09329887771</v>
      </c>
      <c r="L509" s="56">
        <f>EFEITO!$N$509*EFEITO!$AA$509</f>
        <v>65653.338021522053</v>
      </c>
      <c r="M509" s="56">
        <f>$J$509-EFEITO!$K$509*EFEITO!$Y$509</f>
        <v>0</v>
      </c>
      <c r="N509" s="56">
        <f ca="1">$K$509-EFEITO!$M$509*EFEITO!$Z$509</f>
        <v>0</v>
      </c>
      <c r="O509" s="56">
        <f>$L$509-EFEITO!$O$509*EFEITO!$AA$509</f>
        <v>0</v>
      </c>
      <c r="P509" s="39"/>
      <c r="Q509" s="39"/>
      <c r="R509" s="39"/>
      <c r="S509" s="39"/>
      <c r="T509" s="39"/>
      <c r="U509" s="39"/>
      <c r="V509" s="39"/>
      <c r="W509" s="39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1.25" customHeight="1" x14ac:dyDescent="0.2">
      <c r="A510" s="35" t="s">
        <v>28</v>
      </c>
      <c r="B510" s="35" t="s">
        <v>37</v>
      </c>
      <c r="C510" s="35" t="s">
        <v>23</v>
      </c>
      <c r="D510" s="35" t="s">
        <v>41</v>
      </c>
      <c r="E510" s="35" t="s">
        <v>25</v>
      </c>
      <c r="F510" s="35" t="s">
        <v>25</v>
      </c>
      <c r="G510" s="35" t="s">
        <v>25</v>
      </c>
      <c r="H510" s="35" t="s">
        <v>25</v>
      </c>
      <c r="I510" s="55">
        <v>44682</v>
      </c>
      <c r="J510" s="56">
        <f>EFEITO!$J$510*EFEITO!$Y$510</f>
        <v>0</v>
      </c>
      <c r="K510" s="56">
        <f ca="1">EFEITO!$L$510*EFEITO!$Z$510</f>
        <v>47909.254867132862</v>
      </c>
      <c r="L510" s="56">
        <f>EFEITO!$N$510*EFEITO!$AA$510</f>
        <v>5498.6373008802557</v>
      </c>
      <c r="M510" s="56">
        <f>$J$510-EFEITO!$K$510*EFEITO!$Y$510</f>
        <v>0</v>
      </c>
      <c r="N510" s="56">
        <f ca="1">$K$510-EFEITO!$M$510*EFEITO!$Z$510</f>
        <v>0</v>
      </c>
      <c r="O510" s="56">
        <f>$L$510-EFEITO!$O$510*EFEITO!$AA$510</f>
        <v>0</v>
      </c>
      <c r="P510" s="39"/>
      <c r="Q510" s="39"/>
      <c r="R510" s="39"/>
      <c r="S510" s="39"/>
      <c r="T510" s="39"/>
      <c r="U510" s="39"/>
      <c r="V510" s="39"/>
      <c r="W510" s="39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1.25" customHeight="1" x14ac:dyDescent="0.2">
      <c r="A511" s="35" t="s">
        <v>21</v>
      </c>
      <c r="B511" s="35" t="s">
        <v>37</v>
      </c>
      <c r="C511" s="35" t="s">
        <v>23</v>
      </c>
      <c r="D511" s="35" t="s">
        <v>41</v>
      </c>
      <c r="E511" s="35" t="s">
        <v>25</v>
      </c>
      <c r="F511" s="35" t="s">
        <v>25</v>
      </c>
      <c r="G511" s="35" t="s">
        <v>25</v>
      </c>
      <c r="H511" s="35" t="s">
        <v>25</v>
      </c>
      <c r="I511" s="55">
        <v>44713</v>
      </c>
      <c r="J511" s="56">
        <f>EFEITO!$J$511*EFEITO!$Y$511</f>
        <v>0</v>
      </c>
      <c r="K511" s="56">
        <f ca="1">EFEITO!$L$511*EFEITO!$Z$511</f>
        <v>551889.37528972328</v>
      </c>
      <c r="L511" s="56">
        <f>EFEITO!$N$511*EFEITO!$AA$511</f>
        <v>63341.404773327529</v>
      </c>
      <c r="M511" s="56">
        <f>$J$511-EFEITO!$K$511*EFEITO!$Y$511</f>
        <v>0</v>
      </c>
      <c r="N511" s="56">
        <f ca="1">$K$511-EFEITO!$M$511*EFEITO!$Z$511</f>
        <v>0</v>
      </c>
      <c r="O511" s="56">
        <f>$L$511-EFEITO!$O$511*EFEITO!$AA$511</f>
        <v>0</v>
      </c>
      <c r="P511" s="39"/>
      <c r="Q511" s="39"/>
      <c r="R511" s="39"/>
      <c r="S511" s="39"/>
      <c r="T511" s="39"/>
      <c r="U511" s="39"/>
      <c r="V511" s="39"/>
      <c r="W511" s="39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1.25" customHeight="1" x14ac:dyDescent="0.2">
      <c r="A512" s="35" t="s">
        <v>28</v>
      </c>
      <c r="B512" s="35" t="s">
        <v>37</v>
      </c>
      <c r="C512" s="35" t="s">
        <v>23</v>
      </c>
      <c r="D512" s="35" t="s">
        <v>41</v>
      </c>
      <c r="E512" s="35" t="s">
        <v>25</v>
      </c>
      <c r="F512" s="35" t="s">
        <v>25</v>
      </c>
      <c r="G512" s="35" t="s">
        <v>25</v>
      </c>
      <c r="H512" s="35" t="s">
        <v>25</v>
      </c>
      <c r="I512" s="55">
        <v>44713</v>
      </c>
      <c r="J512" s="56">
        <f>EFEITO!$J$512*EFEITO!$Y$512</f>
        <v>0</v>
      </c>
      <c r="K512" s="56">
        <f ca="1">EFEITO!$L$512*EFEITO!$Z$512</f>
        <v>52846.693706104532</v>
      </c>
      <c r="L512" s="56">
        <f>EFEITO!$N$512*EFEITO!$AA$512</f>
        <v>6065.316650122435</v>
      </c>
      <c r="M512" s="56">
        <f>$J$512-EFEITO!$K$512*EFEITO!$Y$512</f>
        <v>0</v>
      </c>
      <c r="N512" s="56">
        <f ca="1">$K$512-EFEITO!$M$512*EFEITO!$Z$512</f>
        <v>0</v>
      </c>
      <c r="O512" s="56">
        <f>$L$512-EFEITO!$O$512*EFEITO!$AA$512</f>
        <v>0</v>
      </c>
      <c r="P512" s="39"/>
      <c r="Q512" s="39"/>
      <c r="R512" s="39"/>
      <c r="S512" s="39"/>
      <c r="T512" s="39"/>
      <c r="U512" s="39"/>
      <c r="V512" s="39"/>
      <c r="W512" s="39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1.25" customHeight="1" x14ac:dyDescent="0.2">
      <c r="A513" s="35" t="s">
        <v>21</v>
      </c>
      <c r="B513" s="35" t="s">
        <v>37</v>
      </c>
      <c r="C513" s="35" t="s">
        <v>23</v>
      </c>
      <c r="D513" s="35" t="s">
        <v>41</v>
      </c>
      <c r="E513" s="35" t="s">
        <v>25</v>
      </c>
      <c r="F513" s="35" t="s">
        <v>25</v>
      </c>
      <c r="G513" s="35" t="s">
        <v>25</v>
      </c>
      <c r="H513" s="35" t="s">
        <v>25</v>
      </c>
      <c r="I513" s="55">
        <v>44743</v>
      </c>
      <c r="J513" s="56">
        <f>EFEITO!$J$513*EFEITO!$Y$513</f>
        <v>0</v>
      </c>
      <c r="K513" s="56">
        <f ca="1">EFEITO!$L$513*EFEITO!$Z$513</f>
        <v>490327.27674899972</v>
      </c>
      <c r="L513" s="56">
        <f>EFEITO!$N$513*EFEITO!$AA$513</f>
        <v>56275.804352380161</v>
      </c>
      <c r="M513" s="56">
        <f>$J$513-EFEITO!$K$513*EFEITO!$Y$513</f>
        <v>0</v>
      </c>
      <c r="N513" s="56">
        <f ca="1">$K$513-EFEITO!$M$513*EFEITO!$Z$513</f>
        <v>0</v>
      </c>
      <c r="O513" s="56">
        <f>$L$513-EFEITO!$O$513*EFEITO!$AA$513</f>
        <v>0</v>
      </c>
      <c r="P513" s="39"/>
      <c r="Q513" s="39"/>
      <c r="R513" s="39"/>
      <c r="S513" s="39"/>
      <c r="T513" s="39"/>
      <c r="U513" s="39"/>
      <c r="V513" s="39"/>
      <c r="W513" s="39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1.25" customHeight="1" x14ac:dyDescent="0.2">
      <c r="A514" s="35" t="s">
        <v>28</v>
      </c>
      <c r="B514" s="35" t="s">
        <v>37</v>
      </c>
      <c r="C514" s="35" t="s">
        <v>23</v>
      </c>
      <c r="D514" s="35" t="s">
        <v>41</v>
      </c>
      <c r="E514" s="35" t="s">
        <v>25</v>
      </c>
      <c r="F514" s="35" t="s">
        <v>25</v>
      </c>
      <c r="G514" s="35" t="s">
        <v>25</v>
      </c>
      <c r="H514" s="35" t="s">
        <v>25</v>
      </c>
      <c r="I514" s="55">
        <v>44743</v>
      </c>
      <c r="J514" s="56">
        <f>EFEITO!$J$514*EFEITO!$Y$514</f>
        <v>0</v>
      </c>
      <c r="K514" s="56">
        <f ca="1">EFEITO!$L$514*EFEITO!$Z$514</f>
        <v>56746.244727501748</v>
      </c>
      <c r="L514" s="56">
        <f>EFEITO!$N$514*EFEITO!$AA$514</f>
        <v>6512.8756188938405</v>
      </c>
      <c r="M514" s="56">
        <f>$J$514-EFEITO!$K$514*EFEITO!$Y$514</f>
        <v>0</v>
      </c>
      <c r="N514" s="56">
        <f ca="1">$K$514-EFEITO!$M$514*EFEITO!$Z$514</f>
        <v>0</v>
      </c>
      <c r="O514" s="56">
        <f>$L$514-EFEITO!$O$514*EFEITO!$AA$514</f>
        <v>0</v>
      </c>
      <c r="P514" s="39"/>
      <c r="Q514" s="39"/>
      <c r="R514" s="39"/>
      <c r="S514" s="39"/>
      <c r="T514" s="39"/>
      <c r="U514" s="39"/>
      <c r="V514" s="39"/>
      <c r="W514" s="39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1.25" customHeight="1" x14ac:dyDescent="0.2">
      <c r="A515" s="35" t="s">
        <v>21</v>
      </c>
      <c r="B515" s="35" t="s">
        <v>37</v>
      </c>
      <c r="C515" s="35" t="s">
        <v>23</v>
      </c>
      <c r="D515" s="35" t="s">
        <v>41</v>
      </c>
      <c r="E515" s="35" t="s">
        <v>25</v>
      </c>
      <c r="F515" s="35" t="s">
        <v>25</v>
      </c>
      <c r="G515" s="35" t="s">
        <v>25</v>
      </c>
      <c r="H515" s="35" t="s">
        <v>25</v>
      </c>
      <c r="I515" s="55">
        <v>44774</v>
      </c>
      <c r="J515" s="56">
        <f>EFEITO!$J$515*EFEITO!$Y$515</f>
        <v>0</v>
      </c>
      <c r="K515" s="56">
        <f ca="1">EFEITO!$L$515*EFEITO!$Z$515</f>
        <v>555626.58652813605</v>
      </c>
      <c r="L515" s="56">
        <f>EFEITO!$N$515*EFEITO!$AA$515</f>
        <v>63770.331693059328</v>
      </c>
      <c r="M515" s="56">
        <f>$J$515-EFEITO!$K$515*EFEITO!$Y$515</f>
        <v>0</v>
      </c>
      <c r="N515" s="56">
        <f ca="1">$K$515-EFEITO!$M$515*EFEITO!$Z$515</f>
        <v>0</v>
      </c>
      <c r="O515" s="56">
        <f>$L$515-EFEITO!$O$515*EFEITO!$AA$515</f>
        <v>0</v>
      </c>
      <c r="P515" s="39"/>
      <c r="Q515" s="39"/>
      <c r="R515" s="39"/>
      <c r="S515" s="39"/>
      <c r="T515" s="39"/>
      <c r="U515" s="39"/>
      <c r="V515" s="39"/>
      <c r="W515" s="39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1.25" customHeight="1" x14ac:dyDescent="0.2">
      <c r="A516" s="35" t="s">
        <v>28</v>
      </c>
      <c r="B516" s="35" t="s">
        <v>37</v>
      </c>
      <c r="C516" s="35" t="s">
        <v>23</v>
      </c>
      <c r="D516" s="35" t="s">
        <v>41</v>
      </c>
      <c r="E516" s="35" t="s">
        <v>25</v>
      </c>
      <c r="F516" s="35" t="s">
        <v>25</v>
      </c>
      <c r="G516" s="35" t="s">
        <v>25</v>
      </c>
      <c r="H516" s="35" t="s">
        <v>25</v>
      </c>
      <c r="I516" s="55">
        <v>44774</v>
      </c>
      <c r="J516" s="56">
        <f>EFEITO!$J$516*EFEITO!$Y$516</f>
        <v>0</v>
      </c>
      <c r="K516" s="56">
        <f ca="1">EFEITO!$L$516*EFEITO!$Z$516</f>
        <v>51035.144747026607</v>
      </c>
      <c r="L516" s="56">
        <f>EFEITO!$N$516*EFEITO!$AA$516</f>
        <v>5857.4016928478586</v>
      </c>
      <c r="M516" s="56">
        <f>$J$516-EFEITO!$K$516*EFEITO!$Y$516</f>
        <v>0</v>
      </c>
      <c r="N516" s="56">
        <f ca="1">$K$516-EFEITO!$M$516*EFEITO!$Z$516</f>
        <v>0</v>
      </c>
      <c r="O516" s="56">
        <f>$L$516-EFEITO!$O$516*EFEITO!$AA$516</f>
        <v>0</v>
      </c>
      <c r="P516" s="39"/>
      <c r="Q516" s="39"/>
      <c r="R516" s="39"/>
      <c r="S516" s="39"/>
      <c r="T516" s="39"/>
      <c r="U516" s="39"/>
      <c r="V516" s="39"/>
      <c r="W516" s="39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1.25" customHeight="1" x14ac:dyDescent="0.2">
      <c r="A517" s="35" t="s">
        <v>21</v>
      </c>
      <c r="B517" s="35" t="s">
        <v>37</v>
      </c>
      <c r="C517" s="35" t="s">
        <v>23</v>
      </c>
      <c r="D517" s="35" t="s">
        <v>50</v>
      </c>
      <c r="E517" s="35" t="s">
        <v>25</v>
      </c>
      <c r="F517" s="35" t="s">
        <v>25</v>
      </c>
      <c r="G517" s="35" t="s">
        <v>25</v>
      </c>
      <c r="H517" s="35" t="s">
        <v>25</v>
      </c>
      <c r="I517" s="55">
        <v>44440</v>
      </c>
      <c r="J517" s="56">
        <f>EFEITO!$J$517*EFEITO!$Y$517</f>
        <v>0</v>
      </c>
      <c r="K517" s="56">
        <f ca="1">EFEITO!$L$517*EFEITO!$Z$517</f>
        <v>2651.7762040645753</v>
      </c>
      <c r="L517" s="56">
        <f>EFEITO!$N$517*EFEITO!$AA$517</f>
        <v>304.34945376825766</v>
      </c>
      <c r="M517" s="56">
        <f>$J$517-EFEITO!$K$517*EFEITO!$Y$517</f>
        <v>0</v>
      </c>
      <c r="N517" s="56">
        <f ca="1">$K$517-EFEITO!$M$517*EFEITO!$Z$517</f>
        <v>0</v>
      </c>
      <c r="O517" s="56">
        <f>$L$517-EFEITO!$O$517*EFEITO!$AA$517</f>
        <v>0</v>
      </c>
      <c r="P517" s="39"/>
      <c r="Q517" s="39"/>
      <c r="R517" s="39"/>
      <c r="S517" s="39"/>
      <c r="T517" s="39"/>
      <c r="U517" s="39"/>
      <c r="V517" s="39"/>
      <c r="W517" s="39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1.25" customHeight="1" x14ac:dyDescent="0.2">
      <c r="A518" s="35" t="s">
        <v>21</v>
      </c>
      <c r="B518" s="35" t="s">
        <v>37</v>
      </c>
      <c r="C518" s="35" t="s">
        <v>23</v>
      </c>
      <c r="D518" s="35" t="s">
        <v>50</v>
      </c>
      <c r="E518" s="35" t="s">
        <v>25</v>
      </c>
      <c r="F518" s="35" t="s">
        <v>25</v>
      </c>
      <c r="G518" s="35" t="s">
        <v>25</v>
      </c>
      <c r="H518" s="35" t="s">
        <v>25</v>
      </c>
      <c r="I518" s="55">
        <v>44470</v>
      </c>
      <c r="J518" s="56">
        <f>EFEITO!$J$518*EFEITO!$Y$518</f>
        <v>0</v>
      </c>
      <c r="K518" s="56">
        <f ca="1">EFEITO!$L$518*EFEITO!$Z$518</f>
        <v>2865.0594335923101</v>
      </c>
      <c r="L518" s="56">
        <f>EFEITO!$N$518*EFEITO!$AA$518</f>
        <v>328.8283801215448</v>
      </c>
      <c r="M518" s="56">
        <f>$J$518-EFEITO!$K$518*EFEITO!$Y$518</f>
        <v>0</v>
      </c>
      <c r="N518" s="56">
        <f ca="1">$K$518-EFEITO!$M$518*EFEITO!$Z$518</f>
        <v>0</v>
      </c>
      <c r="O518" s="56">
        <f>$L$518-EFEITO!$O$518*EFEITO!$AA$518</f>
        <v>0</v>
      </c>
      <c r="P518" s="39"/>
      <c r="Q518" s="39"/>
      <c r="R518" s="39"/>
      <c r="S518" s="39"/>
      <c r="T518" s="39"/>
      <c r="U518" s="39"/>
      <c r="V518" s="39"/>
      <c r="W518" s="39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1.25" customHeight="1" x14ac:dyDescent="0.2">
      <c r="A519" s="35" t="s">
        <v>21</v>
      </c>
      <c r="B519" s="35" t="s">
        <v>37</v>
      </c>
      <c r="C519" s="35" t="s">
        <v>23</v>
      </c>
      <c r="D519" s="35" t="s">
        <v>50</v>
      </c>
      <c r="E519" s="35" t="s">
        <v>25</v>
      </c>
      <c r="F519" s="35" t="s">
        <v>25</v>
      </c>
      <c r="G519" s="35" t="s">
        <v>25</v>
      </c>
      <c r="H519" s="35" t="s">
        <v>25</v>
      </c>
      <c r="I519" s="55">
        <v>44501</v>
      </c>
      <c r="J519" s="56">
        <f>EFEITO!$J$519*EFEITO!$Y$519</f>
        <v>0</v>
      </c>
      <c r="K519" s="56">
        <f ca="1">EFEITO!$L$519*EFEITO!$Z$519</f>
        <v>2814.115987049061</v>
      </c>
      <c r="L519" s="56">
        <f>EFEITO!$N$519*EFEITO!$AA$519</f>
        <v>322.98150280786155</v>
      </c>
      <c r="M519" s="56">
        <f>$J$519-EFEITO!$K$519*EFEITO!$Y$519</f>
        <v>0</v>
      </c>
      <c r="N519" s="56">
        <f ca="1">$K$519-EFEITO!$M$519*EFEITO!$Z$519</f>
        <v>0</v>
      </c>
      <c r="O519" s="56">
        <f>$L$519-EFEITO!$O$519*EFEITO!$AA$519</f>
        <v>0</v>
      </c>
      <c r="P519" s="39"/>
      <c r="Q519" s="39"/>
      <c r="R519" s="39"/>
      <c r="S519" s="39"/>
      <c r="T519" s="39"/>
      <c r="U519" s="39"/>
      <c r="V519" s="39"/>
      <c r="W519" s="39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1.25" customHeight="1" x14ac:dyDescent="0.2">
      <c r="A520" s="35" t="s">
        <v>21</v>
      </c>
      <c r="B520" s="35" t="s">
        <v>37</v>
      </c>
      <c r="C520" s="35" t="s">
        <v>23</v>
      </c>
      <c r="D520" s="35" t="s">
        <v>50</v>
      </c>
      <c r="E520" s="35" t="s">
        <v>25</v>
      </c>
      <c r="F520" s="35" t="s">
        <v>25</v>
      </c>
      <c r="G520" s="35" t="s">
        <v>25</v>
      </c>
      <c r="H520" s="35" t="s">
        <v>25</v>
      </c>
      <c r="I520" s="55">
        <v>44531</v>
      </c>
      <c r="J520" s="56">
        <f>EFEITO!$J$520*EFEITO!$Y$520</f>
        <v>0</v>
      </c>
      <c r="K520" s="56">
        <f ca="1">EFEITO!$L$520*EFEITO!$Z$520</f>
        <v>3701.8904488094099</v>
      </c>
      <c r="L520" s="56">
        <f>EFEITO!$N$520*EFEITO!$AA$520</f>
        <v>424.87308479431465</v>
      </c>
      <c r="M520" s="56">
        <f>$J$520-EFEITO!$K$520*EFEITO!$Y$520</f>
        <v>0</v>
      </c>
      <c r="N520" s="56">
        <f ca="1">$K$520-EFEITO!$M$520*EFEITO!$Z$520</f>
        <v>0</v>
      </c>
      <c r="O520" s="56">
        <f>$L$520-EFEITO!$O$520*EFEITO!$AA$520</f>
        <v>0</v>
      </c>
      <c r="P520" s="39"/>
      <c r="Q520" s="39"/>
      <c r="R520" s="39"/>
      <c r="S520" s="39"/>
      <c r="T520" s="39"/>
      <c r="U520" s="39"/>
      <c r="V520" s="39"/>
      <c r="W520" s="39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1.25" customHeight="1" x14ac:dyDescent="0.2">
      <c r="A521" s="35" t="s">
        <v>21</v>
      </c>
      <c r="B521" s="35" t="s">
        <v>37</v>
      </c>
      <c r="C521" s="35" t="s">
        <v>23</v>
      </c>
      <c r="D521" s="35" t="s">
        <v>50</v>
      </c>
      <c r="E521" s="35" t="s">
        <v>25</v>
      </c>
      <c r="F521" s="35" t="s">
        <v>25</v>
      </c>
      <c r="G521" s="35" t="s">
        <v>25</v>
      </c>
      <c r="H521" s="35" t="s">
        <v>25</v>
      </c>
      <c r="I521" s="55">
        <v>44562</v>
      </c>
      <c r="J521" s="56">
        <f>EFEITO!$J$521*EFEITO!$Y$521</f>
        <v>0</v>
      </c>
      <c r="K521" s="56">
        <f ca="1">EFEITO!$L$521*EFEITO!$Z$521</f>
        <v>4015.0228335619117</v>
      </c>
      <c r="L521" s="56">
        <f>EFEITO!$N$521*EFEITO!$AA$521</f>
        <v>460.81189068242082</v>
      </c>
      <c r="M521" s="56">
        <f>$J$521-EFEITO!$K$521*EFEITO!$Y$521</f>
        <v>0</v>
      </c>
      <c r="N521" s="56">
        <f ca="1">$K$521-EFEITO!$M$521*EFEITO!$Z$521</f>
        <v>0</v>
      </c>
      <c r="O521" s="56">
        <f>$L$521-EFEITO!$O$521*EFEITO!$AA$521</f>
        <v>0</v>
      </c>
      <c r="P521" s="39"/>
      <c r="Q521" s="39"/>
      <c r="R521" s="39"/>
      <c r="S521" s="39"/>
      <c r="T521" s="39"/>
      <c r="U521" s="39"/>
      <c r="V521" s="39"/>
      <c r="W521" s="39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1.25" customHeight="1" x14ac:dyDescent="0.2">
      <c r="A522" s="35" t="s">
        <v>21</v>
      </c>
      <c r="B522" s="35" t="s">
        <v>37</v>
      </c>
      <c r="C522" s="35" t="s">
        <v>23</v>
      </c>
      <c r="D522" s="35" t="s">
        <v>50</v>
      </c>
      <c r="E522" s="35" t="s">
        <v>25</v>
      </c>
      <c r="F522" s="35" t="s">
        <v>25</v>
      </c>
      <c r="G522" s="35" t="s">
        <v>25</v>
      </c>
      <c r="H522" s="35" t="s">
        <v>25</v>
      </c>
      <c r="I522" s="55">
        <v>44593</v>
      </c>
      <c r="J522" s="56">
        <f>EFEITO!$J$522*EFEITO!$Y$522</f>
        <v>0</v>
      </c>
      <c r="K522" s="56">
        <f ca="1">EFEITO!$L$522*EFEITO!$Z$522</f>
        <v>6005.2134785181634</v>
      </c>
      <c r="L522" s="56">
        <f>EFEITO!$N$522*EFEITO!$AA$522</f>
        <v>689.22989773697896</v>
      </c>
      <c r="M522" s="56">
        <f>$J$522-EFEITO!$K$522*EFEITO!$Y$522</f>
        <v>0</v>
      </c>
      <c r="N522" s="56">
        <f ca="1">$K$522-EFEITO!$M$522*EFEITO!$Z$522</f>
        <v>0</v>
      </c>
      <c r="O522" s="56">
        <f>$L$522-EFEITO!$O$522*EFEITO!$AA$522</f>
        <v>0</v>
      </c>
      <c r="P522" s="39"/>
      <c r="Q522" s="39"/>
      <c r="R522" s="39"/>
      <c r="S522" s="39"/>
      <c r="T522" s="39"/>
      <c r="U522" s="39"/>
      <c r="V522" s="39"/>
      <c r="W522" s="39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1.25" customHeight="1" x14ac:dyDescent="0.2">
      <c r="A523" s="35" t="s">
        <v>21</v>
      </c>
      <c r="B523" s="35" t="s">
        <v>37</v>
      </c>
      <c r="C523" s="35" t="s">
        <v>23</v>
      </c>
      <c r="D523" s="35" t="s">
        <v>50</v>
      </c>
      <c r="E523" s="35" t="s">
        <v>25</v>
      </c>
      <c r="F523" s="35" t="s">
        <v>25</v>
      </c>
      <c r="G523" s="35" t="s">
        <v>25</v>
      </c>
      <c r="H523" s="35" t="s">
        <v>25</v>
      </c>
      <c r="I523" s="55">
        <v>44621</v>
      </c>
      <c r="J523" s="56">
        <f>EFEITO!$J$523*EFEITO!$Y$523</f>
        <v>0</v>
      </c>
      <c r="K523" s="56">
        <f ca="1">EFEITO!$L$523*EFEITO!$Z$523</f>
        <v>4889.2123762440606</v>
      </c>
      <c r="L523" s="56">
        <f>EFEITO!$N$523*EFEITO!$AA$523</f>
        <v>561.14430538522504</v>
      </c>
      <c r="M523" s="56">
        <f>$J$523-EFEITO!$K$523*EFEITO!$Y$523</f>
        <v>0</v>
      </c>
      <c r="N523" s="56">
        <f ca="1">$K$523-EFEITO!$M$523*EFEITO!$Z$523</f>
        <v>0</v>
      </c>
      <c r="O523" s="56">
        <f>$L$523-EFEITO!$O$523*EFEITO!$AA$523</f>
        <v>0</v>
      </c>
      <c r="P523" s="39"/>
      <c r="Q523" s="39"/>
      <c r="R523" s="39"/>
      <c r="S523" s="39"/>
      <c r="T523" s="39"/>
      <c r="U523" s="39"/>
      <c r="V523" s="39"/>
      <c r="W523" s="39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1.25" customHeight="1" x14ac:dyDescent="0.2">
      <c r="A524" s="35" t="s">
        <v>21</v>
      </c>
      <c r="B524" s="35" t="s">
        <v>37</v>
      </c>
      <c r="C524" s="35" t="s">
        <v>23</v>
      </c>
      <c r="D524" s="35" t="s">
        <v>50</v>
      </c>
      <c r="E524" s="35" t="s">
        <v>25</v>
      </c>
      <c r="F524" s="35" t="s">
        <v>25</v>
      </c>
      <c r="G524" s="35" t="s">
        <v>25</v>
      </c>
      <c r="H524" s="35" t="s">
        <v>25</v>
      </c>
      <c r="I524" s="55">
        <v>44652</v>
      </c>
      <c r="J524" s="56">
        <f>EFEITO!$J$524*EFEITO!$Y$524</f>
        <v>0</v>
      </c>
      <c r="K524" s="56">
        <f ca="1">EFEITO!$L$524*EFEITO!$Z$524</f>
        <v>4264.9853446007855</v>
      </c>
      <c r="L524" s="56">
        <f>EFEITO!$N$524*EFEITO!$AA$524</f>
        <v>489.50056870155987</v>
      </c>
      <c r="M524" s="56">
        <f>$J$524-EFEITO!$K$524*EFEITO!$Y$524</f>
        <v>0</v>
      </c>
      <c r="N524" s="56">
        <f ca="1">$K$524-EFEITO!$M$524*EFEITO!$Z$524</f>
        <v>0</v>
      </c>
      <c r="O524" s="56">
        <f>$L$524-EFEITO!$O$524*EFEITO!$AA$524</f>
        <v>0</v>
      </c>
      <c r="P524" s="39"/>
      <c r="Q524" s="39"/>
      <c r="R524" s="39"/>
      <c r="S524" s="39"/>
      <c r="T524" s="39"/>
      <c r="U524" s="39"/>
      <c r="V524" s="39"/>
      <c r="W524" s="39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1.25" customHeight="1" x14ac:dyDescent="0.2">
      <c r="A525" s="35" t="s">
        <v>21</v>
      </c>
      <c r="B525" s="35" t="s">
        <v>37</v>
      </c>
      <c r="C525" s="35" t="s">
        <v>23</v>
      </c>
      <c r="D525" s="35" t="s">
        <v>50</v>
      </c>
      <c r="E525" s="35" t="s">
        <v>25</v>
      </c>
      <c r="F525" s="35" t="s">
        <v>25</v>
      </c>
      <c r="G525" s="35" t="s">
        <v>25</v>
      </c>
      <c r="H525" s="35" t="s">
        <v>25</v>
      </c>
      <c r="I525" s="55">
        <v>44682</v>
      </c>
      <c r="J525" s="56">
        <f>EFEITO!$J$525*EFEITO!$Y$525</f>
        <v>0</v>
      </c>
      <c r="K525" s="56">
        <f ca="1">EFEITO!$L$525*EFEITO!$Z$525</f>
        <v>3063.3992521340251</v>
      </c>
      <c r="L525" s="56">
        <f>EFEITO!$N$525*EFEITO!$AA$525</f>
        <v>351.59222246281814</v>
      </c>
      <c r="M525" s="56">
        <f>$J$525-EFEITO!$K$525*EFEITO!$Y$525</f>
        <v>0</v>
      </c>
      <c r="N525" s="56">
        <f ca="1">$K$525-EFEITO!$M$525*EFEITO!$Z$525</f>
        <v>0</v>
      </c>
      <c r="O525" s="56">
        <f>$L$525-EFEITO!$O$525*EFEITO!$AA$525</f>
        <v>0</v>
      </c>
      <c r="P525" s="39"/>
      <c r="Q525" s="39"/>
      <c r="R525" s="39"/>
      <c r="S525" s="39"/>
      <c r="T525" s="39"/>
      <c r="U525" s="39"/>
      <c r="V525" s="39"/>
      <c r="W525" s="39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1.25" customHeight="1" x14ac:dyDescent="0.2">
      <c r="A526" s="35" t="s">
        <v>21</v>
      </c>
      <c r="B526" s="35" t="s">
        <v>37</v>
      </c>
      <c r="C526" s="35" t="s">
        <v>23</v>
      </c>
      <c r="D526" s="35" t="s">
        <v>50</v>
      </c>
      <c r="E526" s="35" t="s">
        <v>25</v>
      </c>
      <c r="F526" s="35" t="s">
        <v>25</v>
      </c>
      <c r="G526" s="35" t="s">
        <v>25</v>
      </c>
      <c r="H526" s="35" t="s">
        <v>25</v>
      </c>
      <c r="I526" s="55">
        <v>44713</v>
      </c>
      <c r="J526" s="56">
        <f>EFEITO!$J$526*EFEITO!$Y$526</f>
        <v>0</v>
      </c>
      <c r="K526" s="56">
        <f ca="1">EFEITO!$L$526*EFEITO!$Z$526</f>
        <v>2816.8329708647016</v>
      </c>
      <c r="L526" s="56">
        <f>EFEITO!$N$526*EFEITO!$AA$526</f>
        <v>323.29333626459135</v>
      </c>
      <c r="M526" s="56">
        <f>$J$526-EFEITO!$K$526*EFEITO!$Y$526</f>
        <v>0</v>
      </c>
      <c r="N526" s="56">
        <f ca="1">$K$526-EFEITO!$M$526*EFEITO!$Z$526</f>
        <v>0</v>
      </c>
      <c r="O526" s="56">
        <f>$L$526-EFEITO!$O$526*EFEITO!$AA$526</f>
        <v>0</v>
      </c>
      <c r="P526" s="39"/>
      <c r="Q526" s="39"/>
      <c r="R526" s="39"/>
      <c r="S526" s="39"/>
      <c r="T526" s="39"/>
      <c r="U526" s="39"/>
      <c r="V526" s="39"/>
      <c r="W526" s="39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1.25" customHeight="1" x14ac:dyDescent="0.2">
      <c r="A527" s="35" t="s">
        <v>21</v>
      </c>
      <c r="B527" s="35" t="s">
        <v>37</v>
      </c>
      <c r="C527" s="35" t="s">
        <v>23</v>
      </c>
      <c r="D527" s="35" t="s">
        <v>50</v>
      </c>
      <c r="E527" s="35" t="s">
        <v>25</v>
      </c>
      <c r="F527" s="35" t="s">
        <v>25</v>
      </c>
      <c r="G527" s="35" t="s">
        <v>25</v>
      </c>
      <c r="H527" s="35" t="s">
        <v>25</v>
      </c>
      <c r="I527" s="55">
        <v>44743</v>
      </c>
      <c r="J527" s="56">
        <f>EFEITO!$J$527*EFEITO!$Y$527</f>
        <v>0</v>
      </c>
      <c r="K527" s="56">
        <f ca="1">EFEITO!$L$527*EFEITO!$Z$527</f>
        <v>2435.7759907212003</v>
      </c>
      <c r="L527" s="56">
        <f>EFEITO!$N$527*EFEITO!$AA$527</f>
        <v>279.55869395824078</v>
      </c>
      <c r="M527" s="56">
        <f>$J$527-EFEITO!$K$527*EFEITO!$Y$527</f>
        <v>0</v>
      </c>
      <c r="N527" s="56">
        <f ca="1">$K$527-EFEITO!$M$527*EFEITO!$Z$527</f>
        <v>0</v>
      </c>
      <c r="O527" s="56">
        <f>$L$527-EFEITO!$O$527*EFEITO!$AA$527</f>
        <v>0</v>
      </c>
      <c r="P527" s="39"/>
      <c r="Q527" s="39"/>
      <c r="R527" s="39"/>
      <c r="S527" s="39"/>
      <c r="T527" s="39"/>
      <c r="U527" s="39"/>
      <c r="V527" s="39"/>
      <c r="W527" s="39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1.25" customHeight="1" x14ac:dyDescent="0.2">
      <c r="A528" s="35" t="s">
        <v>21</v>
      </c>
      <c r="B528" s="35" t="s">
        <v>37</v>
      </c>
      <c r="C528" s="35" t="s">
        <v>23</v>
      </c>
      <c r="D528" s="35" t="s">
        <v>50</v>
      </c>
      <c r="E528" s="35" t="s">
        <v>25</v>
      </c>
      <c r="F528" s="35" t="s">
        <v>25</v>
      </c>
      <c r="G528" s="35" t="s">
        <v>25</v>
      </c>
      <c r="H528" s="35" t="s">
        <v>25</v>
      </c>
      <c r="I528" s="55">
        <v>44774</v>
      </c>
      <c r="J528" s="56">
        <f>EFEITO!$J$528*EFEITO!$Y$528</f>
        <v>0</v>
      </c>
      <c r="K528" s="56">
        <f ca="1">EFEITO!$L$528*EFEITO!$Z$528</f>
        <v>2828.3801520811708</v>
      </c>
      <c r="L528" s="56">
        <f>EFEITO!$N$528*EFEITO!$AA$528</f>
        <v>324.61862845569283</v>
      </c>
      <c r="M528" s="56">
        <f>$J$528-EFEITO!$K$528*EFEITO!$Y$528</f>
        <v>0</v>
      </c>
      <c r="N528" s="56">
        <f ca="1">$K$528-EFEITO!$M$528*EFEITO!$Z$528</f>
        <v>0</v>
      </c>
      <c r="O528" s="56">
        <f>$L$528-EFEITO!$O$528*EFEITO!$AA$528</f>
        <v>0</v>
      </c>
      <c r="P528" s="39"/>
      <c r="Q528" s="39"/>
      <c r="R528" s="39"/>
      <c r="S528" s="39"/>
      <c r="T528" s="39"/>
      <c r="U528" s="39"/>
      <c r="V528" s="39"/>
      <c r="W528" s="39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1.25" customHeight="1" x14ac:dyDescent="0.2">
      <c r="A529" s="35" t="s">
        <v>21</v>
      </c>
      <c r="B529" s="35" t="s">
        <v>37</v>
      </c>
      <c r="C529" s="35" t="s">
        <v>23</v>
      </c>
      <c r="D529" s="35" t="s">
        <v>38</v>
      </c>
      <c r="E529" s="35" t="s">
        <v>25</v>
      </c>
      <c r="F529" s="35" t="s">
        <v>25</v>
      </c>
      <c r="G529" s="35" t="s">
        <v>25</v>
      </c>
      <c r="H529" s="35" t="s">
        <v>25</v>
      </c>
      <c r="I529" s="55">
        <v>44440</v>
      </c>
      <c r="J529" s="56">
        <f>EFEITO!$J$529*EFEITO!$Y$529</f>
        <v>0</v>
      </c>
      <c r="K529" s="56">
        <f ca="1">EFEITO!$L$529*EFEITO!$Z$529</f>
        <v>38211.66038316003</v>
      </c>
      <c r="L529" s="56">
        <f>EFEITO!$N$529*EFEITO!$AA$529</f>
        <v>4385.6257354475165</v>
      </c>
      <c r="M529" s="56">
        <f>$J$529-EFEITO!$K$529*EFEITO!$Y$529</f>
        <v>0</v>
      </c>
      <c r="N529" s="56">
        <f ca="1">$K$529-EFEITO!$M$529*EFEITO!$Z$529</f>
        <v>0</v>
      </c>
      <c r="O529" s="56">
        <f>$L$529-EFEITO!$O$529*EFEITO!$AA$529</f>
        <v>0</v>
      </c>
      <c r="P529" s="39"/>
      <c r="Q529" s="39"/>
      <c r="R529" s="39"/>
      <c r="S529" s="39"/>
      <c r="T529" s="39"/>
      <c r="U529" s="39"/>
      <c r="V529" s="39"/>
      <c r="W529" s="39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1.25" customHeight="1" x14ac:dyDescent="0.2">
      <c r="A530" s="35" t="s">
        <v>28</v>
      </c>
      <c r="B530" s="35" t="s">
        <v>37</v>
      </c>
      <c r="C530" s="35" t="s">
        <v>23</v>
      </c>
      <c r="D530" s="35" t="s">
        <v>38</v>
      </c>
      <c r="E530" s="35" t="s">
        <v>25</v>
      </c>
      <c r="F530" s="35" t="s">
        <v>25</v>
      </c>
      <c r="G530" s="35" t="s">
        <v>25</v>
      </c>
      <c r="H530" s="35" t="s">
        <v>25</v>
      </c>
      <c r="I530" s="55">
        <v>44440</v>
      </c>
      <c r="J530" s="56">
        <f>EFEITO!$J$530*EFEITO!$Y$530</f>
        <v>0</v>
      </c>
      <c r="K530" s="56">
        <f ca="1">EFEITO!$L$530*EFEITO!$Z$530</f>
        <v>4578.7969753071984</v>
      </c>
      <c r="L530" s="56">
        <f>EFEITO!$N$530*EFEITO!$AA$530</f>
        <v>525.51733295384861</v>
      </c>
      <c r="M530" s="56">
        <f>$J$530-EFEITO!$K$530*EFEITO!$Y$530</f>
        <v>0</v>
      </c>
      <c r="N530" s="56">
        <f ca="1">$K$530-EFEITO!$M$530*EFEITO!$Z$530</f>
        <v>0</v>
      </c>
      <c r="O530" s="56">
        <f>$L$530-EFEITO!$O$530*EFEITO!$AA$530</f>
        <v>0</v>
      </c>
      <c r="P530" s="39"/>
      <c r="Q530" s="39"/>
      <c r="R530" s="39"/>
      <c r="S530" s="39"/>
      <c r="T530" s="39"/>
      <c r="U530" s="39"/>
      <c r="V530" s="39"/>
      <c r="W530" s="39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1.25" customHeight="1" x14ac:dyDescent="0.2">
      <c r="A531" s="35" t="s">
        <v>21</v>
      </c>
      <c r="B531" s="35" t="s">
        <v>37</v>
      </c>
      <c r="C531" s="35" t="s">
        <v>23</v>
      </c>
      <c r="D531" s="35" t="s">
        <v>38</v>
      </c>
      <c r="E531" s="35" t="s">
        <v>25</v>
      </c>
      <c r="F531" s="35" t="s">
        <v>25</v>
      </c>
      <c r="G531" s="35" t="s">
        <v>25</v>
      </c>
      <c r="H531" s="35" t="s">
        <v>25</v>
      </c>
      <c r="I531" s="55">
        <v>44470</v>
      </c>
      <c r="J531" s="56">
        <f>EFEITO!$J$531*EFEITO!$Y$531</f>
        <v>0</v>
      </c>
      <c r="K531" s="56">
        <f ca="1">EFEITO!$L$531*EFEITO!$Z$531</f>
        <v>36130.450780379841</v>
      </c>
      <c r="L531" s="56">
        <f>EFEITO!$N$531*EFEITO!$AA$531</f>
        <v>4146.761307592511</v>
      </c>
      <c r="M531" s="56">
        <f>$J$531-EFEITO!$K$531*EFEITO!$Y$531</f>
        <v>0</v>
      </c>
      <c r="N531" s="56">
        <f ca="1">$K$531-EFEITO!$M$531*EFEITO!$Z$531</f>
        <v>0</v>
      </c>
      <c r="O531" s="56">
        <f>$L$531-EFEITO!$O$531*EFEITO!$AA$531</f>
        <v>0</v>
      </c>
      <c r="P531" s="39"/>
      <c r="Q531" s="39"/>
      <c r="R531" s="39"/>
      <c r="S531" s="39"/>
      <c r="T531" s="39"/>
      <c r="U531" s="39"/>
      <c r="V531" s="39"/>
      <c r="W531" s="39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1.25" customHeight="1" x14ac:dyDescent="0.2">
      <c r="A532" s="35" t="s">
        <v>28</v>
      </c>
      <c r="B532" s="35" t="s">
        <v>37</v>
      </c>
      <c r="C532" s="35" t="s">
        <v>23</v>
      </c>
      <c r="D532" s="35" t="s">
        <v>38</v>
      </c>
      <c r="E532" s="35" t="s">
        <v>25</v>
      </c>
      <c r="F532" s="35" t="s">
        <v>25</v>
      </c>
      <c r="G532" s="35" t="s">
        <v>25</v>
      </c>
      <c r="H532" s="35" t="s">
        <v>25</v>
      </c>
      <c r="I532" s="55">
        <v>44470</v>
      </c>
      <c r="J532" s="56">
        <f>EFEITO!$J$532*EFEITO!$Y$532</f>
        <v>0</v>
      </c>
      <c r="K532" s="56">
        <f ca="1">EFEITO!$L$532*EFEITO!$Z$532</f>
        <v>9190.1977564020744</v>
      </c>
      <c r="L532" s="56">
        <f>EFEITO!$N$532*EFEITO!$AA$532</f>
        <v>1054.7766673884544</v>
      </c>
      <c r="M532" s="56">
        <f>$J$532-EFEITO!$K$532*EFEITO!$Y$532</f>
        <v>0</v>
      </c>
      <c r="N532" s="56">
        <f ca="1">$K$532-EFEITO!$M$532*EFEITO!$Z$532</f>
        <v>0</v>
      </c>
      <c r="O532" s="56">
        <f>$L$532-EFEITO!$O$532*EFEITO!$AA$532</f>
        <v>0</v>
      </c>
      <c r="P532" s="39"/>
      <c r="Q532" s="39"/>
      <c r="R532" s="39"/>
      <c r="S532" s="39"/>
      <c r="T532" s="39"/>
      <c r="U532" s="39"/>
      <c r="V532" s="39"/>
      <c r="W532" s="39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1.25" customHeight="1" x14ac:dyDescent="0.2">
      <c r="A533" s="35" t="s">
        <v>21</v>
      </c>
      <c r="B533" s="35" t="s">
        <v>37</v>
      </c>
      <c r="C533" s="35" t="s">
        <v>23</v>
      </c>
      <c r="D533" s="35" t="s">
        <v>38</v>
      </c>
      <c r="E533" s="35" t="s">
        <v>25</v>
      </c>
      <c r="F533" s="35" t="s">
        <v>25</v>
      </c>
      <c r="G533" s="35" t="s">
        <v>25</v>
      </c>
      <c r="H533" s="35" t="s">
        <v>25</v>
      </c>
      <c r="I533" s="55">
        <v>44501</v>
      </c>
      <c r="J533" s="56">
        <f>EFEITO!$J$533*EFEITO!$Y$533</f>
        <v>0</v>
      </c>
      <c r="K533" s="56">
        <f ca="1">EFEITO!$L$533*EFEITO!$Z$533</f>
        <v>38564.868279193222</v>
      </c>
      <c r="L533" s="56">
        <f>EFEITO!$N$533*EFEITO!$AA$533</f>
        <v>4426.1640848223869</v>
      </c>
      <c r="M533" s="56">
        <f>$J$533-EFEITO!$K$533*EFEITO!$Y$533</f>
        <v>0</v>
      </c>
      <c r="N533" s="56">
        <f ca="1">$K$533-EFEITO!$M$533*EFEITO!$Z$533</f>
        <v>0</v>
      </c>
      <c r="O533" s="56">
        <f>$L$533-EFEITO!$O$533*EFEITO!$AA$533</f>
        <v>0</v>
      </c>
      <c r="P533" s="39"/>
      <c r="Q533" s="39"/>
      <c r="R533" s="39"/>
      <c r="S533" s="39"/>
      <c r="T533" s="39"/>
      <c r="U533" s="39"/>
      <c r="V533" s="39"/>
      <c r="W533" s="39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1.25" customHeight="1" x14ac:dyDescent="0.2">
      <c r="A534" s="35" t="s">
        <v>28</v>
      </c>
      <c r="B534" s="35" t="s">
        <v>37</v>
      </c>
      <c r="C534" s="35" t="s">
        <v>23</v>
      </c>
      <c r="D534" s="35" t="s">
        <v>38</v>
      </c>
      <c r="E534" s="35" t="s">
        <v>25</v>
      </c>
      <c r="F534" s="35" t="s">
        <v>25</v>
      </c>
      <c r="G534" s="35" t="s">
        <v>25</v>
      </c>
      <c r="H534" s="35" t="s">
        <v>25</v>
      </c>
      <c r="I534" s="55">
        <v>44501</v>
      </c>
      <c r="J534" s="56">
        <f>EFEITO!$J$534*EFEITO!$Y$534</f>
        <v>0</v>
      </c>
      <c r="K534" s="56">
        <f ca="1">EFEITO!$L$534*EFEITO!$Z$534</f>
        <v>4786.6462372036531</v>
      </c>
      <c r="L534" s="56">
        <f>EFEITO!$N$534*EFEITO!$AA$534</f>
        <v>549.37259239367609</v>
      </c>
      <c r="M534" s="56">
        <f>$J$534-EFEITO!$K$534*EFEITO!$Y$534</f>
        <v>0</v>
      </c>
      <c r="N534" s="56">
        <f ca="1">$K$534-EFEITO!$M$534*EFEITO!$Z$534</f>
        <v>0</v>
      </c>
      <c r="O534" s="56">
        <f>$L$534-EFEITO!$O$534*EFEITO!$AA$534</f>
        <v>0</v>
      </c>
      <c r="P534" s="39"/>
      <c r="Q534" s="39"/>
      <c r="R534" s="39"/>
      <c r="S534" s="39"/>
      <c r="T534" s="39"/>
      <c r="U534" s="39"/>
      <c r="V534" s="39"/>
      <c r="W534" s="39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1.25" customHeight="1" x14ac:dyDescent="0.2">
      <c r="A535" s="35" t="s">
        <v>21</v>
      </c>
      <c r="B535" s="35" t="s">
        <v>37</v>
      </c>
      <c r="C535" s="35" t="s">
        <v>23</v>
      </c>
      <c r="D535" s="35" t="s">
        <v>38</v>
      </c>
      <c r="E535" s="35" t="s">
        <v>25</v>
      </c>
      <c r="F535" s="35" t="s">
        <v>25</v>
      </c>
      <c r="G535" s="35" t="s">
        <v>25</v>
      </c>
      <c r="H535" s="35" t="s">
        <v>25</v>
      </c>
      <c r="I535" s="55">
        <v>44531</v>
      </c>
      <c r="J535" s="56">
        <f>EFEITO!$J$535*EFEITO!$Y$535</f>
        <v>0</v>
      </c>
      <c r="K535" s="56">
        <f ca="1">EFEITO!$L$535*EFEITO!$Z$535</f>
        <v>37259.357555778231</v>
      </c>
      <c r="L535" s="56">
        <f>EFEITO!$N$535*EFEITO!$AA$535</f>
        <v>4276.3281088637314</v>
      </c>
      <c r="M535" s="56">
        <f>$J$535-EFEITO!$K$535*EFEITO!$Y$535</f>
        <v>0</v>
      </c>
      <c r="N535" s="56">
        <f ca="1">$K$535-EFEITO!$M$535*EFEITO!$Z$535</f>
        <v>0</v>
      </c>
      <c r="O535" s="56">
        <f>$L$535-EFEITO!$O$535*EFEITO!$AA$535</f>
        <v>0</v>
      </c>
      <c r="P535" s="39"/>
      <c r="Q535" s="39"/>
      <c r="R535" s="39"/>
      <c r="S535" s="39"/>
      <c r="T535" s="39"/>
      <c r="U535" s="39"/>
      <c r="V535" s="39"/>
      <c r="W535" s="39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1.25" customHeight="1" x14ac:dyDescent="0.2">
      <c r="A536" s="35" t="s">
        <v>28</v>
      </c>
      <c r="B536" s="35" t="s">
        <v>37</v>
      </c>
      <c r="C536" s="35" t="s">
        <v>23</v>
      </c>
      <c r="D536" s="35" t="s">
        <v>38</v>
      </c>
      <c r="E536" s="35" t="s">
        <v>25</v>
      </c>
      <c r="F536" s="35" t="s">
        <v>25</v>
      </c>
      <c r="G536" s="35" t="s">
        <v>25</v>
      </c>
      <c r="H536" s="35" t="s">
        <v>25</v>
      </c>
      <c r="I536" s="55">
        <v>44531</v>
      </c>
      <c r="J536" s="56">
        <f>EFEITO!$J$536*EFEITO!$Y$536</f>
        <v>0</v>
      </c>
      <c r="K536" s="56">
        <f ca="1">EFEITO!$L$536*EFEITO!$Z$536</f>
        <v>5943.4020967123552</v>
      </c>
      <c r="L536" s="56">
        <f>EFEITO!$N$536*EFEITO!$AA$536</f>
        <v>682.13568659637667</v>
      </c>
      <c r="M536" s="56">
        <f>$J$536-EFEITO!$K$536*EFEITO!$Y$536</f>
        <v>0</v>
      </c>
      <c r="N536" s="56">
        <f ca="1">$K$536-EFEITO!$M$536*EFEITO!$Z$536</f>
        <v>0</v>
      </c>
      <c r="O536" s="56">
        <f>$L$536-EFEITO!$O$536*EFEITO!$AA$536</f>
        <v>0</v>
      </c>
      <c r="P536" s="39"/>
      <c r="Q536" s="39"/>
      <c r="R536" s="39"/>
      <c r="S536" s="39"/>
      <c r="T536" s="39"/>
      <c r="U536" s="39"/>
      <c r="V536" s="39"/>
      <c r="W536" s="39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1.25" customHeight="1" x14ac:dyDescent="0.2">
      <c r="A537" s="35" t="s">
        <v>21</v>
      </c>
      <c r="B537" s="35" t="s">
        <v>37</v>
      </c>
      <c r="C537" s="35" t="s">
        <v>23</v>
      </c>
      <c r="D537" s="35" t="s">
        <v>38</v>
      </c>
      <c r="E537" s="35" t="s">
        <v>25</v>
      </c>
      <c r="F537" s="35" t="s">
        <v>25</v>
      </c>
      <c r="G537" s="35" t="s">
        <v>25</v>
      </c>
      <c r="H537" s="35" t="s">
        <v>25</v>
      </c>
      <c r="I537" s="55">
        <v>44562</v>
      </c>
      <c r="J537" s="56">
        <f>EFEITO!$J$537*EFEITO!$Y$537</f>
        <v>0</v>
      </c>
      <c r="K537" s="56">
        <f ca="1">EFEITO!$L$537*EFEITO!$Z$537</f>
        <v>32779.051243787981</v>
      </c>
      <c r="L537" s="56">
        <f>EFEITO!$N$537*EFEITO!$AA$537</f>
        <v>3762.1147387163369</v>
      </c>
      <c r="M537" s="56">
        <f>$J$537-EFEITO!$K$537*EFEITO!$Y$537</f>
        <v>0</v>
      </c>
      <c r="N537" s="56">
        <f ca="1">$K$537-EFEITO!$M$537*EFEITO!$Z$537</f>
        <v>0</v>
      </c>
      <c r="O537" s="56">
        <f>$L$537-EFEITO!$O$537*EFEITO!$AA$537</f>
        <v>0</v>
      </c>
      <c r="P537" s="39"/>
      <c r="Q537" s="39"/>
      <c r="R537" s="39"/>
      <c r="S537" s="39"/>
      <c r="T537" s="39"/>
      <c r="U537" s="39"/>
      <c r="V537" s="39"/>
      <c r="W537" s="39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1.25" customHeight="1" x14ac:dyDescent="0.2">
      <c r="A538" s="35" t="s">
        <v>28</v>
      </c>
      <c r="B538" s="35" t="s">
        <v>37</v>
      </c>
      <c r="C538" s="35" t="s">
        <v>23</v>
      </c>
      <c r="D538" s="35" t="s">
        <v>38</v>
      </c>
      <c r="E538" s="35" t="s">
        <v>25</v>
      </c>
      <c r="F538" s="35" t="s">
        <v>25</v>
      </c>
      <c r="G538" s="35" t="s">
        <v>25</v>
      </c>
      <c r="H538" s="35" t="s">
        <v>25</v>
      </c>
      <c r="I538" s="55">
        <v>44562</v>
      </c>
      <c r="J538" s="56">
        <f>EFEITO!$J$538*EFEITO!$Y$538</f>
        <v>0</v>
      </c>
      <c r="K538" s="56">
        <f ca="1">EFEITO!$L$538*EFEITO!$Z$538</f>
        <v>9986.2740143845767</v>
      </c>
      <c r="L538" s="56">
        <f>EFEITO!$N$538*EFEITO!$AA$538</f>
        <v>1146.1438702102778</v>
      </c>
      <c r="M538" s="56">
        <f>$J$538-EFEITO!$K$538*EFEITO!$Y$538</f>
        <v>0</v>
      </c>
      <c r="N538" s="56">
        <f ca="1">$K$538-EFEITO!$M$538*EFEITO!$Z$538</f>
        <v>0</v>
      </c>
      <c r="O538" s="56">
        <f>$L$538-EFEITO!$O$538*EFEITO!$AA$538</f>
        <v>0</v>
      </c>
      <c r="P538" s="39"/>
      <c r="Q538" s="39"/>
      <c r="R538" s="39"/>
      <c r="S538" s="39"/>
      <c r="T538" s="39"/>
      <c r="U538" s="39"/>
      <c r="V538" s="39"/>
      <c r="W538" s="39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1.25" customHeight="1" x14ac:dyDescent="0.2">
      <c r="A539" s="35" t="s">
        <v>21</v>
      </c>
      <c r="B539" s="35" t="s">
        <v>37</v>
      </c>
      <c r="C539" s="35" t="s">
        <v>23</v>
      </c>
      <c r="D539" s="35" t="s">
        <v>38</v>
      </c>
      <c r="E539" s="35" t="s">
        <v>25</v>
      </c>
      <c r="F539" s="35" t="s">
        <v>25</v>
      </c>
      <c r="G539" s="35" t="s">
        <v>25</v>
      </c>
      <c r="H539" s="35" t="s">
        <v>25</v>
      </c>
      <c r="I539" s="55">
        <v>44593</v>
      </c>
      <c r="J539" s="56">
        <f>EFEITO!$J$539*EFEITO!$Y$539</f>
        <v>0</v>
      </c>
      <c r="K539" s="56">
        <f ca="1">EFEITO!$L$539*EFEITO!$Z$539</f>
        <v>40629.775979079568</v>
      </c>
      <c r="L539" s="56">
        <f>EFEITO!$N$539*EFEITO!$AA$539</f>
        <v>4663.1575119370136</v>
      </c>
      <c r="M539" s="56">
        <f>$J$539-EFEITO!$K$539*EFEITO!$Y$539</f>
        <v>0</v>
      </c>
      <c r="N539" s="56">
        <f ca="1">$K$539-EFEITO!$M$539*EFEITO!$Z$539</f>
        <v>0</v>
      </c>
      <c r="O539" s="56">
        <f>$L$539-EFEITO!$O$539*EFEITO!$AA$539</f>
        <v>0</v>
      </c>
      <c r="P539" s="39"/>
      <c r="Q539" s="39"/>
      <c r="R539" s="39"/>
      <c r="S539" s="39"/>
      <c r="T539" s="39"/>
      <c r="U539" s="39"/>
      <c r="V539" s="39"/>
      <c r="W539" s="39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1.25" customHeight="1" x14ac:dyDescent="0.2">
      <c r="A540" s="35" t="s">
        <v>21</v>
      </c>
      <c r="B540" s="35" t="s">
        <v>37</v>
      </c>
      <c r="C540" s="35" t="s">
        <v>23</v>
      </c>
      <c r="D540" s="35" t="s">
        <v>38</v>
      </c>
      <c r="E540" s="35" t="s">
        <v>25</v>
      </c>
      <c r="F540" s="35" t="s">
        <v>25</v>
      </c>
      <c r="G540" s="35" t="s">
        <v>25</v>
      </c>
      <c r="H540" s="35" t="s">
        <v>25</v>
      </c>
      <c r="I540" s="55">
        <v>44621</v>
      </c>
      <c r="J540" s="56">
        <f>EFEITO!$J$540*EFEITO!$Y$540</f>
        <v>0</v>
      </c>
      <c r="K540" s="56">
        <f ca="1">EFEITO!$L$540*EFEITO!$Z$540</f>
        <v>43933.628298897733</v>
      </c>
      <c r="L540" s="56">
        <f>EFEITO!$N$540*EFEITO!$AA$540</f>
        <v>5042.3469953204167</v>
      </c>
      <c r="M540" s="56">
        <f>$J$540-EFEITO!$K$540*EFEITO!$Y$540</f>
        <v>0</v>
      </c>
      <c r="N540" s="56">
        <f ca="1">$K$540-EFEITO!$M$540*EFEITO!$Z$540</f>
        <v>0</v>
      </c>
      <c r="O540" s="56">
        <f>$L$540-EFEITO!$O$540*EFEITO!$AA$540</f>
        <v>0</v>
      </c>
      <c r="P540" s="39"/>
      <c r="Q540" s="39"/>
      <c r="R540" s="39"/>
      <c r="S540" s="39"/>
      <c r="T540" s="39"/>
      <c r="U540" s="39"/>
      <c r="V540" s="39"/>
      <c r="W540" s="39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1.25" customHeight="1" x14ac:dyDescent="0.2">
      <c r="A541" s="35" t="s">
        <v>28</v>
      </c>
      <c r="B541" s="35" t="s">
        <v>37</v>
      </c>
      <c r="C541" s="35" t="s">
        <v>23</v>
      </c>
      <c r="D541" s="35" t="s">
        <v>38</v>
      </c>
      <c r="E541" s="35" t="s">
        <v>25</v>
      </c>
      <c r="F541" s="35" t="s">
        <v>25</v>
      </c>
      <c r="G541" s="35" t="s">
        <v>25</v>
      </c>
      <c r="H541" s="35" t="s">
        <v>25</v>
      </c>
      <c r="I541" s="55">
        <v>44621</v>
      </c>
      <c r="J541" s="56">
        <f>EFEITO!$J$541*EFEITO!$Y$541</f>
        <v>0</v>
      </c>
      <c r="K541" s="56">
        <f ca="1">EFEITO!$L$541*EFEITO!$Z$541</f>
        <v>6713.6670084462767</v>
      </c>
      <c r="L541" s="56">
        <f>EFEITO!$N$541*EFEITO!$AA$541</f>
        <v>770.54047157926709</v>
      </c>
      <c r="M541" s="56">
        <f>$J$541-EFEITO!$K$541*EFEITO!$Y$541</f>
        <v>0</v>
      </c>
      <c r="N541" s="56">
        <f ca="1">$K$541-EFEITO!$M$541*EFEITO!$Z$541</f>
        <v>0</v>
      </c>
      <c r="O541" s="56">
        <f>$L$541-EFEITO!$O$541*EFEITO!$AA$541</f>
        <v>0</v>
      </c>
      <c r="P541" s="39"/>
      <c r="Q541" s="39"/>
      <c r="R541" s="39"/>
      <c r="S541" s="39"/>
      <c r="T541" s="39"/>
      <c r="U541" s="39"/>
      <c r="V541" s="39"/>
      <c r="W541" s="39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1.25" customHeight="1" x14ac:dyDescent="0.2">
      <c r="A542" s="35" t="s">
        <v>21</v>
      </c>
      <c r="B542" s="35" t="s">
        <v>37</v>
      </c>
      <c r="C542" s="35" t="s">
        <v>23</v>
      </c>
      <c r="D542" s="35" t="s">
        <v>38</v>
      </c>
      <c r="E542" s="35" t="s">
        <v>25</v>
      </c>
      <c r="F542" s="35" t="s">
        <v>25</v>
      </c>
      <c r="G542" s="35" t="s">
        <v>25</v>
      </c>
      <c r="H542" s="35" t="s">
        <v>25</v>
      </c>
      <c r="I542" s="55">
        <v>44652</v>
      </c>
      <c r="J542" s="56">
        <f>EFEITO!$J$542*EFEITO!$Y$542</f>
        <v>0</v>
      </c>
      <c r="K542" s="56">
        <f ca="1">EFEITO!$L$542*EFEITO!$Z$542</f>
        <v>35715.431502540843</v>
      </c>
      <c r="L542" s="56">
        <f>EFEITO!$N$542*EFEITO!$AA$542</f>
        <v>4099.1287470770385</v>
      </c>
      <c r="M542" s="56">
        <f>$J$542-EFEITO!$K$542*EFEITO!$Y$542</f>
        <v>0</v>
      </c>
      <c r="N542" s="56">
        <f ca="1">$K$542-EFEITO!$M$542*EFEITO!$Z$542</f>
        <v>0</v>
      </c>
      <c r="O542" s="56">
        <f>$L$542-EFEITO!$O$542*EFEITO!$AA$542</f>
        <v>0</v>
      </c>
      <c r="P542" s="39"/>
      <c r="Q542" s="39"/>
      <c r="R542" s="39"/>
      <c r="S542" s="39"/>
      <c r="T542" s="39"/>
      <c r="U542" s="39"/>
      <c r="V542" s="39"/>
      <c r="W542" s="39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1.25" customHeight="1" x14ac:dyDescent="0.2">
      <c r="A543" s="35" t="s">
        <v>28</v>
      </c>
      <c r="B543" s="35" t="s">
        <v>37</v>
      </c>
      <c r="C543" s="35" t="s">
        <v>23</v>
      </c>
      <c r="D543" s="35" t="s">
        <v>38</v>
      </c>
      <c r="E543" s="35" t="s">
        <v>25</v>
      </c>
      <c r="F543" s="35" t="s">
        <v>25</v>
      </c>
      <c r="G543" s="35" t="s">
        <v>25</v>
      </c>
      <c r="H543" s="35" t="s">
        <v>25</v>
      </c>
      <c r="I543" s="55">
        <v>44652</v>
      </c>
      <c r="J543" s="56">
        <f>EFEITO!$J$543*EFEITO!$Y$543</f>
        <v>0</v>
      </c>
      <c r="K543" s="56">
        <f ca="1">EFEITO!$L$543*EFEITO!$Z$543</f>
        <v>4110.11726710931</v>
      </c>
      <c r="L543" s="56">
        <f>EFEITO!$N$543*EFEITO!$AA$543</f>
        <v>471.72606166796288</v>
      </c>
      <c r="M543" s="56">
        <f>$J$543-EFEITO!$K$543*EFEITO!$Y$543</f>
        <v>0</v>
      </c>
      <c r="N543" s="56">
        <f ca="1">$K$543-EFEITO!$M$543*EFEITO!$Z$543</f>
        <v>0</v>
      </c>
      <c r="O543" s="56">
        <f>$L$543-EFEITO!$O$543*EFEITO!$AA$543</f>
        <v>0</v>
      </c>
      <c r="P543" s="39"/>
      <c r="Q543" s="39"/>
      <c r="R543" s="39"/>
      <c r="S543" s="39"/>
      <c r="T543" s="39"/>
      <c r="U543" s="39"/>
      <c r="V543" s="39"/>
      <c r="W543" s="39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1.25" customHeight="1" x14ac:dyDescent="0.2">
      <c r="A544" s="35" t="s">
        <v>21</v>
      </c>
      <c r="B544" s="35" t="s">
        <v>37</v>
      </c>
      <c r="C544" s="35" t="s">
        <v>23</v>
      </c>
      <c r="D544" s="35" t="s">
        <v>38</v>
      </c>
      <c r="E544" s="35" t="s">
        <v>25</v>
      </c>
      <c r="F544" s="35" t="s">
        <v>25</v>
      </c>
      <c r="G544" s="35" t="s">
        <v>25</v>
      </c>
      <c r="H544" s="35" t="s">
        <v>25</v>
      </c>
      <c r="I544" s="55">
        <v>44682</v>
      </c>
      <c r="J544" s="56">
        <f>EFEITO!$J$544*EFEITO!$Y$544</f>
        <v>0</v>
      </c>
      <c r="K544" s="56">
        <f ca="1">EFEITO!$L$544*EFEITO!$Z$544</f>
        <v>34097.467640327253</v>
      </c>
      <c r="L544" s="56">
        <f>EFEITO!$N$544*EFEITO!$AA$544</f>
        <v>3913.4319235944586</v>
      </c>
      <c r="M544" s="56">
        <f>$J$544-EFEITO!$K$544*EFEITO!$Y$544</f>
        <v>0</v>
      </c>
      <c r="N544" s="56">
        <f ca="1">$K$544-EFEITO!$M$544*EFEITO!$Z$544</f>
        <v>0</v>
      </c>
      <c r="O544" s="56">
        <f>$L$544-EFEITO!$O$544*EFEITO!$AA$544</f>
        <v>0</v>
      </c>
      <c r="P544" s="39"/>
      <c r="Q544" s="39"/>
      <c r="R544" s="39"/>
      <c r="S544" s="39"/>
      <c r="T544" s="39"/>
      <c r="U544" s="39"/>
      <c r="V544" s="39"/>
      <c r="W544" s="39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1.25" customHeight="1" x14ac:dyDescent="0.2">
      <c r="A545" s="35" t="s">
        <v>28</v>
      </c>
      <c r="B545" s="35" t="s">
        <v>37</v>
      </c>
      <c r="C545" s="35" t="s">
        <v>23</v>
      </c>
      <c r="D545" s="35" t="s">
        <v>38</v>
      </c>
      <c r="E545" s="35" t="s">
        <v>25</v>
      </c>
      <c r="F545" s="35" t="s">
        <v>25</v>
      </c>
      <c r="G545" s="35" t="s">
        <v>25</v>
      </c>
      <c r="H545" s="35" t="s">
        <v>25</v>
      </c>
      <c r="I545" s="55">
        <v>44682</v>
      </c>
      <c r="J545" s="56">
        <f>EFEITO!$J$545*EFEITO!$Y$545</f>
        <v>0</v>
      </c>
      <c r="K545" s="56">
        <f ca="1">EFEITO!$L$545*EFEITO!$Z$545</f>
        <v>1881.5112923306542</v>
      </c>
      <c r="L545" s="56">
        <f>EFEITO!$N$545*EFEITO!$AA$545</f>
        <v>215.94466878536724</v>
      </c>
      <c r="M545" s="56">
        <f>$J$545-EFEITO!$K$545*EFEITO!$Y$545</f>
        <v>0</v>
      </c>
      <c r="N545" s="56">
        <f ca="1">$K$545-EFEITO!$M$545*EFEITO!$Z$545</f>
        <v>0</v>
      </c>
      <c r="O545" s="56">
        <f>$L$545-EFEITO!$O$545*EFEITO!$AA$545</f>
        <v>0</v>
      </c>
      <c r="P545" s="39"/>
      <c r="Q545" s="39"/>
      <c r="R545" s="39"/>
      <c r="S545" s="39"/>
      <c r="T545" s="39"/>
      <c r="U545" s="39"/>
      <c r="V545" s="39"/>
      <c r="W545" s="39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1.25" customHeight="1" x14ac:dyDescent="0.2">
      <c r="A546" s="35" t="s">
        <v>21</v>
      </c>
      <c r="B546" s="35" t="s">
        <v>37</v>
      </c>
      <c r="C546" s="35" t="s">
        <v>23</v>
      </c>
      <c r="D546" s="35" t="s">
        <v>38</v>
      </c>
      <c r="E546" s="35" t="s">
        <v>25</v>
      </c>
      <c r="F546" s="35" t="s">
        <v>25</v>
      </c>
      <c r="G546" s="35" t="s">
        <v>25</v>
      </c>
      <c r="H546" s="35" t="s">
        <v>25</v>
      </c>
      <c r="I546" s="55">
        <v>44713</v>
      </c>
      <c r="J546" s="56">
        <f>EFEITO!$J$546*EFEITO!$Y$546</f>
        <v>0</v>
      </c>
      <c r="K546" s="56">
        <f ca="1">EFEITO!$L$546*EFEITO!$Z$546</f>
        <v>33376.787683228766</v>
      </c>
      <c r="L546" s="56">
        <f>EFEITO!$N$546*EFEITO!$AA$546</f>
        <v>3830.7180991968862</v>
      </c>
      <c r="M546" s="56">
        <f>$J$546-EFEITO!$K$546*EFEITO!$Y$546</f>
        <v>0</v>
      </c>
      <c r="N546" s="56">
        <f ca="1">$K$546-EFEITO!$M$546*EFEITO!$Z$546</f>
        <v>0</v>
      </c>
      <c r="O546" s="56">
        <f>$L$546-EFEITO!$O$546*EFEITO!$AA$546</f>
        <v>0</v>
      </c>
      <c r="P546" s="39"/>
      <c r="Q546" s="39"/>
      <c r="R546" s="39"/>
      <c r="S546" s="39"/>
      <c r="T546" s="39"/>
      <c r="U546" s="39"/>
      <c r="V546" s="39"/>
      <c r="W546" s="39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1.25" customHeight="1" x14ac:dyDescent="0.2">
      <c r="A547" s="35" t="s">
        <v>28</v>
      </c>
      <c r="B547" s="35" t="s">
        <v>37</v>
      </c>
      <c r="C547" s="35" t="s">
        <v>23</v>
      </c>
      <c r="D547" s="35" t="s">
        <v>38</v>
      </c>
      <c r="E547" s="35" t="s">
        <v>25</v>
      </c>
      <c r="F547" s="35" t="s">
        <v>25</v>
      </c>
      <c r="G547" s="35" t="s">
        <v>25</v>
      </c>
      <c r="H547" s="35" t="s">
        <v>25</v>
      </c>
      <c r="I547" s="55">
        <v>44713</v>
      </c>
      <c r="J547" s="56">
        <f>EFEITO!$J$547*EFEITO!$Y$547</f>
        <v>0</v>
      </c>
      <c r="K547" s="56">
        <f ca="1">EFEITO!$L$547*EFEITO!$Z$547</f>
        <v>3724.9848112423492</v>
      </c>
      <c r="L547" s="56">
        <f>EFEITO!$N$547*EFEITO!$AA$547</f>
        <v>427.52366917651767</v>
      </c>
      <c r="M547" s="56">
        <f>$J$547-EFEITO!$K$547*EFEITO!$Y$547</f>
        <v>0</v>
      </c>
      <c r="N547" s="56">
        <f ca="1">$K$547-EFEITO!$M$547*EFEITO!$Z$547</f>
        <v>0</v>
      </c>
      <c r="O547" s="56">
        <f>$L$547-EFEITO!$O$547*EFEITO!$AA$547</f>
        <v>0</v>
      </c>
      <c r="P547" s="39"/>
      <c r="Q547" s="39"/>
      <c r="R547" s="39"/>
      <c r="S547" s="39"/>
      <c r="T547" s="39"/>
      <c r="U547" s="39"/>
      <c r="V547" s="39"/>
      <c r="W547" s="39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1.25" customHeight="1" x14ac:dyDescent="0.2">
      <c r="A548" s="35" t="s">
        <v>21</v>
      </c>
      <c r="B548" s="35" t="s">
        <v>37</v>
      </c>
      <c r="C548" s="35" t="s">
        <v>23</v>
      </c>
      <c r="D548" s="35" t="s">
        <v>38</v>
      </c>
      <c r="E548" s="35" t="s">
        <v>25</v>
      </c>
      <c r="F548" s="35" t="s">
        <v>25</v>
      </c>
      <c r="G548" s="35" t="s">
        <v>25</v>
      </c>
      <c r="H548" s="35" t="s">
        <v>25</v>
      </c>
      <c r="I548" s="55">
        <v>44743</v>
      </c>
      <c r="J548" s="56">
        <f>EFEITO!$J$548*EFEITO!$Y$548</f>
        <v>0</v>
      </c>
      <c r="K548" s="56">
        <f ca="1">EFEITO!$L$548*EFEITO!$Z$548</f>
        <v>28507.273439648096</v>
      </c>
      <c r="L548" s="56">
        <f>EFEITO!$N$548*EFEITO!$AA$548</f>
        <v>3271.8345863729523</v>
      </c>
      <c r="M548" s="56">
        <f>$J$548-EFEITO!$K$548*EFEITO!$Y$548</f>
        <v>0</v>
      </c>
      <c r="N548" s="56">
        <f ca="1">$K$548-EFEITO!$M$548*EFEITO!$Z$548</f>
        <v>0</v>
      </c>
      <c r="O548" s="56">
        <f>$L$548-EFEITO!$O$548*EFEITO!$AA$548</f>
        <v>0</v>
      </c>
      <c r="P548" s="39"/>
      <c r="Q548" s="39"/>
      <c r="R548" s="39"/>
      <c r="S548" s="39"/>
      <c r="T548" s="39"/>
      <c r="U548" s="39"/>
      <c r="V548" s="39"/>
      <c r="W548" s="39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1.25" customHeight="1" x14ac:dyDescent="0.2">
      <c r="A549" s="35" t="s">
        <v>28</v>
      </c>
      <c r="B549" s="35" t="s">
        <v>37</v>
      </c>
      <c r="C549" s="35" t="s">
        <v>23</v>
      </c>
      <c r="D549" s="35" t="s">
        <v>38</v>
      </c>
      <c r="E549" s="35" t="s">
        <v>25</v>
      </c>
      <c r="F549" s="35" t="s">
        <v>25</v>
      </c>
      <c r="G549" s="35" t="s">
        <v>25</v>
      </c>
      <c r="H549" s="35" t="s">
        <v>25</v>
      </c>
      <c r="I549" s="55">
        <v>44743</v>
      </c>
      <c r="J549" s="56">
        <f>EFEITO!$J$549*EFEITO!$Y$549</f>
        <v>0</v>
      </c>
      <c r="K549" s="56">
        <f ca="1">EFEITO!$L$549*EFEITO!$Z$549</f>
        <v>3158.4936856814234</v>
      </c>
      <c r="L549" s="56">
        <f>EFEITO!$N$549*EFEITO!$AA$549</f>
        <v>362.5063934483602</v>
      </c>
      <c r="M549" s="56">
        <f>$J$549-EFEITO!$K$549*EFEITO!$Y$549</f>
        <v>0</v>
      </c>
      <c r="N549" s="56">
        <f ca="1">$K$549-EFEITO!$M$549*EFEITO!$Z$549</f>
        <v>0</v>
      </c>
      <c r="O549" s="56">
        <f>$L$549-EFEITO!$O$549*EFEITO!$AA$549</f>
        <v>0</v>
      </c>
      <c r="P549" s="39"/>
      <c r="Q549" s="39"/>
      <c r="R549" s="39"/>
      <c r="S549" s="39"/>
      <c r="T549" s="39"/>
      <c r="U549" s="39"/>
      <c r="V549" s="39"/>
      <c r="W549" s="39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1.25" customHeight="1" x14ac:dyDescent="0.2">
      <c r="A550" s="35" t="s">
        <v>21</v>
      </c>
      <c r="B550" s="35" t="s">
        <v>37</v>
      </c>
      <c r="C550" s="35" t="s">
        <v>23</v>
      </c>
      <c r="D550" s="35" t="s">
        <v>38</v>
      </c>
      <c r="E550" s="35" t="s">
        <v>25</v>
      </c>
      <c r="F550" s="35" t="s">
        <v>25</v>
      </c>
      <c r="G550" s="35" t="s">
        <v>25</v>
      </c>
      <c r="H550" s="35" t="s">
        <v>25</v>
      </c>
      <c r="I550" s="55">
        <v>44774</v>
      </c>
      <c r="J550" s="56">
        <f>EFEITO!$J$550*EFEITO!$Y$550</f>
        <v>0</v>
      </c>
      <c r="K550" s="56">
        <f ca="1">EFEITO!$L$550*EFEITO!$Z$550</f>
        <v>28833.9907434788</v>
      </c>
      <c r="L550" s="56">
        <f>EFEITO!$N$550*EFEITO!$AA$550</f>
        <v>3309.3325595447077</v>
      </c>
      <c r="M550" s="56">
        <f>$J$550-EFEITO!$K$550*EFEITO!$Y$550</f>
        <v>0</v>
      </c>
      <c r="N550" s="56">
        <f ca="1">$K$550-EFEITO!$M$550*EFEITO!$Z$550</f>
        <v>0</v>
      </c>
      <c r="O550" s="56">
        <f>$L$550-EFEITO!$O$550*EFEITO!$AA$550</f>
        <v>0</v>
      </c>
      <c r="P550" s="39"/>
      <c r="Q550" s="39"/>
      <c r="R550" s="39"/>
      <c r="S550" s="39"/>
      <c r="T550" s="39"/>
      <c r="U550" s="39"/>
      <c r="V550" s="39"/>
      <c r="W550" s="39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1.25" customHeight="1" x14ac:dyDescent="0.2">
      <c r="A551" s="35" t="s">
        <v>28</v>
      </c>
      <c r="B551" s="35" t="s">
        <v>37</v>
      </c>
      <c r="C551" s="35" t="s">
        <v>23</v>
      </c>
      <c r="D551" s="35" t="s">
        <v>38</v>
      </c>
      <c r="E551" s="35" t="s">
        <v>25</v>
      </c>
      <c r="F551" s="35" t="s">
        <v>25</v>
      </c>
      <c r="G551" s="35" t="s">
        <v>25</v>
      </c>
      <c r="H551" s="35" t="s">
        <v>25</v>
      </c>
      <c r="I551" s="55">
        <v>44774</v>
      </c>
      <c r="J551" s="56">
        <f>EFEITO!$J$551*EFEITO!$Y$551</f>
        <v>0</v>
      </c>
      <c r="K551" s="56">
        <f ca="1">EFEITO!$L$551*EFEITO!$Z$551</f>
        <v>3015.1727894064165</v>
      </c>
      <c r="L551" s="56">
        <f>EFEITO!$N$551*EFEITO!$AA$551</f>
        <v>346.05717860586469</v>
      </c>
      <c r="M551" s="56">
        <f>$J$551-EFEITO!$K$551*EFEITO!$Y$551</f>
        <v>0</v>
      </c>
      <c r="N551" s="56">
        <f ca="1">$K$551-EFEITO!$M$551*EFEITO!$Z$551</f>
        <v>0</v>
      </c>
      <c r="O551" s="56">
        <f>$L$551-EFEITO!$O$551*EFEITO!$AA$551</f>
        <v>0</v>
      </c>
      <c r="P551" s="39"/>
      <c r="Q551" s="39"/>
      <c r="R551" s="39"/>
      <c r="S551" s="39"/>
      <c r="T551" s="39"/>
      <c r="U551" s="39"/>
      <c r="V551" s="39"/>
      <c r="W551" s="39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1.25" customHeight="1" x14ac:dyDescent="0.2">
      <c r="A552" s="35" t="s">
        <v>21</v>
      </c>
      <c r="B552" s="35" t="s">
        <v>37</v>
      </c>
      <c r="C552" s="35" t="s">
        <v>23</v>
      </c>
      <c r="D552" s="35" t="s">
        <v>44</v>
      </c>
      <c r="E552" s="35" t="s">
        <v>25</v>
      </c>
      <c r="F552" s="35" t="s">
        <v>25</v>
      </c>
      <c r="G552" s="35" t="s">
        <v>25</v>
      </c>
      <c r="H552" s="35" t="s">
        <v>25</v>
      </c>
      <c r="I552" s="55">
        <v>44440</v>
      </c>
      <c r="J552" s="56">
        <f>EFEITO!$J$552*EFEITO!$Y$552</f>
        <v>0</v>
      </c>
      <c r="K552" s="56">
        <f ca="1">EFEITO!$L$552*EFEITO!$Z$552</f>
        <v>20565.529746532568</v>
      </c>
      <c r="L552" s="56">
        <f>EFEITO!$N$552*EFEITO!$AA$552</f>
        <v>2360.3453923518282</v>
      </c>
      <c r="M552" s="56">
        <f>$J$552-EFEITO!$K$552*EFEITO!$Y$552</f>
        <v>0</v>
      </c>
      <c r="N552" s="56">
        <f ca="1">$K$552-EFEITO!$M$552*EFEITO!$Z$552</f>
        <v>0</v>
      </c>
      <c r="O552" s="56">
        <f>$L$552-EFEITO!$O$552*EFEITO!$AA$552</f>
        <v>0</v>
      </c>
      <c r="P552" s="39"/>
      <c r="Q552" s="39"/>
      <c r="R552" s="39"/>
      <c r="S552" s="39"/>
      <c r="T552" s="39"/>
      <c r="U552" s="39"/>
      <c r="V552" s="39"/>
      <c r="W552" s="39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1.25" customHeight="1" x14ac:dyDescent="0.2">
      <c r="A553" s="35" t="s">
        <v>21</v>
      </c>
      <c r="B553" s="35" t="s">
        <v>37</v>
      </c>
      <c r="C553" s="35" t="s">
        <v>23</v>
      </c>
      <c r="D553" s="35" t="s">
        <v>44</v>
      </c>
      <c r="E553" s="35" t="s">
        <v>25</v>
      </c>
      <c r="F553" s="35" t="s">
        <v>25</v>
      </c>
      <c r="G553" s="35" t="s">
        <v>25</v>
      </c>
      <c r="H553" s="35" t="s">
        <v>25</v>
      </c>
      <c r="I553" s="55">
        <v>44470</v>
      </c>
      <c r="J553" s="56">
        <f>EFEITO!$J$553*EFEITO!$Y$553</f>
        <v>0</v>
      </c>
      <c r="K553" s="56">
        <f ca="1">EFEITO!$L$553*EFEITO!$Z$553</f>
        <v>19828.547886540237</v>
      </c>
      <c r="L553" s="56">
        <f>EFEITO!$N$553*EFEITO!$AA$553</f>
        <v>2275.7605672138775</v>
      </c>
      <c r="M553" s="56">
        <f>$J$553-EFEITO!$K$553*EFEITO!$Y$553</f>
        <v>0</v>
      </c>
      <c r="N553" s="56">
        <f ca="1">$K$553-EFEITO!$M$553*EFEITO!$Z$553</f>
        <v>0</v>
      </c>
      <c r="O553" s="56">
        <f>$L$553-EFEITO!$O$553*EFEITO!$AA$553</f>
        <v>0</v>
      </c>
      <c r="P553" s="39"/>
      <c r="Q553" s="39"/>
      <c r="R553" s="39"/>
      <c r="S553" s="39"/>
      <c r="T553" s="39"/>
      <c r="U553" s="39"/>
      <c r="V553" s="39"/>
      <c r="W553" s="39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1.25" customHeight="1" x14ac:dyDescent="0.2">
      <c r="A554" s="35" t="s">
        <v>21</v>
      </c>
      <c r="B554" s="35" t="s">
        <v>37</v>
      </c>
      <c r="C554" s="35" t="s">
        <v>23</v>
      </c>
      <c r="D554" s="35" t="s">
        <v>44</v>
      </c>
      <c r="E554" s="35" t="s">
        <v>25</v>
      </c>
      <c r="F554" s="35" t="s">
        <v>25</v>
      </c>
      <c r="G554" s="35" t="s">
        <v>25</v>
      </c>
      <c r="H554" s="35" t="s">
        <v>25</v>
      </c>
      <c r="I554" s="55">
        <v>44501</v>
      </c>
      <c r="J554" s="56">
        <f>EFEITO!$J$554*EFEITO!$Y$554</f>
        <v>0</v>
      </c>
      <c r="K554" s="56">
        <f ca="1">EFEITO!$L$554*EFEITO!$Z$554</f>
        <v>21199.945467484493</v>
      </c>
      <c r="L554" s="56">
        <f>EFEITO!$N$554*EFEITO!$AA$554</f>
        <v>2433.1585044982298</v>
      </c>
      <c r="M554" s="56">
        <f>$J$554-EFEITO!$K$554*EFEITO!$Y$554</f>
        <v>0</v>
      </c>
      <c r="N554" s="56">
        <f ca="1">$K$554-EFEITO!$M$554*EFEITO!$Z$554</f>
        <v>0</v>
      </c>
      <c r="O554" s="56">
        <f>$L$554-EFEITO!$O$554*EFEITO!$AA$554</f>
        <v>0</v>
      </c>
      <c r="P554" s="39"/>
      <c r="Q554" s="39"/>
      <c r="R554" s="39"/>
      <c r="S554" s="39"/>
      <c r="T554" s="39"/>
      <c r="U554" s="39"/>
      <c r="V554" s="39"/>
      <c r="W554" s="39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1.25" customHeight="1" x14ac:dyDescent="0.2">
      <c r="A555" s="35" t="s">
        <v>21</v>
      </c>
      <c r="B555" s="35" t="s">
        <v>37</v>
      </c>
      <c r="C555" s="35" t="s">
        <v>23</v>
      </c>
      <c r="D555" s="35" t="s">
        <v>44</v>
      </c>
      <c r="E555" s="35" t="s">
        <v>25</v>
      </c>
      <c r="F555" s="35" t="s">
        <v>25</v>
      </c>
      <c r="G555" s="35" t="s">
        <v>25</v>
      </c>
      <c r="H555" s="35" t="s">
        <v>25</v>
      </c>
      <c r="I555" s="55">
        <v>44531</v>
      </c>
      <c r="J555" s="56">
        <f>EFEITO!$J$555*EFEITO!$Y$555</f>
        <v>0</v>
      </c>
      <c r="K555" s="56">
        <f ca="1">EFEITO!$L$555*EFEITO!$Z$555</f>
        <v>24557.458217661544</v>
      </c>
      <c r="L555" s="56">
        <f>EFEITO!$N$555*EFEITO!$AA$555</f>
        <v>2818.5066986520465</v>
      </c>
      <c r="M555" s="56">
        <f>$J$555-EFEITO!$K$555*EFEITO!$Y$555</f>
        <v>0</v>
      </c>
      <c r="N555" s="56">
        <f ca="1">$K$555-EFEITO!$M$555*EFEITO!$Z$555</f>
        <v>0</v>
      </c>
      <c r="O555" s="56">
        <f>$L$555-EFEITO!$O$555*EFEITO!$AA$555</f>
        <v>0</v>
      </c>
      <c r="P555" s="39"/>
      <c r="Q555" s="39"/>
      <c r="R555" s="39"/>
      <c r="S555" s="39"/>
      <c r="T555" s="39"/>
      <c r="U555" s="39"/>
      <c r="V555" s="39"/>
      <c r="W555" s="39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1.25" customHeight="1" x14ac:dyDescent="0.2">
      <c r="A556" s="35" t="s">
        <v>21</v>
      </c>
      <c r="B556" s="35" t="s">
        <v>37</v>
      </c>
      <c r="C556" s="35" t="s">
        <v>23</v>
      </c>
      <c r="D556" s="35" t="s">
        <v>44</v>
      </c>
      <c r="E556" s="35" t="s">
        <v>25</v>
      </c>
      <c r="F556" s="35" t="s">
        <v>25</v>
      </c>
      <c r="G556" s="35" t="s">
        <v>25</v>
      </c>
      <c r="H556" s="35" t="s">
        <v>25</v>
      </c>
      <c r="I556" s="55">
        <v>44562</v>
      </c>
      <c r="J556" s="56">
        <f>EFEITO!$J$556*EFEITO!$Y$556</f>
        <v>0</v>
      </c>
      <c r="K556" s="56">
        <f ca="1">EFEITO!$L$556*EFEITO!$Z$556</f>
        <v>21394.209810302749</v>
      </c>
      <c r="L556" s="56">
        <f>EFEITO!$N$556*EFEITO!$AA$556</f>
        <v>2455.4545966544088</v>
      </c>
      <c r="M556" s="56">
        <f>$J$556-EFEITO!$K$556*EFEITO!$Y$556</f>
        <v>0</v>
      </c>
      <c r="N556" s="56">
        <f ca="1">$K$556-EFEITO!$M$556*EFEITO!$Z$556</f>
        <v>0</v>
      </c>
      <c r="O556" s="56">
        <f>$L$556-EFEITO!$O$556*EFEITO!$AA$556</f>
        <v>0</v>
      </c>
      <c r="P556" s="39"/>
      <c r="Q556" s="39"/>
      <c r="R556" s="39"/>
      <c r="S556" s="39"/>
      <c r="T556" s="39"/>
      <c r="U556" s="39"/>
      <c r="V556" s="39"/>
      <c r="W556" s="39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1.25" customHeight="1" x14ac:dyDescent="0.2">
      <c r="A557" s="35" t="s">
        <v>21</v>
      </c>
      <c r="B557" s="35" t="s">
        <v>37</v>
      </c>
      <c r="C557" s="35" t="s">
        <v>23</v>
      </c>
      <c r="D557" s="35" t="s">
        <v>44</v>
      </c>
      <c r="E557" s="35" t="s">
        <v>25</v>
      </c>
      <c r="F557" s="35" t="s">
        <v>25</v>
      </c>
      <c r="G557" s="35" t="s">
        <v>25</v>
      </c>
      <c r="H557" s="35" t="s">
        <v>25</v>
      </c>
      <c r="I557" s="55">
        <v>44593</v>
      </c>
      <c r="J557" s="56">
        <f>EFEITO!$J$557*EFEITO!$Y$557</f>
        <v>0</v>
      </c>
      <c r="K557" s="56">
        <f ca="1">EFEITO!$L$557*EFEITO!$Z$557</f>
        <v>31020.483469115032</v>
      </c>
      <c r="L557" s="56">
        <f>EFEITO!$N$557*EFEITO!$AA$557</f>
        <v>3560.2805338479911</v>
      </c>
      <c r="M557" s="56">
        <f>$J$557-EFEITO!$K$557*EFEITO!$Y$557</f>
        <v>0</v>
      </c>
      <c r="N557" s="56">
        <f ca="1">$K$557-EFEITO!$M$557*EFEITO!$Z$557</f>
        <v>0</v>
      </c>
      <c r="O557" s="56">
        <f>$L$557-EFEITO!$O$557*EFEITO!$AA$557</f>
        <v>0</v>
      </c>
      <c r="P557" s="39"/>
      <c r="Q557" s="39"/>
      <c r="R557" s="39"/>
      <c r="S557" s="39"/>
      <c r="T557" s="39"/>
      <c r="U557" s="39"/>
      <c r="V557" s="39"/>
      <c r="W557" s="39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1.25" customHeight="1" x14ac:dyDescent="0.2">
      <c r="A558" s="35" t="s">
        <v>21</v>
      </c>
      <c r="B558" s="35" t="s">
        <v>37</v>
      </c>
      <c r="C558" s="35" t="s">
        <v>23</v>
      </c>
      <c r="D558" s="35" t="s">
        <v>44</v>
      </c>
      <c r="E558" s="35" t="s">
        <v>25</v>
      </c>
      <c r="F558" s="35" t="s">
        <v>25</v>
      </c>
      <c r="G558" s="35" t="s">
        <v>25</v>
      </c>
      <c r="H558" s="35" t="s">
        <v>25</v>
      </c>
      <c r="I558" s="55">
        <v>44621</v>
      </c>
      <c r="J558" s="56">
        <f>EFEITO!$J$558*EFEITO!$Y$558</f>
        <v>0</v>
      </c>
      <c r="K558" s="56">
        <f ca="1">EFEITO!$L$558*EFEITO!$Z$558</f>
        <v>37348.338775740442</v>
      </c>
      <c r="L558" s="56">
        <f>EFEITO!$N$558*EFEITO!$AA$558</f>
        <v>4286.5406545716314</v>
      </c>
      <c r="M558" s="56">
        <f>$J$558-EFEITO!$K$558*EFEITO!$Y$558</f>
        <v>0</v>
      </c>
      <c r="N558" s="56">
        <f ca="1">$K$558-EFEITO!$M$558*EFEITO!$Z$558</f>
        <v>0</v>
      </c>
      <c r="O558" s="56">
        <f>$L$558-EFEITO!$O$558*EFEITO!$AA$558</f>
        <v>0</v>
      </c>
      <c r="P558" s="39"/>
      <c r="Q558" s="39"/>
      <c r="R558" s="39"/>
      <c r="S558" s="39"/>
      <c r="T558" s="39"/>
      <c r="U558" s="39"/>
      <c r="V558" s="39"/>
      <c r="W558" s="39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1.25" customHeight="1" x14ac:dyDescent="0.2">
      <c r="A559" s="35" t="s">
        <v>21</v>
      </c>
      <c r="B559" s="35" t="s">
        <v>37</v>
      </c>
      <c r="C559" s="35" t="s">
        <v>23</v>
      </c>
      <c r="D559" s="35" t="s">
        <v>44</v>
      </c>
      <c r="E559" s="35" t="s">
        <v>25</v>
      </c>
      <c r="F559" s="35" t="s">
        <v>25</v>
      </c>
      <c r="G559" s="35" t="s">
        <v>25</v>
      </c>
      <c r="H559" s="35" t="s">
        <v>25</v>
      </c>
      <c r="I559" s="55">
        <v>44652</v>
      </c>
      <c r="J559" s="56">
        <f>EFEITO!$J$559*EFEITO!$Y$559</f>
        <v>0</v>
      </c>
      <c r="K559" s="56">
        <f ca="1">EFEITO!$L$559*EFEITO!$Z$559</f>
        <v>25281.534404529582</v>
      </c>
      <c r="L559" s="56">
        <f>EFEITO!$N$559*EFEITO!$AA$559</f>
        <v>2901.6103148705301</v>
      </c>
      <c r="M559" s="56">
        <f>$J$559-EFEITO!$K$559*EFEITO!$Y$559</f>
        <v>0</v>
      </c>
      <c r="N559" s="56">
        <f ca="1">$K$559-EFEITO!$M$559*EFEITO!$Z$559</f>
        <v>0</v>
      </c>
      <c r="O559" s="56">
        <f>$L$559-EFEITO!$O$559*EFEITO!$AA$559</f>
        <v>0</v>
      </c>
      <c r="P559" s="39"/>
      <c r="Q559" s="39"/>
      <c r="R559" s="39"/>
      <c r="S559" s="39"/>
      <c r="T559" s="39"/>
      <c r="U559" s="39"/>
      <c r="V559" s="39"/>
      <c r="W559" s="39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1.25" customHeight="1" x14ac:dyDescent="0.2">
      <c r="A560" s="35" t="s">
        <v>21</v>
      </c>
      <c r="B560" s="35" t="s">
        <v>37</v>
      </c>
      <c r="C560" s="35" t="s">
        <v>23</v>
      </c>
      <c r="D560" s="35" t="s">
        <v>44</v>
      </c>
      <c r="E560" s="35" t="s">
        <v>25</v>
      </c>
      <c r="F560" s="35" t="s">
        <v>25</v>
      </c>
      <c r="G560" s="35" t="s">
        <v>25</v>
      </c>
      <c r="H560" s="35" t="s">
        <v>25</v>
      </c>
      <c r="I560" s="55">
        <v>44682</v>
      </c>
      <c r="J560" s="56">
        <f>EFEITO!$J$560*EFEITO!$Y$560</f>
        <v>0</v>
      </c>
      <c r="K560" s="56">
        <f ca="1">EFEITO!$L$560*EFEITO!$Z$560</f>
        <v>23693.457364288042</v>
      </c>
      <c r="L560" s="56">
        <f>EFEITO!$N$560*EFEITO!$AA$560</f>
        <v>2719.3436594119785</v>
      </c>
      <c r="M560" s="56">
        <f>$J$560-EFEITO!$K$560*EFEITO!$Y$560</f>
        <v>0</v>
      </c>
      <c r="N560" s="56">
        <f ca="1">$K$560-EFEITO!$M$560*EFEITO!$Z$560</f>
        <v>0</v>
      </c>
      <c r="O560" s="56">
        <f>$L$560-EFEITO!$O$560*EFEITO!$AA$560</f>
        <v>0</v>
      </c>
      <c r="P560" s="39"/>
      <c r="Q560" s="39"/>
      <c r="R560" s="39"/>
      <c r="S560" s="39"/>
      <c r="T560" s="39"/>
      <c r="U560" s="39"/>
      <c r="V560" s="39"/>
      <c r="W560" s="39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1.25" customHeight="1" x14ac:dyDescent="0.2">
      <c r="A561" s="35" t="s">
        <v>21</v>
      </c>
      <c r="B561" s="35" t="s">
        <v>37</v>
      </c>
      <c r="C561" s="35" t="s">
        <v>23</v>
      </c>
      <c r="D561" s="35" t="s">
        <v>44</v>
      </c>
      <c r="E561" s="35" t="s">
        <v>25</v>
      </c>
      <c r="F561" s="35" t="s">
        <v>25</v>
      </c>
      <c r="G561" s="35" t="s">
        <v>25</v>
      </c>
      <c r="H561" s="35" t="s">
        <v>25</v>
      </c>
      <c r="I561" s="55">
        <v>44713</v>
      </c>
      <c r="J561" s="56">
        <f>EFEITO!$J$561*EFEITO!$Y$561</f>
        <v>0</v>
      </c>
      <c r="K561" s="56">
        <f ca="1">EFEITO!$L$561*EFEITO!$Z$561</f>
        <v>21362.96449642289</v>
      </c>
      <c r="L561" s="56">
        <f>EFEITO!$N$561*EFEITO!$AA$561</f>
        <v>2451.8685119020165</v>
      </c>
      <c r="M561" s="56">
        <f>$J$561-EFEITO!$K$561*EFEITO!$Y$561</f>
        <v>0</v>
      </c>
      <c r="N561" s="56">
        <f ca="1">$K$561-EFEITO!$M$561*EFEITO!$Z$561</f>
        <v>0</v>
      </c>
      <c r="O561" s="56">
        <f>$L$561-EFEITO!$O$561*EFEITO!$AA$561</f>
        <v>0</v>
      </c>
      <c r="P561" s="39"/>
      <c r="Q561" s="39"/>
      <c r="R561" s="39"/>
      <c r="S561" s="39"/>
      <c r="T561" s="39"/>
      <c r="U561" s="39"/>
      <c r="V561" s="39"/>
      <c r="W561" s="39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1.25" customHeight="1" x14ac:dyDescent="0.2">
      <c r="A562" s="35" t="s">
        <v>21</v>
      </c>
      <c r="B562" s="35" t="s">
        <v>37</v>
      </c>
      <c r="C562" s="35" t="s">
        <v>23</v>
      </c>
      <c r="D562" s="35" t="s">
        <v>44</v>
      </c>
      <c r="E562" s="35" t="s">
        <v>25</v>
      </c>
      <c r="F562" s="35" t="s">
        <v>25</v>
      </c>
      <c r="G562" s="35" t="s">
        <v>25</v>
      </c>
      <c r="H562" s="35" t="s">
        <v>25</v>
      </c>
      <c r="I562" s="55">
        <v>44743</v>
      </c>
      <c r="J562" s="56">
        <f>EFEITO!$J$562*EFEITO!$Y$562</f>
        <v>0</v>
      </c>
      <c r="K562" s="56">
        <f ca="1">EFEITO!$L$562*EFEITO!$Z$562</f>
        <v>20035.717902482782</v>
      </c>
      <c r="L562" s="56">
        <f>EFEITO!$N$562*EFEITO!$AA$562</f>
        <v>2299.5378682895225</v>
      </c>
      <c r="M562" s="56">
        <f>$J$562-EFEITO!$K$562*EFEITO!$Y$562</f>
        <v>0</v>
      </c>
      <c r="N562" s="56">
        <f ca="1">$K$562-EFEITO!$M$562*EFEITO!$Z$562</f>
        <v>0</v>
      </c>
      <c r="O562" s="56">
        <f>$L$562-EFEITO!$O$562*EFEITO!$AA$562</f>
        <v>0</v>
      </c>
      <c r="P562" s="39"/>
      <c r="Q562" s="39"/>
      <c r="R562" s="39"/>
      <c r="S562" s="39"/>
      <c r="T562" s="39"/>
      <c r="U562" s="39"/>
      <c r="V562" s="39"/>
      <c r="W562" s="39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1.25" customHeight="1" x14ac:dyDescent="0.2">
      <c r="A563" s="35" t="s">
        <v>21</v>
      </c>
      <c r="B563" s="35" t="s">
        <v>37</v>
      </c>
      <c r="C563" s="35" t="s">
        <v>23</v>
      </c>
      <c r="D563" s="35" t="s">
        <v>44</v>
      </c>
      <c r="E563" s="35" t="s">
        <v>25</v>
      </c>
      <c r="F563" s="35" t="s">
        <v>25</v>
      </c>
      <c r="G563" s="35" t="s">
        <v>25</v>
      </c>
      <c r="H563" s="35" t="s">
        <v>25</v>
      </c>
      <c r="I563" s="55">
        <v>44774</v>
      </c>
      <c r="J563" s="56">
        <f>EFEITO!$J$563*EFEITO!$Y$563</f>
        <v>0</v>
      </c>
      <c r="K563" s="56">
        <f ca="1">EFEITO!$L$563*EFEITO!$Z$563</f>
        <v>25177.609773581356</v>
      </c>
      <c r="L563" s="56">
        <f>EFEITO!$N$563*EFEITO!$AA$563</f>
        <v>2889.6826851506166</v>
      </c>
      <c r="M563" s="56">
        <f>$J$563-EFEITO!$K$563*EFEITO!$Y$563</f>
        <v>0</v>
      </c>
      <c r="N563" s="56">
        <f ca="1">$K$563-EFEITO!$M$563*EFEITO!$Z$563</f>
        <v>0</v>
      </c>
      <c r="O563" s="56">
        <f>$L$563-EFEITO!$O$563*EFEITO!$AA$563</f>
        <v>0</v>
      </c>
      <c r="P563" s="39"/>
      <c r="Q563" s="39"/>
      <c r="R563" s="39"/>
      <c r="S563" s="39"/>
      <c r="T563" s="39"/>
      <c r="U563" s="39"/>
      <c r="V563" s="39"/>
      <c r="W563" s="39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1.25" customHeight="1" x14ac:dyDescent="0.2">
      <c r="A564" s="35" t="s">
        <v>21</v>
      </c>
      <c r="B564" s="35" t="s">
        <v>37</v>
      </c>
      <c r="C564" s="35" t="s">
        <v>23</v>
      </c>
      <c r="D564" s="35" t="s">
        <v>48</v>
      </c>
      <c r="E564" s="35" t="s">
        <v>49</v>
      </c>
      <c r="F564" s="35" t="s">
        <v>25</v>
      </c>
      <c r="G564" s="35" t="s">
        <v>25</v>
      </c>
      <c r="H564" s="35" t="s">
        <v>25</v>
      </c>
      <c r="I564" s="55">
        <v>44440</v>
      </c>
      <c r="J564" s="56">
        <f>EFEITO!$J$564*EFEITO!$Y$563</f>
        <v>0</v>
      </c>
      <c r="K564" s="56">
        <f ca="1">EFEITO!$L$564*EFEITO!$Z$563</f>
        <v>15687.864551504977</v>
      </c>
      <c r="L564" s="56">
        <f>EFEITO!$N$564*EFEITO!$AA$563</f>
        <v>1800.5263791577047</v>
      </c>
      <c r="M564" s="56">
        <f>$J$564-EFEITO!$K$564*EFEITO!$Y$564</f>
        <v>0</v>
      </c>
      <c r="N564" s="56">
        <f ca="1">$K$564-EFEITO!$M$564*EFEITO!$Z$564</f>
        <v>470.63593654514989</v>
      </c>
      <c r="O564" s="56">
        <f>$L$564-EFEITO!$O$564*EFEITO!$AA$564</f>
        <v>54.01579137473118</v>
      </c>
      <c r="P564" s="39"/>
      <c r="Q564" s="39"/>
      <c r="R564" s="39"/>
      <c r="S564" s="39"/>
      <c r="T564" s="39"/>
      <c r="U564" s="39"/>
      <c r="V564" s="39"/>
      <c r="W564" s="39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1.25" customHeight="1" x14ac:dyDescent="0.2">
      <c r="A565" s="35" t="s">
        <v>21</v>
      </c>
      <c r="B565" s="35" t="s">
        <v>37</v>
      </c>
      <c r="C565" s="35" t="s">
        <v>23</v>
      </c>
      <c r="D565" s="35" t="s">
        <v>48</v>
      </c>
      <c r="E565" s="35" t="s">
        <v>49</v>
      </c>
      <c r="F565" s="35" t="s">
        <v>25</v>
      </c>
      <c r="G565" s="35" t="s">
        <v>25</v>
      </c>
      <c r="H565" s="35" t="s">
        <v>25</v>
      </c>
      <c r="I565" s="55">
        <v>44470</v>
      </c>
      <c r="J565" s="56">
        <f>EFEITO!$J$565*EFEITO!$Y$563</f>
        <v>0</v>
      </c>
      <c r="K565" s="56">
        <f ca="1">EFEITO!$L$565*EFEITO!$Z$563</f>
        <v>13896.013725090439</v>
      </c>
      <c r="L565" s="56">
        <f>EFEITO!$N$565*EFEITO!$AA$563</f>
        <v>1594.8722144444198</v>
      </c>
      <c r="M565" s="56">
        <f>$J$565-EFEITO!$K$565*EFEITO!$Y$565</f>
        <v>0</v>
      </c>
      <c r="N565" s="56">
        <f ca="1">$K$565-EFEITO!$M$565*EFEITO!$Z$565</f>
        <v>416.88041175271246</v>
      </c>
      <c r="O565" s="56">
        <f>$L$565-EFEITO!$O$565*EFEITO!$AA$565</f>
        <v>47.846166433332655</v>
      </c>
      <c r="P565" s="39"/>
      <c r="Q565" s="39"/>
      <c r="R565" s="39"/>
      <c r="S565" s="39"/>
      <c r="T565" s="39"/>
      <c r="U565" s="39"/>
      <c r="V565" s="39"/>
      <c r="W565" s="39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1.25" customHeight="1" x14ac:dyDescent="0.2">
      <c r="A566" s="35" t="s">
        <v>21</v>
      </c>
      <c r="B566" s="35" t="s">
        <v>37</v>
      </c>
      <c r="C566" s="35" t="s">
        <v>23</v>
      </c>
      <c r="D566" s="35" t="s">
        <v>48</v>
      </c>
      <c r="E566" s="35" t="s">
        <v>49</v>
      </c>
      <c r="F566" s="35" t="s">
        <v>25</v>
      </c>
      <c r="G566" s="35" t="s">
        <v>25</v>
      </c>
      <c r="H566" s="35" t="s">
        <v>25</v>
      </c>
      <c r="I566" s="55">
        <v>44501</v>
      </c>
      <c r="J566" s="56">
        <f>EFEITO!$J$566*EFEITO!$Y$563</f>
        <v>0</v>
      </c>
      <c r="K566" s="56">
        <f ca="1">EFEITO!$L$566*EFEITO!$Z$563</f>
        <v>15383.562364153304</v>
      </c>
      <c r="L566" s="56">
        <f>EFEITO!$N$566*EFEITO!$AA$563</f>
        <v>1765.6010320039702</v>
      </c>
      <c r="M566" s="56">
        <f>$J$566-EFEITO!$K$566*EFEITO!$Y$566</f>
        <v>0</v>
      </c>
      <c r="N566" s="56">
        <f ca="1">$K$566-EFEITO!$M$566*EFEITO!$Z$566</f>
        <v>461.50687092459884</v>
      </c>
      <c r="O566" s="56">
        <f>$L$566-EFEITO!$O$566*EFEITO!$AA$566</f>
        <v>52.968030960119222</v>
      </c>
      <c r="P566" s="39"/>
      <c r="Q566" s="39"/>
      <c r="R566" s="39"/>
      <c r="S566" s="39"/>
      <c r="T566" s="39"/>
      <c r="U566" s="39"/>
      <c r="V566" s="39"/>
      <c r="W566" s="39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1.25" customHeight="1" x14ac:dyDescent="0.2">
      <c r="A567" s="35" t="s">
        <v>21</v>
      </c>
      <c r="B567" s="35" t="s">
        <v>37</v>
      </c>
      <c r="C567" s="35" t="s">
        <v>23</v>
      </c>
      <c r="D567" s="35" t="s">
        <v>48</v>
      </c>
      <c r="E567" s="35" t="s">
        <v>49</v>
      </c>
      <c r="F567" s="35" t="s">
        <v>25</v>
      </c>
      <c r="G567" s="35" t="s">
        <v>25</v>
      </c>
      <c r="H567" s="35" t="s">
        <v>25</v>
      </c>
      <c r="I567" s="55">
        <v>44531</v>
      </c>
      <c r="J567" s="56">
        <f>EFEITO!$J$567*EFEITO!$Y$563</f>
        <v>0</v>
      </c>
      <c r="K567" s="56">
        <f ca="1">EFEITO!$L$567*EFEITO!$Z$563</f>
        <v>14665.599390870453</v>
      </c>
      <c r="L567" s="56">
        <f>EFEITO!$N$567*EFEITO!$AA$563</f>
        <v>1683.1990410631279</v>
      </c>
      <c r="M567" s="56">
        <f>$J$567-EFEITO!$K$567*EFEITO!$Y$567</f>
        <v>0</v>
      </c>
      <c r="N567" s="56">
        <f ca="1">$K$567-EFEITO!$M$567*EFEITO!$Z$567</f>
        <v>439.96798172611489</v>
      </c>
      <c r="O567" s="56">
        <f>$L$567-EFEITO!$O$567*EFEITO!$AA$567</f>
        <v>50.495971231893691</v>
      </c>
      <c r="P567" s="39"/>
      <c r="Q567" s="39"/>
      <c r="R567" s="39"/>
      <c r="S567" s="39"/>
      <c r="T567" s="39"/>
      <c r="U567" s="39"/>
      <c r="V567" s="39"/>
      <c r="W567" s="39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1.25" customHeight="1" x14ac:dyDescent="0.2">
      <c r="A568" s="35" t="s">
        <v>21</v>
      </c>
      <c r="B568" s="35" t="s">
        <v>37</v>
      </c>
      <c r="C568" s="35" t="s">
        <v>23</v>
      </c>
      <c r="D568" s="35" t="s">
        <v>48</v>
      </c>
      <c r="E568" s="35" t="s">
        <v>49</v>
      </c>
      <c r="F568" s="35" t="s">
        <v>25</v>
      </c>
      <c r="G568" s="35" t="s">
        <v>25</v>
      </c>
      <c r="H568" s="35" t="s">
        <v>25</v>
      </c>
      <c r="I568" s="55">
        <v>44562</v>
      </c>
      <c r="J568" s="56">
        <f>EFEITO!$J$568*EFEITO!$Y$563</f>
        <v>0</v>
      </c>
      <c r="K568" s="56">
        <f ca="1">EFEITO!$L$568*EFEITO!$Z$563</f>
        <v>20090.057578795582</v>
      </c>
      <c r="L568" s="56">
        <f>EFEITO!$N$568*EFEITO!$AA$563</f>
        <v>2305.7745374241181</v>
      </c>
      <c r="M568" s="56">
        <f>$J$568-EFEITO!$K$568*EFEITO!$Y$568</f>
        <v>0</v>
      </c>
      <c r="N568" s="56">
        <f ca="1">$K$568-EFEITO!$M$568*EFEITO!$Z$568</f>
        <v>602.7017273638703</v>
      </c>
      <c r="O568" s="56">
        <f>$L$568-EFEITO!$O$568*EFEITO!$AA$568</f>
        <v>69.173236122723665</v>
      </c>
      <c r="P568" s="39"/>
      <c r="Q568" s="39"/>
      <c r="R568" s="39"/>
      <c r="S568" s="39"/>
      <c r="T568" s="39"/>
      <c r="U568" s="39"/>
      <c r="V568" s="39"/>
      <c r="W568" s="39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1.25" customHeight="1" x14ac:dyDescent="0.2">
      <c r="A569" s="35" t="s">
        <v>21</v>
      </c>
      <c r="B569" s="35" t="s">
        <v>37</v>
      </c>
      <c r="C569" s="35" t="s">
        <v>23</v>
      </c>
      <c r="D569" s="35" t="s">
        <v>48</v>
      </c>
      <c r="E569" s="35" t="s">
        <v>49</v>
      </c>
      <c r="F569" s="35" t="s">
        <v>25</v>
      </c>
      <c r="G569" s="35" t="s">
        <v>25</v>
      </c>
      <c r="H569" s="35" t="s">
        <v>25</v>
      </c>
      <c r="I569" s="55">
        <v>44593</v>
      </c>
      <c r="J569" s="56">
        <f>EFEITO!$J$569*EFEITO!$Y$563</f>
        <v>0</v>
      </c>
      <c r="K569" s="56">
        <f ca="1">EFEITO!$L$569*EFEITO!$Z$563</f>
        <v>21919.266932675167</v>
      </c>
      <c r="L569" s="56">
        <f>EFEITO!$N$569*EFEITO!$AA$563</f>
        <v>2515.7164121674373</v>
      </c>
      <c r="M569" s="56">
        <f>$J$569-EFEITO!$K$569*EFEITO!$Y$569</f>
        <v>0</v>
      </c>
      <c r="N569" s="56">
        <f ca="1">$K$569-EFEITO!$M$569*EFEITO!$Z$569</f>
        <v>657.5780079802571</v>
      </c>
      <c r="O569" s="56">
        <f>$L$569-EFEITO!$O$569*EFEITO!$AA$569</f>
        <v>75.471492365023096</v>
      </c>
      <c r="P569" s="39"/>
      <c r="Q569" s="39"/>
      <c r="R569" s="39"/>
      <c r="S569" s="39"/>
      <c r="T569" s="39"/>
      <c r="U569" s="39"/>
      <c r="V569" s="39"/>
      <c r="W569" s="39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1.25" customHeight="1" x14ac:dyDescent="0.2">
      <c r="A570" s="35" t="s">
        <v>21</v>
      </c>
      <c r="B570" s="35" t="s">
        <v>37</v>
      </c>
      <c r="C570" s="35" t="s">
        <v>23</v>
      </c>
      <c r="D570" s="35" t="s">
        <v>48</v>
      </c>
      <c r="E570" s="35" t="s">
        <v>49</v>
      </c>
      <c r="F570" s="35" t="s">
        <v>25</v>
      </c>
      <c r="G570" s="35" t="s">
        <v>25</v>
      </c>
      <c r="H570" s="35" t="s">
        <v>25</v>
      </c>
      <c r="I570" s="55">
        <v>44621</v>
      </c>
      <c r="J570" s="56">
        <f>EFEITO!$J$570*EFEITO!$Y$563</f>
        <v>0</v>
      </c>
      <c r="K570" s="56">
        <f ca="1">EFEITO!$L$570*EFEITO!$Z$563</f>
        <v>20462.284361538252</v>
      </c>
      <c r="L570" s="56">
        <f>EFEITO!$N$570*EFEITO!$AA$563</f>
        <v>2348.4957209960967</v>
      </c>
      <c r="M570" s="56">
        <f>$J$570-EFEITO!$K$570*EFEITO!$Y$570</f>
        <v>0</v>
      </c>
      <c r="N570" s="56">
        <f ca="1">$K$570-EFEITO!$M$570*EFEITO!$Z$570</f>
        <v>613.86853084614995</v>
      </c>
      <c r="O570" s="56">
        <f>$L$570-EFEITO!$O$570*EFEITO!$AA$570</f>
        <v>70.454871629882746</v>
      </c>
      <c r="P570" s="39"/>
      <c r="Q570" s="39"/>
      <c r="R570" s="39"/>
      <c r="S570" s="39"/>
      <c r="T570" s="39"/>
      <c r="U570" s="39"/>
      <c r="V570" s="39"/>
      <c r="W570" s="39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1.25" customHeight="1" x14ac:dyDescent="0.2">
      <c r="A571" s="35" t="s">
        <v>21</v>
      </c>
      <c r="B571" s="35" t="s">
        <v>37</v>
      </c>
      <c r="C571" s="35" t="s">
        <v>23</v>
      </c>
      <c r="D571" s="35" t="s">
        <v>48</v>
      </c>
      <c r="E571" s="35" t="s">
        <v>49</v>
      </c>
      <c r="F571" s="35" t="s">
        <v>25</v>
      </c>
      <c r="G571" s="35" t="s">
        <v>25</v>
      </c>
      <c r="H571" s="35" t="s">
        <v>25</v>
      </c>
      <c r="I571" s="55">
        <v>44652</v>
      </c>
      <c r="J571" s="56">
        <f>EFEITO!$J$571*EFEITO!$Y$563</f>
        <v>0</v>
      </c>
      <c r="K571" s="56">
        <f ca="1">EFEITO!$L$571*EFEITO!$Z$563</f>
        <v>16589.223932343524</v>
      </c>
      <c r="L571" s="56">
        <f>EFEITO!$N$571*EFEITO!$AA$563</f>
        <v>1903.9771284278065</v>
      </c>
      <c r="M571" s="56">
        <f>$J$571-EFEITO!$K$571*EFEITO!$Y$571</f>
        <v>0</v>
      </c>
      <c r="N571" s="56">
        <f ca="1">$K$571-EFEITO!$M$571*EFEITO!$Z$571</f>
        <v>497.67671797030744</v>
      </c>
      <c r="O571" s="56">
        <f>$L$571-EFEITO!$O$571*EFEITO!$AA$571</f>
        <v>57.119313852834239</v>
      </c>
      <c r="P571" s="39"/>
      <c r="Q571" s="39"/>
      <c r="R571" s="39"/>
      <c r="S571" s="39"/>
      <c r="T571" s="39"/>
      <c r="U571" s="39"/>
      <c r="V571" s="39"/>
      <c r="W571" s="39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1.25" customHeight="1" x14ac:dyDescent="0.2">
      <c r="A572" s="35" t="s">
        <v>21</v>
      </c>
      <c r="B572" s="35" t="s">
        <v>37</v>
      </c>
      <c r="C572" s="35" t="s">
        <v>23</v>
      </c>
      <c r="D572" s="35" t="s">
        <v>48</v>
      </c>
      <c r="E572" s="35" t="s">
        <v>49</v>
      </c>
      <c r="F572" s="35" t="s">
        <v>25</v>
      </c>
      <c r="G572" s="35" t="s">
        <v>25</v>
      </c>
      <c r="H572" s="35" t="s">
        <v>25</v>
      </c>
      <c r="I572" s="55">
        <v>44682</v>
      </c>
      <c r="J572" s="56">
        <f>EFEITO!$J$572*EFEITO!$Y$563</f>
        <v>0</v>
      </c>
      <c r="K572" s="56">
        <f ca="1">EFEITO!$L$572*EFEITO!$Z$563</f>
        <v>17144.847122641891</v>
      </c>
      <c r="L572" s="56">
        <f>EFEITO!$N$572*EFEITO!$AA$563</f>
        <v>1967.7470703290451</v>
      </c>
      <c r="M572" s="56">
        <f>$J$572-EFEITO!$K$572*EFEITO!$Y$572</f>
        <v>0</v>
      </c>
      <c r="N572" s="56">
        <f ca="1">$K$572-EFEITO!$M$572*EFEITO!$Z$572</f>
        <v>514.34541367925704</v>
      </c>
      <c r="O572" s="56">
        <f>$L$572-EFEITO!$O$572*EFEITO!$AA$572</f>
        <v>59.03241210987153</v>
      </c>
      <c r="P572" s="39"/>
      <c r="Q572" s="39"/>
      <c r="R572" s="39"/>
      <c r="S572" s="39"/>
      <c r="T572" s="39"/>
      <c r="U572" s="39"/>
      <c r="V572" s="39"/>
      <c r="W572" s="39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1.25" customHeight="1" x14ac:dyDescent="0.2">
      <c r="A573" s="35" t="s">
        <v>21</v>
      </c>
      <c r="B573" s="35" t="s">
        <v>37</v>
      </c>
      <c r="C573" s="35" t="s">
        <v>23</v>
      </c>
      <c r="D573" s="35" t="s">
        <v>48</v>
      </c>
      <c r="E573" s="35" t="s">
        <v>49</v>
      </c>
      <c r="F573" s="35" t="s">
        <v>25</v>
      </c>
      <c r="G573" s="35" t="s">
        <v>25</v>
      </c>
      <c r="H573" s="35" t="s">
        <v>25</v>
      </c>
      <c r="I573" s="55">
        <v>44713</v>
      </c>
      <c r="J573" s="56">
        <f>EFEITO!$J$573*EFEITO!$Y$563</f>
        <v>0</v>
      </c>
      <c r="K573" s="56">
        <f ca="1">EFEITO!$L$573*EFEITO!$Z$563</f>
        <v>15552.694606676889</v>
      </c>
      <c r="L573" s="56">
        <f>EFEITO!$N$573*EFEITO!$AA$563</f>
        <v>1785.0126646853985</v>
      </c>
      <c r="M573" s="56">
        <f>$J$573-EFEITO!$K$573*EFEITO!$Y$573</f>
        <v>0</v>
      </c>
      <c r="N573" s="56">
        <f ca="1">$K$573-EFEITO!$M$573*EFEITO!$Z$573</f>
        <v>466.58083820030697</v>
      </c>
      <c r="O573" s="56">
        <f>$L$573-EFEITO!$O$573*EFEITO!$AA$573</f>
        <v>53.550379940562152</v>
      </c>
      <c r="P573" s="39"/>
      <c r="Q573" s="39"/>
      <c r="R573" s="39"/>
      <c r="S573" s="39"/>
      <c r="T573" s="39"/>
      <c r="U573" s="39"/>
      <c r="V573" s="39"/>
      <c r="W573" s="39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1.25" customHeight="1" x14ac:dyDescent="0.2">
      <c r="A574" s="35" t="s">
        <v>21</v>
      </c>
      <c r="B574" s="35" t="s">
        <v>37</v>
      </c>
      <c r="C574" s="35" t="s">
        <v>23</v>
      </c>
      <c r="D574" s="35" t="s">
        <v>48</v>
      </c>
      <c r="E574" s="35" t="s">
        <v>49</v>
      </c>
      <c r="F574" s="35" t="s">
        <v>25</v>
      </c>
      <c r="G574" s="35" t="s">
        <v>25</v>
      </c>
      <c r="H574" s="35" t="s">
        <v>25</v>
      </c>
      <c r="I574" s="55">
        <v>44743</v>
      </c>
      <c r="J574" s="56">
        <f>EFEITO!$J$574*EFEITO!$Y$563</f>
        <v>0</v>
      </c>
      <c r="K574" s="56">
        <f ca="1">EFEITO!$L$574*EFEITO!$Z$563</f>
        <v>13063.2581855968</v>
      </c>
      <c r="L574" s="56">
        <f>EFEITO!$N$574*EFEITO!$AA$563</f>
        <v>1499.2952599567448</v>
      </c>
      <c r="M574" s="56">
        <f>$J$574-EFEITO!$K$574*EFEITO!$Y$574</f>
        <v>0</v>
      </c>
      <c r="N574" s="56">
        <f ca="1">$K$574-EFEITO!$M$574*EFEITO!$Z$574</f>
        <v>391.89774556790326</v>
      </c>
      <c r="O574" s="56">
        <f>$L$574-EFEITO!$O$574*EFEITO!$AA$574</f>
        <v>44.978857798702393</v>
      </c>
      <c r="P574" s="39"/>
      <c r="Q574" s="39"/>
      <c r="R574" s="39"/>
      <c r="S574" s="39"/>
      <c r="T574" s="39"/>
      <c r="U574" s="39"/>
      <c r="V574" s="39"/>
      <c r="W574" s="39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1.25" customHeight="1" x14ac:dyDescent="0.2">
      <c r="A575" s="35" t="s">
        <v>21</v>
      </c>
      <c r="B575" s="35" t="s">
        <v>37</v>
      </c>
      <c r="C575" s="35" t="s">
        <v>23</v>
      </c>
      <c r="D575" s="35" t="s">
        <v>48</v>
      </c>
      <c r="E575" s="35" t="s">
        <v>49</v>
      </c>
      <c r="F575" s="35" t="s">
        <v>25</v>
      </c>
      <c r="G575" s="35" t="s">
        <v>25</v>
      </c>
      <c r="H575" s="35" t="s">
        <v>25</v>
      </c>
      <c r="I575" s="55">
        <v>44774</v>
      </c>
      <c r="J575" s="56">
        <f>EFEITO!$J$575*EFEITO!$Y$563</f>
        <v>0</v>
      </c>
      <c r="K575" s="56">
        <f ca="1">EFEITO!$L$575*EFEITO!$Z$563</f>
        <v>16978.431863933944</v>
      </c>
      <c r="L575" s="56">
        <f>EFEITO!$N$575*EFEITO!$AA$563</f>
        <v>1948.6472711043464</v>
      </c>
      <c r="M575" s="56">
        <f>$J$575-EFEITO!$K$575*EFEITO!$Y$575</f>
        <v>0</v>
      </c>
      <c r="N575" s="56">
        <f ca="1">$K$575-EFEITO!$M$575*EFEITO!$Z$575</f>
        <v>509.35295591801696</v>
      </c>
      <c r="O575" s="56">
        <f>$L$575-EFEITO!$O$575*EFEITO!$AA$575</f>
        <v>58.459418133130384</v>
      </c>
      <c r="P575" s="39"/>
      <c r="Q575" s="39"/>
      <c r="R575" s="39"/>
      <c r="S575" s="39"/>
      <c r="T575" s="39"/>
      <c r="U575" s="39"/>
      <c r="V575" s="39"/>
      <c r="W575" s="39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1.25" customHeight="1" x14ac:dyDescent="0.2">
      <c r="A576" s="35" t="s">
        <v>21</v>
      </c>
      <c r="B576" s="35" t="s">
        <v>45</v>
      </c>
      <c r="C576" s="35" t="s">
        <v>23</v>
      </c>
      <c r="D576" s="35" t="s">
        <v>46</v>
      </c>
      <c r="E576" s="35" t="s">
        <v>47</v>
      </c>
      <c r="F576" s="35" t="s">
        <v>25</v>
      </c>
      <c r="G576" s="35" t="s">
        <v>25</v>
      </c>
      <c r="H576" s="35" t="s">
        <v>25</v>
      </c>
      <c r="I576" s="55">
        <v>44440</v>
      </c>
      <c r="J576" s="56">
        <f>EFEITO!$J$576*EFEITO!$Y$576</f>
        <v>0</v>
      </c>
      <c r="K576" s="56">
        <f ca="1">EFEITO!$L$576*EFEITO!$Z$576</f>
        <v>125550.7353271951</v>
      </c>
      <c r="L576" s="56">
        <f>EFEITO!$N$576*EFEITO!$AA$576</f>
        <v>14409.69930210008</v>
      </c>
      <c r="M576" s="56">
        <f>$J$576-EFEITO!$K$576*EFEITO!$Y$576</f>
        <v>0</v>
      </c>
      <c r="N576" s="56">
        <f ca="1">$K$576-EFEITO!$M$576*EFEITO!$Z$576</f>
        <v>0</v>
      </c>
      <c r="O576" s="56">
        <f>$L$576-EFEITO!$O$576*EFEITO!$AA$576</f>
        <v>0</v>
      </c>
      <c r="P576" s="39"/>
      <c r="Q576" s="39"/>
      <c r="R576" s="39"/>
      <c r="S576" s="39"/>
      <c r="T576" s="39"/>
      <c r="U576" s="39"/>
      <c r="V576" s="39"/>
      <c r="W576" s="39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1.25" customHeight="1" x14ac:dyDescent="0.2">
      <c r="A577" s="35" t="s">
        <v>21</v>
      </c>
      <c r="B577" s="35" t="s">
        <v>45</v>
      </c>
      <c r="C577" s="35" t="s">
        <v>23</v>
      </c>
      <c r="D577" s="35" t="s">
        <v>46</v>
      </c>
      <c r="E577" s="35" t="s">
        <v>47</v>
      </c>
      <c r="F577" s="35" t="s">
        <v>25</v>
      </c>
      <c r="G577" s="35" t="s">
        <v>25</v>
      </c>
      <c r="H577" s="35" t="s">
        <v>25</v>
      </c>
      <c r="I577" s="55">
        <v>44470</v>
      </c>
      <c r="J577" s="56">
        <f>EFEITO!$J$577*EFEITO!$Y$577</f>
        <v>0</v>
      </c>
      <c r="K577" s="56">
        <f ca="1">EFEITO!$L$577*EFEITO!$Z$577</f>
        <v>125631.4297465196</v>
      </c>
      <c r="L577" s="56">
        <f>EFEITO!$N$577*EFEITO!$AA$577</f>
        <v>14418.960755764954</v>
      </c>
      <c r="M577" s="56">
        <f>$J$577-EFEITO!$K$577*EFEITO!$Y$577</f>
        <v>0</v>
      </c>
      <c r="N577" s="56">
        <f ca="1">$K$577-EFEITO!$M$577*EFEITO!$Z$577</f>
        <v>0</v>
      </c>
      <c r="O577" s="56">
        <f>$L$577-EFEITO!$O$577*EFEITO!$AA$577</f>
        <v>0</v>
      </c>
      <c r="P577" s="39"/>
      <c r="Q577" s="39"/>
      <c r="R577" s="39"/>
      <c r="S577" s="39"/>
      <c r="T577" s="39"/>
      <c r="U577" s="39"/>
      <c r="V577" s="39"/>
      <c r="W577" s="39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1.25" customHeight="1" x14ac:dyDescent="0.2">
      <c r="A578" s="35" t="s">
        <v>21</v>
      </c>
      <c r="B578" s="35" t="s">
        <v>45</v>
      </c>
      <c r="C578" s="35" t="s">
        <v>23</v>
      </c>
      <c r="D578" s="35" t="s">
        <v>46</v>
      </c>
      <c r="E578" s="35" t="s">
        <v>47</v>
      </c>
      <c r="F578" s="35" t="s">
        <v>25</v>
      </c>
      <c r="G578" s="35" t="s">
        <v>25</v>
      </c>
      <c r="H578" s="35" t="s">
        <v>25</v>
      </c>
      <c r="I578" s="55">
        <v>44501</v>
      </c>
      <c r="J578" s="56">
        <f>EFEITO!$J$578*EFEITO!$Y$578</f>
        <v>0</v>
      </c>
      <c r="K578" s="56">
        <f ca="1">EFEITO!$L$578*EFEITO!$Z$578</f>
        <v>125838.05636569901</v>
      </c>
      <c r="L578" s="56">
        <f>EFEITO!$N$578*EFEITO!$AA$578</f>
        <v>14442.675690149254</v>
      </c>
      <c r="M578" s="56">
        <f>$J$578-EFEITO!$K$578*EFEITO!$Y$578</f>
        <v>0</v>
      </c>
      <c r="N578" s="56">
        <f ca="1">$K$578-EFEITO!$M$578*EFEITO!$Z$578</f>
        <v>0</v>
      </c>
      <c r="O578" s="56">
        <f>$L$578-EFEITO!$O$578*EFEITO!$AA$578</f>
        <v>0</v>
      </c>
      <c r="P578" s="39"/>
      <c r="Q578" s="39"/>
      <c r="R578" s="39"/>
      <c r="S578" s="39"/>
      <c r="T578" s="39"/>
      <c r="U578" s="39"/>
      <c r="V578" s="39"/>
      <c r="W578" s="39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1.25" customHeight="1" x14ac:dyDescent="0.2">
      <c r="A579" s="35" t="s">
        <v>21</v>
      </c>
      <c r="B579" s="35" t="s">
        <v>45</v>
      </c>
      <c r="C579" s="35" t="s">
        <v>23</v>
      </c>
      <c r="D579" s="35" t="s">
        <v>46</v>
      </c>
      <c r="E579" s="35" t="s">
        <v>47</v>
      </c>
      <c r="F579" s="35" t="s">
        <v>25</v>
      </c>
      <c r="G579" s="35" t="s">
        <v>25</v>
      </c>
      <c r="H579" s="35" t="s">
        <v>25</v>
      </c>
      <c r="I579" s="55">
        <v>44531</v>
      </c>
      <c r="J579" s="56">
        <f>EFEITO!$J$579*EFEITO!$Y$579</f>
        <v>0</v>
      </c>
      <c r="K579" s="56">
        <f ca="1">EFEITO!$L$579*EFEITO!$Z$579</f>
        <v>128665.62142263549</v>
      </c>
      <c r="L579" s="56">
        <f>EFEITO!$N$579*EFEITO!$AA$579</f>
        <v>14767.200768567927</v>
      </c>
      <c r="M579" s="56">
        <f>$J$579-EFEITO!$K$579*EFEITO!$Y$579</f>
        <v>0</v>
      </c>
      <c r="N579" s="56">
        <f ca="1">$K$579-EFEITO!$M$579*EFEITO!$Z$579</f>
        <v>0</v>
      </c>
      <c r="O579" s="56">
        <f>$L$579-EFEITO!$O$579*EFEITO!$AA$579</f>
        <v>0</v>
      </c>
      <c r="P579" s="39"/>
      <c r="Q579" s="39"/>
      <c r="R579" s="39"/>
      <c r="S579" s="39"/>
      <c r="T579" s="39"/>
      <c r="U579" s="39"/>
      <c r="V579" s="39"/>
      <c r="W579" s="39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1.25" customHeight="1" x14ac:dyDescent="0.2">
      <c r="A580" s="35" t="s">
        <v>21</v>
      </c>
      <c r="B580" s="35" t="s">
        <v>45</v>
      </c>
      <c r="C580" s="35" t="s">
        <v>23</v>
      </c>
      <c r="D580" s="35" t="s">
        <v>46</v>
      </c>
      <c r="E580" s="35" t="s">
        <v>47</v>
      </c>
      <c r="F580" s="35" t="s">
        <v>25</v>
      </c>
      <c r="G580" s="35" t="s">
        <v>25</v>
      </c>
      <c r="H580" s="35" t="s">
        <v>25</v>
      </c>
      <c r="I580" s="55">
        <v>44562</v>
      </c>
      <c r="J580" s="56">
        <f>EFEITO!$J$580*EFEITO!$Y$580</f>
        <v>0</v>
      </c>
      <c r="K580" s="56">
        <f ca="1">EFEITO!$L$580*EFEITO!$Z$580</f>
        <v>129315.25225295499</v>
      </c>
      <c r="L580" s="56">
        <f>EFEITO!$N$580*EFEITO!$AA$580</f>
        <v>14841.760148072015</v>
      </c>
      <c r="M580" s="56">
        <f>$J$580-EFEITO!$K$580*EFEITO!$Y$580</f>
        <v>0</v>
      </c>
      <c r="N580" s="56">
        <f ca="1">$K$580-EFEITO!$M$580*EFEITO!$Z$580</f>
        <v>0</v>
      </c>
      <c r="O580" s="56">
        <f>$L$580-EFEITO!$O$580*EFEITO!$AA$580</f>
        <v>0</v>
      </c>
      <c r="P580" s="39"/>
      <c r="Q580" s="39"/>
      <c r="R580" s="39"/>
      <c r="S580" s="39"/>
      <c r="T580" s="39"/>
      <c r="U580" s="39"/>
      <c r="V580" s="39"/>
      <c r="W580" s="39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1.25" customHeight="1" x14ac:dyDescent="0.2">
      <c r="A581" s="35" t="s">
        <v>21</v>
      </c>
      <c r="B581" s="35" t="s">
        <v>45</v>
      </c>
      <c r="C581" s="35" t="s">
        <v>23</v>
      </c>
      <c r="D581" s="35" t="s">
        <v>46</v>
      </c>
      <c r="E581" s="35" t="s">
        <v>47</v>
      </c>
      <c r="F581" s="35" t="s">
        <v>25</v>
      </c>
      <c r="G581" s="35" t="s">
        <v>25</v>
      </c>
      <c r="H581" s="35" t="s">
        <v>25</v>
      </c>
      <c r="I581" s="55">
        <v>44593</v>
      </c>
      <c r="J581" s="56">
        <f>EFEITO!$J$581*EFEITO!$Y$581</f>
        <v>0</v>
      </c>
      <c r="K581" s="56">
        <f ca="1">EFEITO!$L$581*EFEITO!$Z$581</f>
        <v>129315.25225295499</v>
      </c>
      <c r="L581" s="56">
        <f>EFEITO!$N$581*EFEITO!$AA$581</f>
        <v>14841.760148072015</v>
      </c>
      <c r="M581" s="56">
        <f>$J$581-EFEITO!$K$581*EFEITO!$Y$581</f>
        <v>0</v>
      </c>
      <c r="N581" s="56">
        <f ca="1">$K$581-EFEITO!$M$581*EFEITO!$Z$581</f>
        <v>0</v>
      </c>
      <c r="O581" s="56">
        <f>$L$581-EFEITO!$O$581*EFEITO!$AA$581</f>
        <v>0</v>
      </c>
      <c r="P581" s="39"/>
      <c r="Q581" s="39"/>
      <c r="R581" s="39"/>
      <c r="S581" s="39"/>
      <c r="T581" s="39"/>
      <c r="U581" s="39"/>
      <c r="V581" s="39"/>
      <c r="W581" s="39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1.25" customHeight="1" x14ac:dyDescent="0.2">
      <c r="A582" s="35" t="s">
        <v>21</v>
      </c>
      <c r="B582" s="35" t="s">
        <v>45</v>
      </c>
      <c r="C582" s="35" t="s">
        <v>23</v>
      </c>
      <c r="D582" s="35" t="s">
        <v>46</v>
      </c>
      <c r="E582" s="35" t="s">
        <v>47</v>
      </c>
      <c r="F582" s="35" t="s">
        <v>25</v>
      </c>
      <c r="G582" s="35" t="s">
        <v>25</v>
      </c>
      <c r="H582" s="35" t="s">
        <v>25</v>
      </c>
      <c r="I582" s="55">
        <v>44621</v>
      </c>
      <c r="J582" s="56">
        <f>EFEITO!$J$582*EFEITO!$Y$582</f>
        <v>0</v>
      </c>
      <c r="K582" s="56">
        <f ca="1">EFEITO!$L$582*EFEITO!$Z$582</f>
        <v>129741.95456120126</v>
      </c>
      <c r="L582" s="56">
        <f>EFEITO!$N$582*EFEITO!$AA$582</f>
        <v>14890.733592451426</v>
      </c>
      <c r="M582" s="56">
        <f>$J$582-EFEITO!$K$582*EFEITO!$Y$582</f>
        <v>0</v>
      </c>
      <c r="N582" s="56">
        <f ca="1">$K$582-EFEITO!$M$582*EFEITO!$Z$582</f>
        <v>0</v>
      </c>
      <c r="O582" s="56">
        <f>$L$582-EFEITO!$O$582*EFEITO!$AA$582</f>
        <v>0</v>
      </c>
      <c r="P582" s="39"/>
      <c r="Q582" s="39"/>
      <c r="R582" s="39"/>
      <c r="S582" s="39"/>
      <c r="T582" s="39"/>
      <c r="U582" s="39"/>
      <c r="V582" s="39"/>
      <c r="W582" s="39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1.25" customHeight="1" x14ac:dyDescent="0.2">
      <c r="A583" s="35" t="s">
        <v>21</v>
      </c>
      <c r="B583" s="35" t="s">
        <v>45</v>
      </c>
      <c r="C583" s="35" t="s">
        <v>23</v>
      </c>
      <c r="D583" s="35" t="s">
        <v>46</v>
      </c>
      <c r="E583" s="35" t="s">
        <v>47</v>
      </c>
      <c r="F583" s="35" t="s">
        <v>25</v>
      </c>
      <c r="G583" s="35" t="s">
        <v>25</v>
      </c>
      <c r="H583" s="35" t="s">
        <v>25</v>
      </c>
      <c r="I583" s="55">
        <v>44652</v>
      </c>
      <c r="J583" s="56">
        <f>EFEITO!$J$583*EFEITO!$Y$583</f>
        <v>0</v>
      </c>
      <c r="K583" s="56">
        <f ca="1">EFEITO!$L$583*EFEITO!$Z$583</f>
        <v>129974.66422501081</v>
      </c>
      <c r="L583" s="56">
        <f>EFEITO!$N$583*EFEITO!$AA$583</f>
        <v>14917.44212802033</v>
      </c>
      <c r="M583" s="56">
        <f>$J$583-EFEITO!$K$583*EFEITO!$Y$583</f>
        <v>0</v>
      </c>
      <c r="N583" s="56">
        <f ca="1">$K$583-EFEITO!$M$583*EFEITO!$Z$583</f>
        <v>0</v>
      </c>
      <c r="O583" s="56">
        <f>$L$583-EFEITO!$O$583*EFEITO!$AA$583</f>
        <v>0</v>
      </c>
      <c r="P583" s="39"/>
      <c r="Q583" s="39"/>
      <c r="R583" s="39"/>
      <c r="S583" s="39"/>
      <c r="T583" s="39"/>
      <c r="U583" s="39"/>
      <c r="V583" s="39"/>
      <c r="W583" s="39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1.25" customHeight="1" x14ac:dyDescent="0.2">
      <c r="A584" s="35" t="s">
        <v>21</v>
      </c>
      <c r="B584" s="35" t="s">
        <v>45</v>
      </c>
      <c r="C584" s="35" t="s">
        <v>23</v>
      </c>
      <c r="D584" s="35" t="s">
        <v>46</v>
      </c>
      <c r="E584" s="35" t="s">
        <v>47</v>
      </c>
      <c r="F584" s="35" t="s">
        <v>25</v>
      </c>
      <c r="G584" s="35" t="s">
        <v>25</v>
      </c>
      <c r="H584" s="35" t="s">
        <v>25</v>
      </c>
      <c r="I584" s="55">
        <v>44682</v>
      </c>
      <c r="J584" s="56">
        <f>EFEITO!$J$584*EFEITO!$Y$584</f>
        <v>0</v>
      </c>
      <c r="K584" s="56">
        <f ca="1">EFEITO!$L$584*EFEITO!$Z$584</f>
        <v>130612.06862815995</v>
      </c>
      <c r="L584" s="56">
        <f>EFEITO!$N$584*EFEITO!$AA$584</f>
        <v>14990.598256969135</v>
      </c>
      <c r="M584" s="56">
        <f>$J$584-EFEITO!$K$584*EFEITO!$Y$584</f>
        <v>0</v>
      </c>
      <c r="N584" s="56">
        <f ca="1">$K$584-EFEITO!$M$584*EFEITO!$Z$584</f>
        <v>0</v>
      </c>
      <c r="O584" s="56">
        <f>$L$584-EFEITO!$O$584*EFEITO!$AA$584</f>
        <v>0</v>
      </c>
      <c r="P584" s="39"/>
      <c r="Q584" s="39"/>
      <c r="R584" s="39"/>
      <c r="S584" s="39"/>
      <c r="T584" s="39"/>
      <c r="U584" s="39"/>
      <c r="V584" s="39"/>
      <c r="W584" s="39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1.25" customHeight="1" x14ac:dyDescent="0.2">
      <c r="A585" s="35" t="s">
        <v>21</v>
      </c>
      <c r="B585" s="35" t="s">
        <v>45</v>
      </c>
      <c r="C585" s="35" t="s">
        <v>23</v>
      </c>
      <c r="D585" s="35" t="s">
        <v>46</v>
      </c>
      <c r="E585" s="35" t="s">
        <v>47</v>
      </c>
      <c r="F585" s="35" t="s">
        <v>25</v>
      </c>
      <c r="G585" s="35" t="s">
        <v>25</v>
      </c>
      <c r="H585" s="35" t="s">
        <v>25</v>
      </c>
      <c r="I585" s="55">
        <v>44713</v>
      </c>
      <c r="J585" s="56">
        <f>EFEITO!$J$585*EFEITO!$Y$585</f>
        <v>0</v>
      </c>
      <c r="K585" s="56">
        <f ca="1">EFEITO!$L$585*EFEITO!$Z$585</f>
        <v>131355.02785254669</v>
      </c>
      <c r="L585" s="56">
        <f>EFEITO!$N$585*EFEITO!$AA$585</f>
        <v>15075.86911571189</v>
      </c>
      <c r="M585" s="56">
        <f>$J$585-EFEITO!$K$585*EFEITO!$Y$585</f>
        <v>0</v>
      </c>
      <c r="N585" s="56">
        <f ca="1">$K$585-EFEITO!$M$585*EFEITO!$Z$585</f>
        <v>0</v>
      </c>
      <c r="O585" s="56">
        <f>$L$585-EFEITO!$O$585*EFEITO!$AA$585</f>
        <v>0</v>
      </c>
      <c r="P585" s="39"/>
      <c r="Q585" s="39"/>
      <c r="R585" s="39"/>
      <c r="S585" s="39"/>
      <c r="T585" s="39"/>
      <c r="U585" s="39"/>
      <c r="V585" s="39"/>
      <c r="W585" s="39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1.25" customHeight="1" x14ac:dyDescent="0.2">
      <c r="A586" s="35" t="s">
        <v>21</v>
      </c>
      <c r="B586" s="35" t="s">
        <v>45</v>
      </c>
      <c r="C586" s="35" t="s">
        <v>23</v>
      </c>
      <c r="D586" s="35" t="s">
        <v>46</v>
      </c>
      <c r="E586" s="35" t="s">
        <v>47</v>
      </c>
      <c r="F586" s="35" t="s">
        <v>25</v>
      </c>
      <c r="G586" s="35" t="s">
        <v>25</v>
      </c>
      <c r="H586" s="35" t="s">
        <v>25</v>
      </c>
      <c r="I586" s="55">
        <v>44743</v>
      </c>
      <c r="J586" s="56">
        <f>EFEITO!$J$586*EFEITO!$Y$586</f>
        <v>0</v>
      </c>
      <c r="K586" s="56">
        <f ca="1">EFEITO!$L$586*EFEITO!$Z$586</f>
        <v>136757.07092399278</v>
      </c>
      <c r="L586" s="56">
        <f>EFEITO!$N$586*EFEITO!$AA$586</f>
        <v>15695.871986054861</v>
      </c>
      <c r="M586" s="56">
        <f>$J$586-EFEITO!$K$586*EFEITO!$Y$586</f>
        <v>0</v>
      </c>
      <c r="N586" s="56">
        <f ca="1">$K$586-EFEITO!$M$586*EFEITO!$Z$586</f>
        <v>0</v>
      </c>
      <c r="O586" s="56">
        <f>$L$586-EFEITO!$O$586*EFEITO!$AA$586</f>
        <v>0</v>
      </c>
      <c r="P586" s="39"/>
      <c r="Q586" s="39"/>
      <c r="R586" s="39"/>
      <c r="S586" s="39"/>
      <c r="T586" s="39"/>
      <c r="U586" s="39"/>
      <c r="V586" s="39"/>
      <c r="W586" s="39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1.25" customHeight="1" x14ac:dyDescent="0.2">
      <c r="A587" s="35" t="s">
        <v>21</v>
      </c>
      <c r="B587" s="35" t="s">
        <v>45</v>
      </c>
      <c r="C587" s="35" t="s">
        <v>23</v>
      </c>
      <c r="D587" s="35" t="s">
        <v>46</v>
      </c>
      <c r="E587" s="35" t="s">
        <v>47</v>
      </c>
      <c r="F587" s="35" t="s">
        <v>25</v>
      </c>
      <c r="G587" s="35" t="s">
        <v>25</v>
      </c>
      <c r="H587" s="35" t="s">
        <v>25</v>
      </c>
      <c r="I587" s="55">
        <v>44774</v>
      </c>
      <c r="J587" s="56">
        <f>EFEITO!$J$587*EFEITO!$Y$587</f>
        <v>0</v>
      </c>
      <c r="K587" s="56">
        <f ca="1">EFEITO!$L$587*EFEITO!$Z$587</f>
        <v>128911.37260876012</v>
      </c>
      <c r="L587" s="56">
        <f>EFEITO!$N$587*EFEITO!$AA$587</f>
        <v>14795.406104729134</v>
      </c>
      <c r="M587" s="56">
        <f>$J$587-EFEITO!$K$587*EFEITO!$Y$587</f>
        <v>0</v>
      </c>
      <c r="N587" s="56">
        <f ca="1">$K$587-EFEITO!$M$587*EFEITO!$Z$587</f>
        <v>0</v>
      </c>
      <c r="O587" s="56">
        <f>$L$587-EFEITO!$O$587*EFEITO!$AA$587</f>
        <v>0</v>
      </c>
      <c r="P587" s="39"/>
      <c r="Q587" s="39"/>
      <c r="R587" s="39"/>
      <c r="S587" s="39"/>
      <c r="T587" s="39"/>
      <c r="U587" s="39"/>
      <c r="V587" s="39"/>
      <c r="W587" s="39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7C95-92CD-402C-85D8-DEE46C6024C3}">
  <dimension ref="A1:BD103"/>
  <sheetViews>
    <sheetView showGridLines="0" topLeftCell="C36" workbookViewId="0">
      <selection activeCell="L53" sqref="L53:BD103"/>
    </sheetView>
  </sheetViews>
  <sheetFormatPr defaultRowHeight="11.25" customHeight="1" x14ac:dyDescent="0.3"/>
  <cols>
    <col min="1" max="1" width="9" style="9" bestFit="1" customWidth="1"/>
    <col min="2" max="2" width="21.33203125" style="9" bestFit="1" customWidth="1"/>
    <col min="3" max="3" width="30.33203125" style="9" bestFit="1" customWidth="1"/>
    <col min="4" max="4" width="51.5546875" style="9" bestFit="1" customWidth="1"/>
    <col min="5" max="5" width="60.5546875" style="9" bestFit="1" customWidth="1"/>
    <col min="6" max="6" width="69.5546875" style="9" bestFit="1" customWidth="1"/>
    <col min="7" max="7" width="70.664062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7.109375" style="9" bestFit="1" customWidth="1"/>
    <col min="21" max="21" width="7" style="9" bestFit="1" customWidth="1"/>
    <col min="22" max="22" width="9.21875" style="9" bestFit="1" customWidth="1"/>
    <col min="23" max="23" width="9.33203125" style="9" bestFit="1" customWidth="1"/>
    <col min="24" max="24" width="9.109375" style="9" bestFit="1" customWidth="1"/>
    <col min="25" max="25" width="7.109375" style="9" bestFit="1" customWidth="1"/>
    <col min="26" max="26" width="9.33203125" style="9" bestFit="1" customWidth="1"/>
    <col min="27" max="27" width="11.109375" style="9" bestFit="1" customWidth="1"/>
    <col min="28" max="28" width="7.77734375" style="9" bestFit="1" customWidth="1"/>
    <col min="29" max="29" width="6.88671875" style="9" bestFit="1" customWidth="1"/>
    <col min="30" max="30" width="14.44140625" style="9" bestFit="1" customWidth="1"/>
    <col min="31" max="31" width="17.5546875" style="9" bestFit="1" customWidth="1"/>
    <col min="32" max="32" width="18.109375" style="9" bestFit="1" customWidth="1"/>
    <col min="33" max="33" width="3.5546875" style="9" bestFit="1" customWidth="1"/>
    <col min="34" max="34" width="8.88671875" style="9"/>
    <col min="35" max="35" width="12.44140625" style="9" bestFit="1" customWidth="1"/>
    <col min="36" max="36" width="7.109375" style="9" bestFit="1" customWidth="1"/>
    <col min="37" max="37" width="3.77734375" style="9" bestFit="1" customWidth="1"/>
    <col min="38" max="38" width="3.88671875" style="9" bestFit="1" customWidth="1"/>
    <col min="39" max="39" width="3.77734375" style="9" bestFit="1" customWidth="1"/>
    <col min="40" max="40" width="9.109375" style="9" bestFit="1" customWidth="1"/>
    <col min="41" max="41" width="7.88671875" style="9" bestFit="1" customWidth="1"/>
    <col min="42" max="42" width="8" style="9" bestFit="1" customWidth="1"/>
    <col min="43" max="43" width="7.109375" style="9" bestFit="1" customWidth="1"/>
    <col min="44" max="44" width="7" style="9" bestFit="1" customWidth="1"/>
    <col min="45" max="45" width="9.21875" style="9" bestFit="1" customWidth="1"/>
    <col min="46" max="46" width="9.33203125" style="9" bestFit="1" customWidth="1"/>
    <col min="47" max="47" width="9.109375" style="9" bestFit="1" customWidth="1"/>
    <col min="48" max="48" width="7.109375" style="9" bestFit="1" customWidth="1"/>
    <col min="49" max="49" width="9.33203125" style="9" bestFit="1" customWidth="1"/>
    <col min="50" max="50" width="11.109375" style="9" bestFit="1" customWidth="1"/>
    <col min="51" max="51" width="7.77734375" style="9" bestFit="1" customWidth="1"/>
    <col min="52" max="52" width="6.88671875" style="9" bestFit="1" customWidth="1"/>
    <col min="53" max="53" width="14.44140625" style="9" bestFit="1" customWidth="1"/>
    <col min="54" max="54" width="17.5546875" style="9" bestFit="1" customWidth="1"/>
    <col min="55" max="55" width="18.109375" style="9" bestFit="1" customWidth="1"/>
    <col min="56" max="56" width="3.5546875" style="9" bestFit="1" customWidth="1"/>
    <col min="57" max="16384" width="8.88671875" style="9"/>
  </cols>
  <sheetData>
    <row r="1" spans="1:56" ht="11.25" customHeight="1" x14ac:dyDescent="0.3">
      <c r="A1" s="91" t="s">
        <v>457</v>
      </c>
      <c r="B1" s="91" t="s">
        <v>458</v>
      </c>
      <c r="C1" s="91" t="s">
        <v>459</v>
      </c>
      <c r="D1" s="91" t="s">
        <v>460</v>
      </c>
      <c r="E1" s="91" t="s">
        <v>461</v>
      </c>
      <c r="F1" s="91" t="s">
        <v>15</v>
      </c>
      <c r="G1" s="91" t="s">
        <v>463</v>
      </c>
      <c r="H1" s="91" t="s">
        <v>464</v>
      </c>
      <c r="I1" s="91" t="s">
        <v>593</v>
      </c>
      <c r="J1" s="84"/>
      <c r="L1" s="92" t="s">
        <v>792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793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492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492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493</v>
      </c>
      <c r="M3" s="92"/>
      <c r="N3" s="92"/>
      <c r="O3" s="92"/>
      <c r="P3" s="92"/>
      <c r="Q3" s="92"/>
      <c r="R3" s="92"/>
      <c r="S3" s="92"/>
      <c r="T3" s="92" t="s">
        <v>502</v>
      </c>
      <c r="U3" s="92"/>
      <c r="V3" s="92"/>
      <c r="W3" s="92"/>
      <c r="X3" s="92"/>
      <c r="Y3" s="92"/>
      <c r="Z3" s="92"/>
      <c r="AA3" s="10" t="s">
        <v>510</v>
      </c>
      <c r="AB3" s="92" t="s">
        <v>512</v>
      </c>
      <c r="AC3" s="92"/>
      <c r="AD3" s="92" t="s">
        <v>515</v>
      </c>
      <c r="AE3" s="92"/>
      <c r="AF3" s="92"/>
      <c r="AG3" s="92"/>
      <c r="AI3" s="92" t="s">
        <v>493</v>
      </c>
      <c r="AJ3" s="92"/>
      <c r="AK3" s="92"/>
      <c r="AL3" s="92"/>
      <c r="AM3" s="92"/>
      <c r="AN3" s="92"/>
      <c r="AO3" s="92"/>
      <c r="AP3" s="92"/>
      <c r="AQ3" s="92" t="s">
        <v>502</v>
      </c>
      <c r="AR3" s="92"/>
      <c r="AS3" s="92"/>
      <c r="AT3" s="92"/>
      <c r="AU3" s="92"/>
      <c r="AV3" s="92"/>
      <c r="AW3" s="92"/>
      <c r="AX3" s="10" t="s">
        <v>510</v>
      </c>
      <c r="AY3" s="92" t="s">
        <v>512</v>
      </c>
      <c r="AZ3" s="92"/>
      <c r="BA3" s="92" t="s">
        <v>515</v>
      </c>
      <c r="BB3" s="92"/>
      <c r="BC3" s="92"/>
      <c r="BD3" s="92"/>
    </row>
    <row r="4" spans="1:56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578</v>
      </c>
      <c r="M4" s="10" t="s">
        <v>494</v>
      </c>
      <c r="N4" s="10" t="s">
        <v>495</v>
      </c>
      <c r="O4" s="10" t="s">
        <v>496</v>
      </c>
      <c r="P4" s="10" t="s">
        <v>497</v>
      </c>
      <c r="Q4" s="10" t="s">
        <v>498</v>
      </c>
      <c r="R4" s="10" t="s">
        <v>499</v>
      </c>
      <c r="S4" s="10" t="s">
        <v>500</v>
      </c>
      <c r="T4" s="10" t="s">
        <v>503</v>
      </c>
      <c r="U4" s="10" t="s">
        <v>504</v>
      </c>
      <c r="V4" s="10" t="s">
        <v>505</v>
      </c>
      <c r="W4" s="10" t="s">
        <v>506</v>
      </c>
      <c r="X4" s="10" t="s">
        <v>507</v>
      </c>
      <c r="Y4" s="10" t="s">
        <v>508</v>
      </c>
      <c r="Z4" s="10" t="s">
        <v>509</v>
      </c>
      <c r="AA4" s="10" t="s">
        <v>511</v>
      </c>
      <c r="AB4" s="10" t="s">
        <v>513</v>
      </c>
      <c r="AC4" s="10" t="s">
        <v>514</v>
      </c>
      <c r="AD4" s="10" t="s">
        <v>516</v>
      </c>
      <c r="AE4" s="10" t="s">
        <v>517</v>
      </c>
      <c r="AF4" s="10" t="s">
        <v>518</v>
      </c>
      <c r="AG4" s="10" t="s">
        <v>519</v>
      </c>
      <c r="AI4" s="10" t="s">
        <v>578</v>
      </c>
      <c r="AJ4" s="10" t="s">
        <v>494</v>
      </c>
      <c r="AK4" s="10" t="s">
        <v>495</v>
      </c>
      <c r="AL4" s="10" t="s">
        <v>496</v>
      </c>
      <c r="AM4" s="10" t="s">
        <v>497</v>
      </c>
      <c r="AN4" s="10" t="s">
        <v>498</v>
      </c>
      <c r="AO4" s="10" t="s">
        <v>499</v>
      </c>
      <c r="AP4" s="10" t="s">
        <v>500</v>
      </c>
      <c r="AQ4" s="10" t="s">
        <v>503</v>
      </c>
      <c r="AR4" s="10" t="s">
        <v>504</v>
      </c>
      <c r="AS4" s="10" t="s">
        <v>505</v>
      </c>
      <c r="AT4" s="10" t="s">
        <v>506</v>
      </c>
      <c r="AU4" s="10" t="s">
        <v>507</v>
      </c>
      <c r="AV4" s="10" t="s">
        <v>508</v>
      </c>
      <c r="AW4" s="10" t="s">
        <v>509</v>
      </c>
      <c r="AX4" s="10" t="s">
        <v>511</v>
      </c>
      <c r="AY4" s="10" t="s">
        <v>513</v>
      </c>
      <c r="AZ4" s="10" t="s">
        <v>514</v>
      </c>
      <c r="BA4" s="10" t="s">
        <v>516</v>
      </c>
      <c r="BB4" s="10" t="s">
        <v>517</v>
      </c>
      <c r="BC4" s="10" t="s">
        <v>518</v>
      </c>
      <c r="BD4" s="10" t="s">
        <v>519</v>
      </c>
    </row>
    <row r="5" spans="1:56" ht="11.25" customHeight="1" x14ac:dyDescent="0.3">
      <c r="A5" s="90" t="s">
        <v>39</v>
      </c>
      <c r="B5" s="90" t="s">
        <v>470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472</v>
      </c>
      <c r="H5" s="18" t="s">
        <v>471</v>
      </c>
      <c r="I5" s="18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43.046121480539441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104.35703598601752</v>
      </c>
      <c r="AB5" s="13">
        <f ca="1">('TUSD BE'!$AE$5+'TUSD BF'!$AE$5+'TUSD CVA'!$AE$5)*1</f>
        <v>-1.618096928431201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42.3981626761895</v>
      </c>
      <c r="AV5" s="13">
        <v>0</v>
      </c>
      <c r="AW5" s="13">
        <v>0</v>
      </c>
      <c r="AX5" s="13">
        <v>60.638961541403198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3">
      <c r="A6" s="90"/>
      <c r="B6" s="90"/>
      <c r="C6" s="90"/>
      <c r="D6" s="90"/>
      <c r="E6" s="90"/>
      <c r="F6" s="90"/>
      <c r="G6" s="18" t="s">
        <v>473</v>
      </c>
      <c r="H6" s="18" t="s">
        <v>471</v>
      </c>
      <c r="I6" s="18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17.398688525177363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29.160848816842794</v>
      </c>
      <c r="AB6" s="13">
        <f ca="1">('TUSD BE'!$AE$6+'TUSD BF'!$AE$6+'TUSD CVA'!$AE$6)*1</f>
        <v>-0.50978442892569942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17.136736775376601</v>
      </c>
      <c r="AV6" s="13">
        <v>0</v>
      </c>
      <c r="AW6" s="13">
        <v>0</v>
      </c>
      <c r="AX6" s="13">
        <v>16.944551190880102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3">
      <c r="A7" s="90"/>
      <c r="B7" s="90"/>
      <c r="C7" s="90"/>
      <c r="D7" s="90"/>
      <c r="E7" s="90"/>
      <c r="F7" s="90"/>
      <c r="G7" s="18" t="s">
        <v>474</v>
      </c>
      <c r="H7" s="18" t="s">
        <v>467</v>
      </c>
      <c r="I7" s="18">
        <f>'MERCADO TUSD'!$U$4</f>
        <v>0</v>
      </c>
      <c r="J7" s="15"/>
      <c r="L7" s="13">
        <f>('TUSD BE'!$L$7+'TUSD BF'!$L$7+'TUSD CVA'!$L$7)*1</f>
        <v>0</v>
      </c>
      <c r="M7" s="13">
        <f>('TUSD BE'!$M$7+'TUSD BF'!$M$7+'TUSD CVA'!$M$7)*1</f>
        <v>1.0201944089472319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74.470118946313804</v>
      </c>
      <c r="R7" s="13">
        <f>('TUSD BE'!$R$7+'TUSD BF'!$R$7+'TUSD CVA'!$R$7)*1</f>
        <v>14.017171435886358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-1.1039111191031383</v>
      </c>
      <c r="AC7" s="13">
        <f ca="1">('TUSD BE'!$AF$7+'TUSD BF'!$AF$7+'TUSD CVA'!$AF$7)*1</f>
        <v>0</v>
      </c>
      <c r="AD7" s="13">
        <f>('TUSD BE'!$AH$7+'TUSD BF'!$AH$7+'TUSD CVA'!$AH$7)*1</f>
        <v>3.017829572114767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0.73248199775937095</v>
      </c>
      <c r="AK7" s="13">
        <v>0</v>
      </c>
      <c r="AL7" s="13">
        <v>0</v>
      </c>
      <c r="AM7" s="13">
        <v>0</v>
      </c>
      <c r="AN7" s="13">
        <v>47.634926244786001</v>
      </c>
      <c r="AO7" s="13">
        <v>8.6248708278903408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10.4983360496714</v>
      </c>
      <c r="BB7" s="13">
        <v>0</v>
      </c>
      <c r="BC7" s="13">
        <v>0</v>
      </c>
      <c r="BD7" s="13">
        <v>0</v>
      </c>
    </row>
    <row r="8" spans="1:56" ht="11.25" customHeight="1" x14ac:dyDescent="0.3">
      <c r="A8" s="90"/>
      <c r="B8" s="90"/>
      <c r="C8" s="90"/>
      <c r="D8" s="90"/>
      <c r="E8" s="17" t="s">
        <v>475</v>
      </c>
      <c r="F8" s="17" t="s">
        <v>25</v>
      </c>
      <c r="G8" s="18" t="s">
        <v>474</v>
      </c>
      <c r="H8" s="18" t="s">
        <v>467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1.0201944089472319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-9.3537026824313557E-2</v>
      </c>
      <c r="AC8" s="13">
        <f ca="1">('TUSD BE'!$AF$8+'TUSD BF'!$AF$8+'TUSD CVA'!$AF$8)*1</f>
        <v>0</v>
      </c>
      <c r="AD8" s="13">
        <f>('TUSD BE'!$AH$8+'TUSD BF'!$AH$8+'TUSD CVA'!$AH$8)*1</f>
        <v>3.017829572114767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0.73248199775937095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10.4983360496714</v>
      </c>
      <c r="BB8" s="13">
        <v>0</v>
      </c>
      <c r="BC8" s="13">
        <v>0</v>
      </c>
      <c r="BD8" s="13">
        <v>0</v>
      </c>
    </row>
    <row r="9" spans="1:56" ht="11.25" customHeight="1" x14ac:dyDescent="0.3">
      <c r="A9" s="90"/>
      <c r="B9" s="17" t="s">
        <v>476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471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1.0520797590880978E-2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13.192432646357467</v>
      </c>
      <c r="AB9" s="13">
        <f ca="1">('TUSD BE'!$AE$9+'TUSD BF'!$AE$9+'TUSD CVA'!$AE$9)*1</f>
        <v>-0.14627314900792909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9.4187961126148394E-3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7.6657438651889498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3">
      <c r="A10" s="90"/>
      <c r="B10" s="90" t="s">
        <v>40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471</v>
      </c>
      <c r="I10" s="18">
        <f>'MERCADO TUSD'!$U$7</f>
        <v>63475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17.398688525177363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29.160848816842794</v>
      </c>
      <c r="AB10" s="13">
        <f ca="1">('TUSD BE'!$AE$10+'TUSD BF'!$AE$10+'TUSD CVA'!$AE$10)*1</f>
        <v>-0.50978442892569942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17.136736775376601</v>
      </c>
      <c r="AV10" s="13">
        <v>0</v>
      </c>
      <c r="AW10" s="13">
        <v>0</v>
      </c>
      <c r="AX10" s="13">
        <v>16.944551190880102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3">
      <c r="A11" s="90"/>
      <c r="B11" s="90"/>
      <c r="C11" s="90"/>
      <c r="D11" s="90"/>
      <c r="E11" s="90"/>
      <c r="F11" s="90"/>
      <c r="G11" s="18" t="s">
        <v>468</v>
      </c>
      <c r="H11" s="18" t="s">
        <v>467</v>
      </c>
      <c r="I11" s="18">
        <f>'MERCADO TUSD'!$U$8</f>
        <v>409.63599999999997</v>
      </c>
      <c r="J11" s="15"/>
      <c r="L11" s="13">
        <f>('TUSD BE'!$L$11+'TUSD BF'!$L$11+'TUSD CVA'!$L$11)*1</f>
        <v>0</v>
      </c>
      <c r="M11" s="13">
        <f>('TUSD BE'!$M$11+'TUSD BF'!$M$11+'TUSD CVA'!$M$11)*1</f>
        <v>1.0201944089472319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74.470118946313804</v>
      </c>
      <c r="R11" s="13">
        <f>('TUSD BE'!$R$11+'TUSD BF'!$R$11+'TUSD CVA'!$R$11)*1</f>
        <v>14.017171435886358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1035.6719259614163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2509.7868267612726</v>
      </c>
      <c r="AB11" s="13">
        <f ca="1">('TUSD BE'!$AE$11+'TUSD BF'!$AE$11+'TUSD CVA'!$AE$11)*1</f>
        <v>-40.023572732792296</v>
      </c>
      <c r="AC11" s="13">
        <f ca="1">('TUSD BE'!$AF$11+'TUSD BF'!$AF$11+'TUSD CVA'!$AF$11)*1</f>
        <v>0</v>
      </c>
      <c r="AD11" s="13">
        <f>('TUSD BE'!$AH$11+'TUSD BF'!$AH$11+'TUSD CVA'!$AH$11)*1</f>
        <v>3.017829572114767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0.73248199775937095</v>
      </c>
      <c r="AK11" s="13">
        <v>0</v>
      </c>
      <c r="AL11" s="13">
        <v>0</v>
      </c>
      <c r="AM11" s="13">
        <v>0</v>
      </c>
      <c r="AN11" s="13">
        <v>47.634926244786001</v>
      </c>
      <c r="AO11" s="13">
        <v>8.6248708278903408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1020.08120367814</v>
      </c>
      <c r="AV11" s="13">
        <v>0</v>
      </c>
      <c r="AW11" s="13">
        <v>0</v>
      </c>
      <c r="AX11" s="13">
        <v>1458.36754926362</v>
      </c>
      <c r="AY11" s="13">
        <v>0</v>
      </c>
      <c r="AZ11" s="13">
        <v>0</v>
      </c>
      <c r="BA11" s="13">
        <v>10.4983360496714</v>
      </c>
      <c r="BB11" s="13">
        <v>0</v>
      </c>
      <c r="BC11" s="13">
        <v>0</v>
      </c>
      <c r="BD11" s="13">
        <v>0</v>
      </c>
    </row>
    <row r="12" spans="1:56" ht="11.25" customHeight="1" x14ac:dyDescent="0.3">
      <c r="A12" s="90"/>
      <c r="B12" s="90"/>
      <c r="C12" s="90"/>
      <c r="D12" s="90"/>
      <c r="E12" s="90"/>
      <c r="F12" s="90"/>
      <c r="G12" s="18" t="s">
        <v>469</v>
      </c>
      <c r="H12" s="18" t="s">
        <v>467</v>
      </c>
      <c r="I12" s="18">
        <f>'MERCADO TUSD'!$U$9</f>
        <v>11292.635999999999</v>
      </c>
      <c r="J12" s="15"/>
      <c r="L12" s="13">
        <f>('TUSD BE'!$L$12+'TUSD BF'!$L$12+'TUSD CVA'!$L$12)*1</f>
        <v>0</v>
      </c>
      <c r="M12" s="13">
        <f>('TUSD BE'!$M$12+'TUSD BF'!$M$12+'TUSD CVA'!$M$12)*1</f>
        <v>1.0201944089472319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74.470118946313804</v>
      </c>
      <c r="R12" s="13">
        <f>('TUSD BE'!$R$12+'TUSD BF'!$R$12+'TUSD CVA'!$R$12)*1</f>
        <v>14.017171435886358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-1.1039111191031383</v>
      </c>
      <c r="AC12" s="13">
        <f ca="1">('TUSD BE'!$AF$12+'TUSD BF'!$AF$12+'TUSD CVA'!$AF$12)*1</f>
        <v>0</v>
      </c>
      <c r="AD12" s="13">
        <f>('TUSD BE'!$AH$12+'TUSD BF'!$AH$12+'TUSD CVA'!$AH$12)*1</f>
        <v>3.017829572114767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0.73248199775937095</v>
      </c>
      <c r="AK12" s="13">
        <v>0</v>
      </c>
      <c r="AL12" s="13">
        <v>0</v>
      </c>
      <c r="AM12" s="13">
        <v>0</v>
      </c>
      <c r="AN12" s="13">
        <v>47.634926244786001</v>
      </c>
      <c r="AO12" s="13">
        <v>8.6248708278903408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10.4983360496714</v>
      </c>
      <c r="BB12" s="13">
        <v>0</v>
      </c>
      <c r="BC12" s="13">
        <v>0</v>
      </c>
      <c r="BD12" s="13">
        <v>0</v>
      </c>
    </row>
    <row r="13" spans="1:56" ht="11.25" customHeight="1" x14ac:dyDescent="0.3">
      <c r="A13" s="90"/>
      <c r="B13" s="90"/>
      <c r="C13" s="90"/>
      <c r="D13" s="90"/>
      <c r="E13" s="90" t="s">
        <v>475</v>
      </c>
      <c r="F13" s="90" t="s">
        <v>25</v>
      </c>
      <c r="G13" s="18" t="s">
        <v>468</v>
      </c>
      <c r="H13" s="18" t="s">
        <v>467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1.0201944089472319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1035.6719259614163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2509.7868267612726</v>
      </c>
      <c r="AB13" s="13">
        <f ca="1">('TUSD BE'!$AE$13+'TUSD BF'!$AE$13+'TUSD CVA'!$AE$13)*1</f>
        <v>-39.013198640513473</v>
      </c>
      <c r="AC13" s="13">
        <f ca="1">('TUSD BE'!$AF$13+'TUSD BF'!$AF$13+'TUSD CVA'!$AF$13)*1</f>
        <v>0</v>
      </c>
      <c r="AD13" s="13">
        <f>('TUSD BE'!$AH$13+'TUSD BF'!$AH$13+'TUSD CVA'!$AH$13)*1</f>
        <v>3.017829572114767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0.73248199775937095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1020.08120367814</v>
      </c>
      <c r="AV13" s="13">
        <v>0</v>
      </c>
      <c r="AW13" s="13">
        <v>0</v>
      </c>
      <c r="AX13" s="13">
        <v>1458.36754926362</v>
      </c>
      <c r="AY13" s="13">
        <v>0</v>
      </c>
      <c r="AZ13" s="13">
        <v>0</v>
      </c>
      <c r="BA13" s="13">
        <v>10.4983360496714</v>
      </c>
      <c r="BB13" s="13">
        <v>0</v>
      </c>
      <c r="BC13" s="13">
        <v>0</v>
      </c>
      <c r="BD13" s="13">
        <v>0</v>
      </c>
    </row>
    <row r="14" spans="1:56" ht="11.25" customHeight="1" x14ac:dyDescent="0.3">
      <c r="A14" s="90"/>
      <c r="B14" s="90"/>
      <c r="C14" s="90"/>
      <c r="D14" s="90"/>
      <c r="E14" s="90"/>
      <c r="F14" s="90"/>
      <c r="G14" s="18" t="s">
        <v>469</v>
      </c>
      <c r="H14" s="18" t="s">
        <v>467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1.0201944089472319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-9.3537026824313557E-2</v>
      </c>
      <c r="AC14" s="13">
        <f ca="1">('TUSD BE'!$AF$14+'TUSD BF'!$AF$14+'TUSD CVA'!$AF$14)*1</f>
        <v>0</v>
      </c>
      <c r="AD14" s="13">
        <f>('TUSD BE'!$AH$14+'TUSD BF'!$AH$14+'TUSD CVA'!$AH$14)*1</f>
        <v>3.017829572114767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0.73248199775937095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10.4983360496714</v>
      </c>
      <c r="BB14" s="13">
        <v>0</v>
      </c>
      <c r="BC14" s="13">
        <v>0</v>
      </c>
      <c r="BD14" s="13">
        <v>0</v>
      </c>
    </row>
    <row r="15" spans="1:56" ht="11.25" customHeight="1" x14ac:dyDescent="0.3">
      <c r="A15" s="90" t="s">
        <v>477</v>
      </c>
      <c r="B15" s="90" t="s">
        <v>476</v>
      </c>
      <c r="C15" s="90" t="s">
        <v>25</v>
      </c>
      <c r="D15" s="90" t="s">
        <v>25</v>
      </c>
      <c r="E15" s="17" t="s">
        <v>478</v>
      </c>
      <c r="F15" s="17" t="s">
        <v>25</v>
      </c>
      <c r="G15" s="18" t="s">
        <v>9</v>
      </c>
      <c r="H15" s="18" t="s">
        <v>471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1.0815773224270166E-2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13.607795107749702</v>
      </c>
      <c r="AB15" s="13">
        <f ca="1">('TUSD BE'!$AE$15+'TUSD BF'!$AE$15+'TUSD CVA'!$AE$15)*1</f>
        <v>-0.15087812640270049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9.6904921543248795E-3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7.9071363328515796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3">
      <c r="A16" s="90"/>
      <c r="B16" s="90"/>
      <c r="C16" s="90"/>
      <c r="D16" s="90"/>
      <c r="E16" s="17" t="s">
        <v>479</v>
      </c>
      <c r="F16" s="17" t="s">
        <v>25</v>
      </c>
      <c r="G16" s="18" t="s">
        <v>9</v>
      </c>
      <c r="H16" s="18" t="s">
        <v>471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1.0815773224270166E-2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27.685711072123418</v>
      </c>
      <c r="AB16" s="13">
        <f ca="1">('TUSD BE'!$AE$16+'TUSD BF'!$AE$16+'TUSD CVA'!$AE$16)*1</f>
        <v>-0.3068396686312389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9.6904921543248795E-3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16.087380450750601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3">
      <c r="A17" s="90" t="s">
        <v>22</v>
      </c>
      <c r="B17" s="90" t="s">
        <v>33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468</v>
      </c>
      <c r="H17" s="18" t="s">
        <v>467</v>
      </c>
      <c r="I17" s="18">
        <f>'MERCADO TUSD'!$U$14</f>
        <v>0.495</v>
      </c>
      <c r="J17" s="15"/>
      <c r="L17" s="13">
        <f>('TUSD BE'!$L$17+'TUSD BF'!$L$17+'TUSD CVA'!$L$17)*1</f>
        <v>0</v>
      </c>
      <c r="M17" s="13">
        <f>('TUSD BE'!$M$17+'TUSD BF'!$M$17+'TUSD CVA'!$M$17)*1</f>
        <v>1.7991708917199014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88.654903507516437</v>
      </c>
      <c r="R17" s="13">
        <f>('TUSD BE'!$R$17+'TUSD BF'!$R$17+'TUSD CVA'!$R$17)*1</f>
        <v>14.017171435886358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379.16645574784366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1172.6454690108772</v>
      </c>
      <c r="AB17" s="13">
        <f ca="1">('TUSD BE'!$AE$17+'TUSD BF'!$AE$17+'TUSD CVA'!$AE$17)*1</f>
        <v>-18.465308039426798</v>
      </c>
      <c r="AC17" s="13">
        <f ca="1">('TUSD BE'!$AF$17+'TUSD BF'!$AF$17+'TUSD CVA'!$AF$17)*1</f>
        <v>0</v>
      </c>
      <c r="AD17" s="13">
        <f>('TUSD BE'!$AH$17+'TUSD BF'!$AH$17+'TUSD CVA'!$AH$17)*1</f>
        <v>7.8163852110994885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1.45405753916548</v>
      </c>
      <c r="AK17" s="13">
        <v>0</v>
      </c>
      <c r="AL17" s="13">
        <v>0</v>
      </c>
      <c r="AM17" s="13">
        <v>0</v>
      </c>
      <c r="AN17" s="13">
        <v>54.752788787110397</v>
      </c>
      <c r="AO17" s="13">
        <v>8.6248708278903408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373.45858759571598</v>
      </c>
      <c r="AV17" s="13">
        <v>0</v>
      </c>
      <c r="AW17" s="13">
        <v>0</v>
      </c>
      <c r="AX17" s="13">
        <v>681.39179143052104</v>
      </c>
      <c r="AY17" s="13">
        <v>0</v>
      </c>
      <c r="AZ17" s="13">
        <v>0</v>
      </c>
      <c r="BA17" s="13">
        <v>27.191383985599099</v>
      </c>
      <c r="BB17" s="13">
        <v>0</v>
      </c>
      <c r="BC17" s="13">
        <v>0</v>
      </c>
      <c r="BD17" s="13">
        <v>0</v>
      </c>
    </row>
    <row r="18" spans="1:56" ht="11.25" customHeight="1" x14ac:dyDescent="0.3">
      <c r="A18" s="90"/>
      <c r="B18" s="90"/>
      <c r="C18" s="90"/>
      <c r="D18" s="90"/>
      <c r="E18" s="90"/>
      <c r="F18" s="90"/>
      <c r="G18" s="18" t="s">
        <v>480</v>
      </c>
      <c r="H18" s="18" t="s">
        <v>467</v>
      </c>
      <c r="I18" s="18">
        <f>'MERCADO TUSD'!$U$15</f>
        <v>0.24800000000000003</v>
      </c>
      <c r="J18" s="15"/>
      <c r="L18" s="13">
        <f>('TUSD BE'!$L$18+'TUSD BF'!$L$18+'TUSD CVA'!$L$18)*1</f>
        <v>0</v>
      </c>
      <c r="M18" s="13">
        <f>('TUSD BE'!$M$18+'TUSD BF'!$M$18+'TUSD CVA'!$M$18)*1</f>
        <v>1.7991708917199014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88.654903507516437</v>
      </c>
      <c r="R18" s="13">
        <f>('TUSD BE'!$R$18+'TUSD BF'!$R$18+'TUSD CVA'!$R$18)*1</f>
        <v>14.017171435886358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227.49991618997558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703.58772659673139</v>
      </c>
      <c r="AB18" s="13">
        <f ca="1">('TUSD BE'!$AE$18+'TUSD BF'!$AE$18+'TUSD CVA'!$AE$18)*1</f>
        <v>-11.641148210652366</v>
      </c>
      <c r="AC18" s="13">
        <f ca="1">('TUSD BE'!$AF$18+'TUSD BF'!$AF$18+'TUSD CVA'!$AF$18)*1</f>
        <v>0</v>
      </c>
      <c r="AD18" s="13">
        <f>('TUSD BE'!$AH$18+'TUSD BF'!$AH$18+'TUSD CVA'!$AH$18)*1</f>
        <v>7.8163852110994885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1.45405753916548</v>
      </c>
      <c r="AK18" s="13">
        <v>0</v>
      </c>
      <c r="AL18" s="13">
        <v>0</v>
      </c>
      <c r="AM18" s="13">
        <v>0</v>
      </c>
      <c r="AN18" s="13">
        <v>54.752788787110397</v>
      </c>
      <c r="AO18" s="13">
        <v>8.6248708278903408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224.07517129388501</v>
      </c>
      <c r="AV18" s="13">
        <v>0</v>
      </c>
      <c r="AW18" s="13">
        <v>0</v>
      </c>
      <c r="AX18" s="13">
        <v>408.83529904142898</v>
      </c>
      <c r="AY18" s="13">
        <v>0</v>
      </c>
      <c r="AZ18" s="13">
        <v>0</v>
      </c>
      <c r="BA18" s="13">
        <v>27.191383985599099</v>
      </c>
      <c r="BB18" s="13">
        <v>0</v>
      </c>
      <c r="BC18" s="13">
        <v>0</v>
      </c>
      <c r="BD18" s="13">
        <v>0</v>
      </c>
    </row>
    <row r="19" spans="1:56" ht="11.25" customHeight="1" x14ac:dyDescent="0.3">
      <c r="A19" s="90"/>
      <c r="B19" s="90"/>
      <c r="C19" s="90"/>
      <c r="D19" s="90"/>
      <c r="E19" s="90"/>
      <c r="F19" s="90"/>
      <c r="G19" s="18" t="s">
        <v>469</v>
      </c>
      <c r="H19" s="18" t="s">
        <v>467</v>
      </c>
      <c r="I19" s="18">
        <f>'MERCADO TUSD'!$U$16</f>
        <v>6.5449999999999999</v>
      </c>
      <c r="J19" s="15"/>
      <c r="L19" s="13">
        <f>('TUSD BE'!$L$19+'TUSD BF'!$L$19+'TUSD CVA'!$L$19)*1</f>
        <v>0</v>
      </c>
      <c r="M19" s="13">
        <f>('TUSD BE'!$M$19+'TUSD BF'!$M$19+'TUSD CVA'!$M$19)*1</f>
        <v>1.7991708917199014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88.654903507516437</v>
      </c>
      <c r="R19" s="13">
        <f>('TUSD BE'!$R$19+'TUSD BF'!$R$19+'TUSD CVA'!$R$19)*1</f>
        <v>14.017171435886358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75.902617488497754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234.52898250462411</v>
      </c>
      <c r="AB19" s="13">
        <f ca="1">('TUSD BE'!$AE$19+'TUSD BF'!$AE$19+'TUSD CVA'!$AE$19)*1</f>
        <v>-4.8177203959564032</v>
      </c>
      <c r="AC19" s="13">
        <f ca="1">('TUSD BE'!$AF$19+'TUSD BF'!$AF$19+'TUSD CVA'!$AF$19)*1</f>
        <v>0</v>
      </c>
      <c r="AD19" s="13">
        <f>('TUSD BE'!$AH$19+'TUSD BF'!$AH$19+'TUSD CVA'!$AH$19)*1</f>
        <v>7.8163852110994885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1.45405753916548</v>
      </c>
      <c r="AK19" s="13">
        <v>0</v>
      </c>
      <c r="AL19" s="13">
        <v>0</v>
      </c>
      <c r="AM19" s="13">
        <v>0</v>
      </c>
      <c r="AN19" s="13">
        <v>54.752788787110397</v>
      </c>
      <c r="AO19" s="13">
        <v>8.6248708278903408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74.759955689460796</v>
      </c>
      <c r="AV19" s="13">
        <v>0</v>
      </c>
      <c r="AW19" s="13">
        <v>0</v>
      </c>
      <c r="AX19" s="13">
        <v>136.27827916265099</v>
      </c>
      <c r="AY19" s="13">
        <v>0</v>
      </c>
      <c r="AZ19" s="13">
        <v>0</v>
      </c>
      <c r="BA19" s="13">
        <v>27.191383985599099</v>
      </c>
      <c r="BB19" s="13">
        <v>0</v>
      </c>
      <c r="BC19" s="13">
        <v>0</v>
      </c>
      <c r="BD19" s="13">
        <v>0</v>
      </c>
    </row>
    <row r="20" spans="1:56" ht="11.25" customHeight="1" x14ac:dyDescent="0.3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474</v>
      </c>
      <c r="H20" s="18" t="s">
        <v>467</v>
      </c>
      <c r="I20" s="18">
        <f>'MERCADO TUSD'!$U$17</f>
        <v>29737.986000000001</v>
      </c>
      <c r="J20" s="15"/>
      <c r="L20" s="13">
        <f>('TUSD BE'!$L$20+'TUSD BF'!$L$20+'TUSD CVA'!$L$20)*1</f>
        <v>0</v>
      </c>
      <c r="M20" s="13">
        <f>('TUSD BE'!$M$20+'TUSD BF'!$M$20+'TUSD CVA'!$M$20)*1</f>
        <v>1.7991708917199014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88.654903507516437</v>
      </c>
      <c r="R20" s="13">
        <f>('TUSD BE'!$R$20+'TUSD BF'!$R$20+'TUSD CVA'!$R$20)*1</f>
        <v>14.017171435886358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140.36788499813477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434.31331804448246</v>
      </c>
      <c r="AB20" s="13">
        <f ca="1">('TUSD BE'!$AE$20+'TUSD BF'!$AE$20+'TUSD CVA'!$AE$20)*1</f>
        <v>-7.7228801788559664</v>
      </c>
      <c r="AC20" s="13">
        <f ca="1">('TUSD BE'!$AF$20+'TUSD BF'!$AF$20+'TUSD CVA'!$AF$20)*1</f>
        <v>0</v>
      </c>
      <c r="AD20" s="13">
        <f>('TUSD BE'!$AH$20+'TUSD BF'!$AH$20+'TUSD CVA'!$AH$20)*1</f>
        <v>7.8163852110994885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1.45405753916548</v>
      </c>
      <c r="AK20" s="13">
        <v>0</v>
      </c>
      <c r="AL20" s="13">
        <v>0</v>
      </c>
      <c r="AM20" s="13">
        <v>0</v>
      </c>
      <c r="AN20" s="13">
        <v>54.752788787110397</v>
      </c>
      <c r="AO20" s="13">
        <v>8.6248708278903408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138.25480497535801</v>
      </c>
      <c r="AV20" s="13">
        <v>0</v>
      </c>
      <c r="AW20" s="13">
        <v>0</v>
      </c>
      <c r="AX20" s="13">
        <v>252.36741807440001</v>
      </c>
      <c r="AY20" s="13">
        <v>0</v>
      </c>
      <c r="AZ20" s="13">
        <v>0</v>
      </c>
      <c r="BA20" s="13">
        <v>27.191383985599099</v>
      </c>
      <c r="BB20" s="13">
        <v>0</v>
      </c>
      <c r="BC20" s="13">
        <v>0</v>
      </c>
      <c r="BD20" s="13">
        <v>0</v>
      </c>
    </row>
    <row r="21" spans="1:56" ht="11.25" customHeight="1" x14ac:dyDescent="0.3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474</v>
      </c>
      <c r="H21" s="18" t="s">
        <v>467</v>
      </c>
      <c r="I21" s="18">
        <f>'MERCADO TUSD'!$U$18</f>
        <v>83.323000000000008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0.62970981210196542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49.128759749347168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152.00966131556885</v>
      </c>
      <c r="AB21" s="13">
        <f ca="1">('TUSD BE'!$AE$21+'TUSD BF'!$AE$21+'TUSD CVA'!$AE$21)*(1 - 0.65)</f>
        <v>-2.2926831585900302</v>
      </c>
      <c r="AC21" s="13">
        <f ca="1">('TUSD BE'!$AF$21+'TUSD BF'!$AF$21+'TUSD CVA'!$AF$21)*(1 - 0.65)</f>
        <v>0</v>
      </c>
      <c r="AD21" s="13">
        <f>('TUSD BE'!$AH$21+'TUSD BF'!$AH$21+'TUSD CVA'!$AH$21)*(1 - 0.65)</f>
        <v>2.7357348238848207</v>
      </c>
      <c r="AE21" s="13">
        <f>('TUSD BE'!$AI$21+'TUSD BF'!$AI$21+'TUSD CVA'!$AI$21)*(1 - 0.65)</f>
        <v>0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0.50892013870791797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48.389181741375303</v>
      </c>
      <c r="AV21" s="13">
        <v>0</v>
      </c>
      <c r="AW21" s="13">
        <v>0</v>
      </c>
      <c r="AX21" s="13">
        <v>88.3285963260399</v>
      </c>
      <c r="AY21" s="13">
        <v>0</v>
      </c>
      <c r="AZ21" s="13">
        <v>0</v>
      </c>
      <c r="BA21" s="13">
        <v>9.5169843949596693</v>
      </c>
      <c r="BB21" s="13">
        <v>0</v>
      </c>
      <c r="BC21" s="13">
        <v>0</v>
      </c>
      <c r="BD21" s="13">
        <v>0</v>
      </c>
    </row>
    <row r="22" spans="1:56" ht="11.25" customHeight="1" x14ac:dyDescent="0.3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474</v>
      </c>
      <c r="H22" s="18" t="s">
        <v>467</v>
      </c>
      <c r="I22" s="18">
        <f>'MERCADO TUSD'!$U$19</f>
        <v>175.95599999999999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1.0795025350319407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84.220730998880853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260.58799082668946</v>
      </c>
      <c r="AB22" s="13">
        <f ca="1">('TUSD BE'!$AE$22+'TUSD BF'!$AE$22+'TUSD CVA'!$AE$22)*(1 - 0.4)</f>
        <v>-3.9303139861543377</v>
      </c>
      <c r="AC22" s="13">
        <f ca="1">('TUSD BE'!$AF$22+'TUSD BF'!$AF$22+'TUSD CVA'!$AF$22)*(1 - 0.4)</f>
        <v>0</v>
      </c>
      <c r="AD22" s="13">
        <f>('TUSD BE'!$AH$22+'TUSD BF'!$AH$22+'TUSD CVA'!$AH$22)*(1 - 0.4)</f>
        <v>4.6898311266596933</v>
      </c>
      <c r="AE22" s="13">
        <f>('TUSD BE'!$AI$22+'TUSD BF'!$AI$22+'TUSD CVA'!$AI$22)*(1 - 0.4)</f>
        <v>0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0.87243452349928796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82.952882985214799</v>
      </c>
      <c r="AV22" s="13">
        <v>0</v>
      </c>
      <c r="AW22" s="13">
        <v>0</v>
      </c>
      <c r="AX22" s="13">
        <v>151.42045084463999</v>
      </c>
      <c r="AY22" s="13">
        <v>0</v>
      </c>
      <c r="AZ22" s="13">
        <v>0</v>
      </c>
      <c r="BA22" s="13">
        <v>16.314830391359401</v>
      </c>
      <c r="BB22" s="13">
        <v>0</v>
      </c>
      <c r="BC22" s="13">
        <v>0</v>
      </c>
      <c r="BD22" s="13">
        <v>0</v>
      </c>
    </row>
    <row r="23" spans="1:56" ht="11.25" customHeight="1" x14ac:dyDescent="0.3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474</v>
      </c>
      <c r="H23" s="18" t="s">
        <v>467</v>
      </c>
      <c r="I23" s="18">
        <f>'MERCADO TUSD'!$U$20</f>
        <v>193.03699999999998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1.6192538025479113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126.3310964983213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390.88198624003422</v>
      </c>
      <c r="AB23" s="13">
        <f ca="1">('TUSD BE'!$AE$23+'TUSD BF'!$AE$23+'TUSD CVA'!$AE$23)*(1 - 0.1)</f>
        <v>-5.895470979231507</v>
      </c>
      <c r="AC23" s="13">
        <f ca="1">('TUSD BE'!$AF$23+'TUSD BF'!$AF$23+'TUSD CVA'!$AF$23)*(1 - 0.1)</f>
        <v>0</v>
      </c>
      <c r="AD23" s="13">
        <f>('TUSD BE'!$AH$23+'TUSD BF'!$AH$23+'TUSD CVA'!$AH$23)*(1 - 0.1)</f>
        <v>7.0347466899895394</v>
      </c>
      <c r="AE23" s="13">
        <f>('TUSD BE'!$AI$23+'TUSD BF'!$AI$23+'TUSD CVA'!$AI$23)*(1 - 0.1)</f>
        <v>0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1.3086517852489301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124.42932447782199</v>
      </c>
      <c r="AV23" s="13">
        <v>0</v>
      </c>
      <c r="AW23" s="13">
        <v>0</v>
      </c>
      <c r="AX23" s="13">
        <v>227.13067626695999</v>
      </c>
      <c r="AY23" s="13">
        <v>0</v>
      </c>
      <c r="AZ23" s="13">
        <v>0</v>
      </c>
      <c r="BA23" s="13">
        <v>24.472245587039101</v>
      </c>
      <c r="BB23" s="13">
        <v>0</v>
      </c>
      <c r="BC23" s="13">
        <v>0</v>
      </c>
      <c r="BD23" s="13">
        <v>0</v>
      </c>
    </row>
    <row r="24" spans="1:56" ht="11.25" customHeight="1" x14ac:dyDescent="0.3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474</v>
      </c>
      <c r="H24" s="18" t="s">
        <v>467</v>
      </c>
      <c r="I24" s="18">
        <f>'MERCADO TUSD'!$U$21</f>
        <v>98.578999999999994</v>
      </c>
      <c r="J24" s="15"/>
      <c r="L24" s="13">
        <f>('TUSD BE'!$L$24+'TUSD BF'!$L$24+'TUSD CVA'!$L$24)*1</f>
        <v>0</v>
      </c>
      <c r="M24" s="13">
        <f>('TUSD BE'!$M$24+'TUSD BF'!$M$24+'TUSD CVA'!$M$24)*1</f>
        <v>1.7991708917199014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140.36788499813477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434.31331804448246</v>
      </c>
      <c r="AB24" s="13">
        <f ca="1">('TUSD BE'!$AE$24+'TUSD BF'!$AE$24+'TUSD CVA'!$AE$24)*1</f>
        <v>-6.5505233102572298</v>
      </c>
      <c r="AC24" s="13">
        <f ca="1">('TUSD BE'!$AF$24+'TUSD BF'!$AF$24+'TUSD CVA'!$AF$24)*1</f>
        <v>0</v>
      </c>
      <c r="AD24" s="13">
        <f>('TUSD BE'!$AH$24+'TUSD BF'!$AH$24+'TUSD CVA'!$AH$24)*1</f>
        <v>7.8163852110994885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1.45405753916548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138.25480497535801</v>
      </c>
      <c r="AV24" s="13">
        <v>0</v>
      </c>
      <c r="AW24" s="13">
        <v>0</v>
      </c>
      <c r="AX24" s="13">
        <v>252.36741807440001</v>
      </c>
      <c r="AY24" s="13">
        <v>0</v>
      </c>
      <c r="AZ24" s="13">
        <v>0</v>
      </c>
      <c r="BA24" s="13">
        <v>27.191383985599099</v>
      </c>
      <c r="BB24" s="13">
        <v>0</v>
      </c>
      <c r="BC24" s="13">
        <v>0</v>
      </c>
      <c r="BD24" s="13">
        <v>0</v>
      </c>
    </row>
    <row r="25" spans="1:56" ht="11.25" customHeight="1" x14ac:dyDescent="0.3">
      <c r="A25" s="90"/>
      <c r="B25" s="90" t="s">
        <v>483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474</v>
      </c>
      <c r="H25" s="18" t="s">
        <v>467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1.7991708917199014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88.654903507516437</v>
      </c>
      <c r="R25" s="13">
        <f>('TUSD BE'!$R$25+'TUSD BF'!$R$25+'TUSD CVA'!$R$25)*1</f>
        <v>14.017171435886358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140.36788499813477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434.31331804448246</v>
      </c>
      <c r="AB25" s="13">
        <f ca="1">('TUSD BE'!$AE$25+'TUSD BF'!$AE$25+'TUSD CVA'!$AE$25)*1</f>
        <v>-7.7228801788559664</v>
      </c>
      <c r="AC25" s="13">
        <f ca="1">('TUSD BE'!$AF$25+'TUSD BF'!$AF$25+'TUSD CVA'!$AF$25)*1</f>
        <v>0</v>
      </c>
      <c r="AD25" s="13">
        <f>('TUSD BE'!$AH$25+'TUSD BF'!$AH$25+'TUSD CVA'!$AH$25)*1</f>
        <v>7.8163852110994885</v>
      </c>
      <c r="AE25" s="13">
        <f>('TUSD BE'!$AI$25+'TUSD BF'!$AI$25+'TUSD CVA'!$AI$25)*1</f>
        <v>0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1.45405753916548</v>
      </c>
      <c r="AK25" s="13">
        <v>0</v>
      </c>
      <c r="AL25" s="13">
        <v>0</v>
      </c>
      <c r="AM25" s="13">
        <v>0</v>
      </c>
      <c r="AN25" s="13">
        <v>54.752788787110397</v>
      </c>
      <c r="AO25" s="13">
        <v>8.6248708278903408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138.25480497535801</v>
      </c>
      <c r="AV25" s="13">
        <v>0</v>
      </c>
      <c r="AW25" s="13">
        <v>0</v>
      </c>
      <c r="AX25" s="13">
        <v>252.36741807440001</v>
      </c>
      <c r="AY25" s="13">
        <v>0</v>
      </c>
      <c r="AZ25" s="13">
        <v>0</v>
      </c>
      <c r="BA25" s="13">
        <v>27.191383985599099</v>
      </c>
      <c r="BB25" s="13">
        <v>0</v>
      </c>
      <c r="BC25" s="13">
        <v>0</v>
      </c>
      <c r="BD25" s="13">
        <v>0</v>
      </c>
    </row>
    <row r="26" spans="1:56" ht="11.25" customHeight="1" x14ac:dyDescent="0.3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474</v>
      </c>
      <c r="H26" s="18" t="s">
        <v>467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0.62970981210196542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49.128759749347168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152.00966131556885</v>
      </c>
      <c r="AB26" s="13">
        <f ca="1">('TUSD BE'!$AE$26+'TUSD BF'!$AE$26+'TUSD CVA'!$AE$26)*(1 - 0.65)</f>
        <v>-2.2926831585900302</v>
      </c>
      <c r="AC26" s="13">
        <f ca="1">('TUSD BE'!$AF$26+'TUSD BF'!$AF$26+'TUSD CVA'!$AF$26)*(1 - 0.65)</f>
        <v>0</v>
      </c>
      <c r="AD26" s="13">
        <f>('TUSD BE'!$AH$26+'TUSD BF'!$AH$26+'TUSD CVA'!$AH$26)*(1 - 0.65)</f>
        <v>2.7357348238848207</v>
      </c>
      <c r="AE26" s="13">
        <f>('TUSD BE'!$AI$26+'TUSD BF'!$AI$26+'TUSD CVA'!$AI$26)*(1 - 0.65)</f>
        <v>0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0.50892013870791797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48.389181741375303</v>
      </c>
      <c r="AV26" s="13">
        <v>0</v>
      </c>
      <c r="AW26" s="13">
        <v>0</v>
      </c>
      <c r="AX26" s="13">
        <v>88.3285963260399</v>
      </c>
      <c r="AY26" s="13">
        <v>0</v>
      </c>
      <c r="AZ26" s="13">
        <v>0</v>
      </c>
      <c r="BA26" s="13">
        <v>9.5169843949596693</v>
      </c>
      <c r="BB26" s="13">
        <v>0</v>
      </c>
      <c r="BC26" s="13">
        <v>0</v>
      </c>
      <c r="BD26" s="13">
        <v>0</v>
      </c>
    </row>
    <row r="27" spans="1:56" ht="11.25" customHeight="1" x14ac:dyDescent="0.3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474</v>
      </c>
      <c r="H27" s="18" t="s">
        <v>467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1.0795025350319407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84.220730998880853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260.58799082668946</v>
      </c>
      <c r="AB27" s="13">
        <f ca="1">('TUSD BE'!$AE$27+'TUSD BF'!$AE$27+'TUSD CVA'!$AE$27)*(1 - 0.4)</f>
        <v>-3.9303139861543377</v>
      </c>
      <c r="AC27" s="13">
        <f ca="1">('TUSD BE'!$AF$27+'TUSD BF'!$AF$27+'TUSD CVA'!$AF$27)*(1 - 0.4)</f>
        <v>0</v>
      </c>
      <c r="AD27" s="13">
        <f>('TUSD BE'!$AH$27+'TUSD BF'!$AH$27+'TUSD CVA'!$AH$27)*(1 - 0.4)</f>
        <v>4.6898311266596933</v>
      </c>
      <c r="AE27" s="13">
        <f>('TUSD BE'!$AI$27+'TUSD BF'!$AI$27+'TUSD CVA'!$AI$27)*(1 - 0.4)</f>
        <v>0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0.87243452349928796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82.952882985214799</v>
      </c>
      <c r="AV27" s="13">
        <v>0</v>
      </c>
      <c r="AW27" s="13">
        <v>0</v>
      </c>
      <c r="AX27" s="13">
        <v>151.42045084463999</v>
      </c>
      <c r="AY27" s="13">
        <v>0</v>
      </c>
      <c r="AZ27" s="13">
        <v>0</v>
      </c>
      <c r="BA27" s="13">
        <v>16.314830391359401</v>
      </c>
      <c r="BB27" s="13">
        <v>0</v>
      </c>
      <c r="BC27" s="13">
        <v>0</v>
      </c>
      <c r="BD27" s="13">
        <v>0</v>
      </c>
    </row>
    <row r="28" spans="1:56" ht="11.25" customHeight="1" x14ac:dyDescent="0.3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474</v>
      </c>
      <c r="H28" s="18" t="s">
        <v>467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1.6192538025479113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126.3310964983213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390.88198624003422</v>
      </c>
      <c r="AB28" s="13">
        <f ca="1">('TUSD BE'!$AE$28+'TUSD BF'!$AE$28+'TUSD CVA'!$AE$28)*(1 - 0.1)</f>
        <v>-5.895470979231507</v>
      </c>
      <c r="AC28" s="13">
        <f ca="1">('TUSD BE'!$AF$28+'TUSD BF'!$AF$28+'TUSD CVA'!$AF$28)*(1 - 0.1)</f>
        <v>0</v>
      </c>
      <c r="AD28" s="13">
        <f>('TUSD BE'!$AH$28+'TUSD BF'!$AH$28+'TUSD CVA'!$AH$28)*(1 - 0.1)</f>
        <v>7.0347466899895394</v>
      </c>
      <c r="AE28" s="13">
        <f>('TUSD BE'!$AI$28+'TUSD BF'!$AI$28+'TUSD CVA'!$AI$28)*(1 - 0.1)</f>
        <v>0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1.3086517852489301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124.42932447782199</v>
      </c>
      <c r="AV28" s="13">
        <v>0</v>
      </c>
      <c r="AW28" s="13">
        <v>0</v>
      </c>
      <c r="AX28" s="13">
        <v>227.13067626695999</v>
      </c>
      <c r="AY28" s="13">
        <v>0</v>
      </c>
      <c r="AZ28" s="13">
        <v>0</v>
      </c>
      <c r="BA28" s="13">
        <v>24.472245587039101</v>
      </c>
      <c r="BB28" s="13">
        <v>0</v>
      </c>
      <c r="BC28" s="13">
        <v>0</v>
      </c>
      <c r="BD28" s="13">
        <v>0</v>
      </c>
    </row>
    <row r="29" spans="1:56" ht="11.25" customHeight="1" x14ac:dyDescent="0.3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474</v>
      </c>
      <c r="H29" s="18" t="s">
        <v>467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1.7991708917199014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140.36788499813477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434.31331804448246</v>
      </c>
      <c r="AB29" s="13">
        <f ca="1">('TUSD BE'!$AE$29+'TUSD BF'!$AE$29+'TUSD CVA'!$AE$29)*1</f>
        <v>-6.5505233102572298</v>
      </c>
      <c r="AC29" s="13">
        <f ca="1">('TUSD BE'!$AF$29+'TUSD BF'!$AF$29+'TUSD CVA'!$AF$29)*1</f>
        <v>0</v>
      </c>
      <c r="AD29" s="13">
        <f>('TUSD BE'!$AH$29+'TUSD BF'!$AH$29+'TUSD CVA'!$AH$29)*1</f>
        <v>7.8163852110994885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1.45405753916548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138.25480497535801</v>
      </c>
      <c r="AV29" s="13">
        <v>0</v>
      </c>
      <c r="AW29" s="13">
        <v>0</v>
      </c>
      <c r="AX29" s="13">
        <v>252.36741807440001</v>
      </c>
      <c r="AY29" s="13">
        <v>0</v>
      </c>
      <c r="AZ29" s="13">
        <v>0</v>
      </c>
      <c r="BA29" s="13">
        <v>27.191383985599099</v>
      </c>
      <c r="BB29" s="13">
        <v>0</v>
      </c>
      <c r="BC29" s="13">
        <v>0</v>
      </c>
      <c r="BD29" s="13">
        <v>0</v>
      </c>
    </row>
    <row r="30" spans="1:56" ht="11.25" customHeight="1" x14ac:dyDescent="0.3">
      <c r="A30" s="90" t="s">
        <v>42</v>
      </c>
      <c r="B30" s="90" t="s">
        <v>33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468</v>
      </c>
      <c r="H30" s="18" t="s">
        <v>467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1.6732289292995082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82.449060261990283</v>
      </c>
      <c r="R30" s="13">
        <f>('TUSD BE'!$R$30+'TUSD BF'!$R$30+'TUSD CVA'!$R$30)*(1 - CUSTOS!$M$38)</f>
        <v>13.035969435374312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385.11525186866174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1191.5383396389034</v>
      </c>
      <c r="AB30" s="13">
        <f ca="1">('TUSD BE'!$AE$30+'TUSD BF'!$AE$30+'TUSD CVA'!$AE$30)*(1 - CUSTOS!$M$38)</f>
        <v>-18.640113233283927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7.2692382463225238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1.2795706344656199</v>
      </c>
      <c r="AK30" s="13">
        <v>0</v>
      </c>
      <c r="AL30" s="13">
        <v>0</v>
      </c>
      <c r="AM30" s="13">
        <v>0</v>
      </c>
      <c r="AN30" s="13">
        <v>48.182454132657099</v>
      </c>
      <c r="AO30" s="13">
        <v>7.5898863285434999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358.92441191713601</v>
      </c>
      <c r="AV30" s="13">
        <v>0</v>
      </c>
      <c r="AW30" s="13">
        <v>0</v>
      </c>
      <c r="AX30" s="13">
        <v>655.14572448295701</v>
      </c>
      <c r="AY30" s="13">
        <v>0</v>
      </c>
      <c r="AZ30" s="13">
        <v>0</v>
      </c>
      <c r="BA30" s="13">
        <v>23.928417907327201</v>
      </c>
      <c r="BB30" s="13">
        <v>0</v>
      </c>
      <c r="BC30" s="13">
        <v>0</v>
      </c>
      <c r="BD30" s="13">
        <v>0</v>
      </c>
    </row>
    <row r="31" spans="1:56" ht="11.25" customHeight="1" x14ac:dyDescent="0.3">
      <c r="A31" s="90"/>
      <c r="B31" s="90"/>
      <c r="C31" s="90"/>
      <c r="D31" s="90"/>
      <c r="E31" s="90"/>
      <c r="F31" s="90"/>
      <c r="G31" s="18" t="s">
        <v>480</v>
      </c>
      <c r="H31" s="18" t="s">
        <v>467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1.6732289292995082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82.449060261990283</v>
      </c>
      <c r="R31" s="13">
        <f>('TUSD BE'!$R$31+'TUSD BF'!$R$31+'TUSD CVA'!$R$31)*(1 - CUSTOS!$M$38)</f>
        <v>13.035969435374312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231.0433736479296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714.92279676989654</v>
      </c>
      <c r="AB31" s="13">
        <f ca="1">('TUSD BE'!$AE$31+'TUSD BF'!$AE$31+'TUSD CVA'!$AE$31)*(1 - CUSTOS!$M$38)</f>
        <v>-11.706409932471747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7.2692382463225238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1.2795706344656199</v>
      </c>
      <c r="AK31" s="13">
        <v>0</v>
      </c>
      <c r="AL31" s="13">
        <v>0</v>
      </c>
      <c r="AM31" s="13">
        <v>0</v>
      </c>
      <c r="AN31" s="13">
        <v>48.182454132657099</v>
      </c>
      <c r="AO31" s="13">
        <v>7.5898863285434999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215.33062401671401</v>
      </c>
      <c r="AV31" s="13">
        <v>0</v>
      </c>
      <c r="AW31" s="13">
        <v>0</v>
      </c>
      <c r="AX31" s="13">
        <v>393.08731864204299</v>
      </c>
      <c r="AY31" s="13">
        <v>0</v>
      </c>
      <c r="AZ31" s="13">
        <v>0</v>
      </c>
      <c r="BA31" s="13">
        <v>23.928417907327201</v>
      </c>
      <c r="BB31" s="13">
        <v>0</v>
      </c>
      <c r="BC31" s="13">
        <v>0</v>
      </c>
      <c r="BD31" s="13">
        <v>0</v>
      </c>
    </row>
    <row r="32" spans="1:56" ht="11.25" customHeight="1" x14ac:dyDescent="0.3">
      <c r="A32" s="90"/>
      <c r="B32" s="90"/>
      <c r="C32" s="90"/>
      <c r="D32" s="90"/>
      <c r="E32" s="90"/>
      <c r="F32" s="90"/>
      <c r="G32" s="18" t="s">
        <v>469</v>
      </c>
      <c r="H32" s="18" t="s">
        <v>467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1.6732289292995082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82.449060261990283</v>
      </c>
      <c r="R32" s="13">
        <f>('TUSD BE'!$R$32+'TUSD BF'!$R$32+'TUSD CVA'!$R$32)*(1 - CUSTOS!$M$38)</f>
        <v>13.035969435374312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76.971495427197453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238.30756442105795</v>
      </c>
      <c r="AB32" s="13">
        <f ca="1">('TUSD BE'!$AE$32+'TUSD BF'!$AE$32+'TUSD CVA'!$AE$32)*(1 - CUSTOS!$M$38)</f>
        <v>-4.7727100717429183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7.2692382463225238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1.2795706344656199</v>
      </c>
      <c r="AK32" s="13">
        <v>0</v>
      </c>
      <c r="AL32" s="13">
        <v>0</v>
      </c>
      <c r="AM32" s="13">
        <v>0</v>
      </c>
      <c r="AN32" s="13">
        <v>48.182454132657099</v>
      </c>
      <c r="AO32" s="13">
        <v>7.5898863285434999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71.7368361162913</v>
      </c>
      <c r="AV32" s="13">
        <v>0</v>
      </c>
      <c r="AW32" s="13">
        <v>0</v>
      </c>
      <c r="AX32" s="13">
        <v>131.029086872726</v>
      </c>
      <c r="AY32" s="13">
        <v>0</v>
      </c>
      <c r="AZ32" s="13">
        <v>0</v>
      </c>
      <c r="BA32" s="13">
        <v>23.928417907327201</v>
      </c>
      <c r="BB32" s="13">
        <v>0</v>
      </c>
      <c r="BC32" s="13">
        <v>0</v>
      </c>
      <c r="BD32" s="13">
        <v>0</v>
      </c>
    </row>
    <row r="33" spans="1:56" ht="11.25" customHeight="1" x14ac:dyDescent="0.3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474</v>
      </c>
      <c r="H33" s="18" t="s">
        <v>467</v>
      </c>
      <c r="I33" s="18">
        <f>'MERCADO TUSD'!$U$30</f>
        <v>513.57799999999997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1.6732289292995082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82.449060261990283</v>
      </c>
      <c r="R33" s="13">
        <f>('TUSD BE'!$R$33+'TUSD BF'!$R$33+'TUSD CVA'!$R$33)*(1 - CUSTOS!$M$38)</f>
        <v>13.035969435374312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130.54213304826533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403.91138578136866</v>
      </c>
      <c r="AB33" s="13">
        <f ca="1">('TUSD BE'!$AE$33+'TUSD BF'!$AE$33+'TUSD CVA'!$AE$33)*(1 - CUSTOS!$M$38)</f>
        <v>-7.1822785663360484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7.2692382463225238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1.2795706344656199</v>
      </c>
      <c r="AK33" s="13">
        <v>0</v>
      </c>
      <c r="AL33" s="13">
        <v>0</v>
      </c>
      <c r="AM33" s="13">
        <v>0</v>
      </c>
      <c r="AN33" s="13">
        <v>48.182454132657099</v>
      </c>
      <c r="AO33" s="13">
        <v>7.5898863285434999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121.664228378315</v>
      </c>
      <c r="AV33" s="13">
        <v>0</v>
      </c>
      <c r="AW33" s="13">
        <v>0</v>
      </c>
      <c r="AX33" s="13">
        <v>222.083327905472</v>
      </c>
      <c r="AY33" s="13">
        <v>0</v>
      </c>
      <c r="AZ33" s="13">
        <v>0</v>
      </c>
      <c r="BA33" s="13">
        <v>23.928417907327201</v>
      </c>
      <c r="BB33" s="13">
        <v>0</v>
      </c>
      <c r="BC33" s="13">
        <v>0</v>
      </c>
      <c r="BD33" s="13">
        <v>0</v>
      </c>
    </row>
    <row r="34" spans="1:56" ht="11.25" customHeight="1" x14ac:dyDescent="0.3">
      <c r="A34" s="90"/>
      <c r="B34" s="90" t="s">
        <v>33</v>
      </c>
      <c r="C34" s="90" t="s">
        <v>43</v>
      </c>
      <c r="D34" s="90" t="s">
        <v>484</v>
      </c>
      <c r="E34" s="90" t="s">
        <v>25</v>
      </c>
      <c r="F34" s="90" t="s">
        <v>25</v>
      </c>
      <c r="G34" s="18" t="s">
        <v>468</v>
      </c>
      <c r="H34" s="18" t="s">
        <v>467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1.6912206382167074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83.33560929706546</v>
      </c>
      <c r="R34" s="13">
        <f>('TUSD BE'!$R$34+'TUSD BF'!$R$34+'TUSD CVA'!$R$34)*(1 - CUSTOS!$M$39)</f>
        <v>13.176141149733176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389.25627608230332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1204.3505798500744</v>
      </c>
      <c r="AB34" s="13">
        <f ca="1">('TUSD BE'!$AE$34+'TUSD BF'!$AE$34+'TUSD CVA'!$AE$34)*(1 - CUSTOS!$M$39)</f>
        <v>-18.840544558373004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7.3474020984335198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1.2795706344656199</v>
      </c>
      <c r="AK34" s="13">
        <v>0</v>
      </c>
      <c r="AL34" s="13">
        <v>0</v>
      </c>
      <c r="AM34" s="13">
        <v>0</v>
      </c>
      <c r="AN34" s="13">
        <v>48.182454132657099</v>
      </c>
      <c r="AO34" s="13">
        <v>7.5898863285434999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358.92441191713601</v>
      </c>
      <c r="AV34" s="13">
        <v>0</v>
      </c>
      <c r="AW34" s="13">
        <v>0</v>
      </c>
      <c r="AX34" s="13">
        <v>655.14572448295701</v>
      </c>
      <c r="AY34" s="13">
        <v>0</v>
      </c>
      <c r="AZ34" s="13">
        <v>0</v>
      </c>
      <c r="BA34" s="13">
        <v>23.928417907327201</v>
      </c>
      <c r="BB34" s="13">
        <v>0</v>
      </c>
      <c r="BC34" s="13">
        <v>0</v>
      </c>
      <c r="BD34" s="13">
        <v>0</v>
      </c>
    </row>
    <row r="35" spans="1:56" ht="11.25" customHeight="1" x14ac:dyDescent="0.3">
      <c r="A35" s="90"/>
      <c r="B35" s="90"/>
      <c r="C35" s="90"/>
      <c r="D35" s="90"/>
      <c r="E35" s="90"/>
      <c r="F35" s="90"/>
      <c r="G35" s="18" t="s">
        <v>480</v>
      </c>
      <c r="H35" s="18" t="s">
        <v>467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1.6912206382167074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83.33560929706546</v>
      </c>
      <c r="R35" s="13">
        <f>('TUSD BE'!$R$35+'TUSD BF'!$R$35+'TUSD CVA'!$R$35)*(1 - CUSTOS!$M$39)</f>
        <v>13.176141149733176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233.52771099898263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722.61013867064821</v>
      </c>
      <c r="AB35" s="13">
        <f ca="1">('TUSD BE'!$AE$35+'TUSD BF'!$AE$35+'TUSD CVA'!$AE$35)*(1 - CUSTOS!$M$39)</f>
        <v>-11.832285308089725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7.3474020984335198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1.2795706344656199</v>
      </c>
      <c r="AK35" s="13">
        <v>0</v>
      </c>
      <c r="AL35" s="13">
        <v>0</v>
      </c>
      <c r="AM35" s="13">
        <v>0</v>
      </c>
      <c r="AN35" s="13">
        <v>48.182454132657099</v>
      </c>
      <c r="AO35" s="13">
        <v>7.5898863285434999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215.33062401671401</v>
      </c>
      <c r="AV35" s="13">
        <v>0</v>
      </c>
      <c r="AW35" s="13">
        <v>0</v>
      </c>
      <c r="AX35" s="13">
        <v>393.08731864204299</v>
      </c>
      <c r="AY35" s="13">
        <v>0</v>
      </c>
      <c r="AZ35" s="13">
        <v>0</v>
      </c>
      <c r="BA35" s="13">
        <v>23.928417907327201</v>
      </c>
      <c r="BB35" s="13">
        <v>0</v>
      </c>
      <c r="BC35" s="13">
        <v>0</v>
      </c>
      <c r="BD35" s="13">
        <v>0</v>
      </c>
    </row>
    <row r="36" spans="1:56" ht="11.25" customHeight="1" x14ac:dyDescent="0.3">
      <c r="A36" s="90"/>
      <c r="B36" s="90"/>
      <c r="C36" s="90"/>
      <c r="D36" s="90"/>
      <c r="E36" s="90"/>
      <c r="F36" s="90"/>
      <c r="G36" s="18" t="s">
        <v>469</v>
      </c>
      <c r="H36" s="18" t="s">
        <v>467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1.6912206382167074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83.33560929706546</v>
      </c>
      <c r="R36" s="13">
        <f>('TUSD BE'!$R$36+'TUSD BF'!$R$36+'TUSD CVA'!$R$36)*(1 - CUSTOS!$M$39)</f>
        <v>13.176141149733176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77.799145915661953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240.87001135031667</v>
      </c>
      <c r="AB36" s="13">
        <f ca="1">('TUSD BE'!$AE$36+'TUSD BF'!$AE$36+'TUSD CVA'!$AE$36)*(1 - CUSTOS!$M$39)</f>
        <v>-4.8240295348799389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7.3474020984335198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1.2795706344656199</v>
      </c>
      <c r="AK36" s="13">
        <v>0</v>
      </c>
      <c r="AL36" s="13">
        <v>0</v>
      </c>
      <c r="AM36" s="13">
        <v>0</v>
      </c>
      <c r="AN36" s="13">
        <v>48.182454132657099</v>
      </c>
      <c r="AO36" s="13">
        <v>7.5898863285434999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71.7368361162913</v>
      </c>
      <c r="AV36" s="13">
        <v>0</v>
      </c>
      <c r="AW36" s="13">
        <v>0</v>
      </c>
      <c r="AX36" s="13">
        <v>131.029086872726</v>
      </c>
      <c r="AY36" s="13">
        <v>0</v>
      </c>
      <c r="AZ36" s="13">
        <v>0</v>
      </c>
      <c r="BA36" s="13">
        <v>23.928417907327201</v>
      </c>
      <c r="BB36" s="13">
        <v>0</v>
      </c>
      <c r="BC36" s="13">
        <v>0</v>
      </c>
      <c r="BD36" s="13">
        <v>0</v>
      </c>
    </row>
    <row r="37" spans="1:56" ht="11.25" customHeight="1" x14ac:dyDescent="0.3">
      <c r="A37" s="90"/>
      <c r="B37" s="17" t="s">
        <v>23</v>
      </c>
      <c r="C37" s="17" t="s">
        <v>43</v>
      </c>
      <c r="D37" s="17" t="s">
        <v>484</v>
      </c>
      <c r="E37" s="17" t="s">
        <v>25</v>
      </c>
      <c r="F37" s="17" t="s">
        <v>25</v>
      </c>
      <c r="G37" s="18" t="s">
        <v>474</v>
      </c>
      <c r="H37" s="18" t="s">
        <v>467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1.6912206382167074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83.33560929706546</v>
      </c>
      <c r="R37" s="13">
        <f>('TUSD BE'!$R$37+'TUSD BF'!$R$37+'TUSD CVA'!$R$37)*(1 - CUSTOS!$M$39)</f>
        <v>13.176141149733176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131.94581189824669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408.25451896181352</v>
      </c>
      <c r="AB37" s="13">
        <f ca="1">('TUSD BE'!$AE$37+'TUSD BF'!$AE$37+'TUSD CVA'!$AE$37)*(1 - CUSTOS!$M$39)</f>
        <v>-7.2595073681246092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7.3474020984335198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1.2795706344656199</v>
      </c>
      <c r="AK37" s="13">
        <v>0</v>
      </c>
      <c r="AL37" s="13">
        <v>0</v>
      </c>
      <c r="AM37" s="13">
        <v>0</v>
      </c>
      <c r="AN37" s="13">
        <v>48.182454132657099</v>
      </c>
      <c r="AO37" s="13">
        <v>7.5898863285434999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121.664228378315</v>
      </c>
      <c r="AV37" s="13">
        <v>0</v>
      </c>
      <c r="AW37" s="13">
        <v>0</v>
      </c>
      <c r="AX37" s="13">
        <v>222.083327905472</v>
      </c>
      <c r="AY37" s="13">
        <v>0</v>
      </c>
      <c r="AZ37" s="13">
        <v>0</v>
      </c>
      <c r="BA37" s="13">
        <v>23.928417907327201</v>
      </c>
      <c r="BB37" s="13">
        <v>0</v>
      </c>
      <c r="BC37" s="13">
        <v>0</v>
      </c>
      <c r="BD37" s="13">
        <v>0</v>
      </c>
    </row>
    <row r="38" spans="1:56" ht="11.25" customHeight="1" x14ac:dyDescent="0.3">
      <c r="A38" s="90"/>
      <c r="B38" s="90" t="s">
        <v>33</v>
      </c>
      <c r="C38" s="90" t="s">
        <v>43</v>
      </c>
      <c r="D38" s="90" t="s">
        <v>485</v>
      </c>
      <c r="E38" s="90" t="s">
        <v>25</v>
      </c>
      <c r="F38" s="90" t="s">
        <v>25</v>
      </c>
      <c r="G38" s="18" t="s">
        <v>468</v>
      </c>
      <c r="H38" s="18" t="s">
        <v>467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1.6552372203823094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81.56251122691512</v>
      </c>
      <c r="R38" s="13">
        <f>('TUSD BE'!$R$38+'TUSD BF'!$R$38+'TUSD CVA'!$R$38)*(1 - CUSTOS!$M$40)</f>
        <v>12.89579772101545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380.97422765502029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1178.7260994277324</v>
      </c>
      <c r="AB38" s="13">
        <f ca="1">('TUSD BE'!$AE$38+'TUSD BF'!$AE$38+'TUSD CVA'!$AE$38)*(1 - CUSTOS!$M$40)</f>
        <v>-18.439681908194856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7.1910743942115296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1.221408332899</v>
      </c>
      <c r="AK38" s="13">
        <v>0</v>
      </c>
      <c r="AL38" s="13">
        <v>0</v>
      </c>
      <c r="AM38" s="13">
        <v>0</v>
      </c>
      <c r="AN38" s="13">
        <v>45.9923425811727</v>
      </c>
      <c r="AO38" s="13">
        <v>7.2448914954278898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342.60966592090301</v>
      </c>
      <c r="AV38" s="13">
        <v>0</v>
      </c>
      <c r="AW38" s="13">
        <v>0</v>
      </c>
      <c r="AX38" s="13">
        <v>625.36637337009597</v>
      </c>
      <c r="AY38" s="13">
        <v>0</v>
      </c>
      <c r="AZ38" s="13">
        <v>0</v>
      </c>
      <c r="BA38" s="13">
        <v>22.8407625479032</v>
      </c>
      <c r="BB38" s="13">
        <v>0</v>
      </c>
      <c r="BC38" s="13">
        <v>0</v>
      </c>
      <c r="BD38" s="13">
        <v>0</v>
      </c>
    </row>
    <row r="39" spans="1:56" ht="11.25" customHeight="1" x14ac:dyDescent="0.3">
      <c r="A39" s="90"/>
      <c r="B39" s="90"/>
      <c r="C39" s="90"/>
      <c r="D39" s="90"/>
      <c r="E39" s="90"/>
      <c r="F39" s="90"/>
      <c r="G39" s="18" t="s">
        <v>480</v>
      </c>
      <c r="H39" s="18" t="s">
        <v>467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1.6552372203823094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81.56251122691512</v>
      </c>
      <c r="R39" s="13">
        <f>('TUSD BE'!$R$39+'TUSD BF'!$R$39+'TUSD CVA'!$R$39)*(1 - CUSTOS!$M$40)</f>
        <v>12.89579772101545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228.55903629687663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707.23545486914497</v>
      </c>
      <c r="AB39" s="13">
        <f ca="1">('TUSD BE'!$AE$39+'TUSD BF'!$AE$39+'TUSD CVA'!$AE$39)*(1 - CUSTOS!$M$40)</f>
        <v>-11.580534556853772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7.1910743942115296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1.221408332899</v>
      </c>
      <c r="AK39" s="13">
        <v>0</v>
      </c>
      <c r="AL39" s="13">
        <v>0</v>
      </c>
      <c r="AM39" s="13">
        <v>0</v>
      </c>
      <c r="AN39" s="13">
        <v>45.9923425811727</v>
      </c>
      <c r="AO39" s="13">
        <v>7.2448914954278898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205.54286837959</v>
      </c>
      <c r="AV39" s="13">
        <v>0</v>
      </c>
      <c r="AW39" s="13">
        <v>0</v>
      </c>
      <c r="AX39" s="13">
        <v>375.21971324922299</v>
      </c>
      <c r="AY39" s="13">
        <v>0</v>
      </c>
      <c r="AZ39" s="13">
        <v>0</v>
      </c>
      <c r="BA39" s="13">
        <v>22.8407625479032</v>
      </c>
      <c r="BB39" s="13">
        <v>0</v>
      </c>
      <c r="BC39" s="13">
        <v>0</v>
      </c>
      <c r="BD39" s="13">
        <v>0</v>
      </c>
    </row>
    <row r="40" spans="1:56" ht="11.25" customHeight="1" x14ac:dyDescent="0.3">
      <c r="A40" s="90"/>
      <c r="B40" s="90"/>
      <c r="C40" s="90"/>
      <c r="D40" s="90"/>
      <c r="E40" s="90"/>
      <c r="F40" s="90"/>
      <c r="G40" s="18" t="s">
        <v>469</v>
      </c>
      <c r="H40" s="18" t="s">
        <v>467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1.6552372203823094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81.56251122691512</v>
      </c>
      <c r="R40" s="13">
        <f>('TUSD BE'!$R$40+'TUSD BF'!$R$40+'TUSD CVA'!$R$40)*(1 - CUSTOS!$M$40)</f>
        <v>12.89579772101545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76.143844938732968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235.74511749179928</v>
      </c>
      <c r="AB40" s="13">
        <f ca="1">('TUSD BE'!$AE$40+'TUSD BF'!$AE$40+'TUSD CVA'!$AE$40)*(1 - CUSTOS!$M$40)</f>
        <v>-4.7213906086058977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7.1910743942115296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1.221408332899</v>
      </c>
      <c r="AK40" s="13">
        <v>0</v>
      </c>
      <c r="AL40" s="13">
        <v>0</v>
      </c>
      <c r="AM40" s="13">
        <v>0</v>
      </c>
      <c r="AN40" s="13">
        <v>45.9923425811727</v>
      </c>
      <c r="AO40" s="13">
        <v>7.2448914954278898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68.476070838278105</v>
      </c>
      <c r="AV40" s="13">
        <v>0</v>
      </c>
      <c r="AW40" s="13">
        <v>0</v>
      </c>
      <c r="AX40" s="13">
        <v>125.073219287602</v>
      </c>
      <c r="AY40" s="13">
        <v>0</v>
      </c>
      <c r="AZ40" s="13">
        <v>0</v>
      </c>
      <c r="BA40" s="13">
        <v>22.8407625479032</v>
      </c>
      <c r="BB40" s="13">
        <v>0</v>
      </c>
      <c r="BC40" s="13">
        <v>0</v>
      </c>
      <c r="BD40" s="13">
        <v>0</v>
      </c>
    </row>
    <row r="41" spans="1:56" ht="11.25" customHeight="1" x14ac:dyDescent="0.3">
      <c r="A41" s="90"/>
      <c r="B41" s="17" t="s">
        <v>23</v>
      </c>
      <c r="C41" s="17" t="s">
        <v>43</v>
      </c>
      <c r="D41" s="17" t="s">
        <v>485</v>
      </c>
      <c r="E41" s="17" t="s">
        <v>25</v>
      </c>
      <c r="F41" s="17" t="s">
        <v>25</v>
      </c>
      <c r="G41" s="18" t="s">
        <v>474</v>
      </c>
      <c r="H41" s="18" t="s">
        <v>467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1.6552372203823094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81.56251122691512</v>
      </c>
      <c r="R41" s="13">
        <f>('TUSD BE'!$R$41+'TUSD BF'!$R$41+'TUSD CVA'!$R$41)*(1 - CUSTOS!$M$40)</f>
        <v>12.89579772101545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129.13845419828399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399.56825260092387</v>
      </c>
      <c r="AB41" s="13">
        <f ca="1">('TUSD BE'!$AE$41+'TUSD BF'!$AE$41+'TUSD CVA'!$AE$41)*(1 - CUSTOS!$M$40)</f>
        <v>-7.1050497645474895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7.1910743942115296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1.221408332899</v>
      </c>
      <c r="AK41" s="13">
        <v>0</v>
      </c>
      <c r="AL41" s="13">
        <v>0</v>
      </c>
      <c r="AM41" s="13">
        <v>0</v>
      </c>
      <c r="AN41" s="13">
        <v>45.9923425811727</v>
      </c>
      <c r="AO41" s="13">
        <v>7.2448914954278898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116.13403617930101</v>
      </c>
      <c r="AV41" s="13">
        <v>0</v>
      </c>
      <c r="AW41" s="13">
        <v>0</v>
      </c>
      <c r="AX41" s="13">
        <v>211.98863118249599</v>
      </c>
      <c r="AY41" s="13">
        <v>0</v>
      </c>
      <c r="AZ41" s="13">
        <v>0</v>
      </c>
      <c r="BA41" s="13">
        <v>22.8407625479032</v>
      </c>
      <c r="BB41" s="13">
        <v>0</v>
      </c>
      <c r="BC41" s="13">
        <v>0</v>
      </c>
      <c r="BD41" s="13">
        <v>0</v>
      </c>
    </row>
    <row r="42" spans="1:56" ht="11.25" customHeight="1" x14ac:dyDescent="0.3">
      <c r="A42" s="90"/>
      <c r="B42" s="90" t="s">
        <v>483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474</v>
      </c>
      <c r="H42" s="18" t="s">
        <v>467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1.6732289292995082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82.449060261990283</v>
      </c>
      <c r="R42" s="13">
        <f>('TUSD BE'!$R$42+'TUSD BF'!$R$42+'TUSD CVA'!$R$42)*(1 - CUSTOS!$M$38)</f>
        <v>13.035969435374312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130.54213304826533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403.91138578136866</v>
      </c>
      <c r="AB42" s="13">
        <f ca="1">('TUSD BE'!$AE$42+'TUSD BF'!$AE$42+'TUSD CVA'!$AE$42)*(1 - CUSTOS!$M$38)</f>
        <v>-7.1822785663360484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7.2692382463225238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1.2795706344656199</v>
      </c>
      <c r="AK42" s="13">
        <v>0</v>
      </c>
      <c r="AL42" s="13">
        <v>0</v>
      </c>
      <c r="AM42" s="13">
        <v>0</v>
      </c>
      <c r="AN42" s="13">
        <v>48.182454132657099</v>
      </c>
      <c r="AO42" s="13">
        <v>7.5898863285434999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121.664228378315</v>
      </c>
      <c r="AV42" s="13">
        <v>0</v>
      </c>
      <c r="AW42" s="13">
        <v>0</v>
      </c>
      <c r="AX42" s="13">
        <v>222.083327905472</v>
      </c>
      <c r="AY42" s="13">
        <v>0</v>
      </c>
      <c r="AZ42" s="13">
        <v>0</v>
      </c>
      <c r="BA42" s="13">
        <v>23.928417907327201</v>
      </c>
      <c r="BB42" s="13">
        <v>0</v>
      </c>
      <c r="BC42" s="13">
        <v>0</v>
      </c>
      <c r="BD42" s="13">
        <v>0</v>
      </c>
    </row>
    <row r="43" spans="1:56" ht="11.25" customHeight="1" x14ac:dyDescent="0.3">
      <c r="A43" s="90"/>
      <c r="B43" s="90"/>
      <c r="C43" s="90"/>
      <c r="D43" s="17" t="s">
        <v>484</v>
      </c>
      <c r="E43" s="17" t="s">
        <v>25</v>
      </c>
      <c r="F43" s="17" t="s">
        <v>25</v>
      </c>
      <c r="G43" s="18" t="s">
        <v>474</v>
      </c>
      <c r="H43" s="18" t="s">
        <v>467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1.6912206382167074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83.33560929706546</v>
      </c>
      <c r="R43" s="13">
        <f>('TUSD BE'!$R$43+'TUSD BF'!$R$43+'TUSD CVA'!$R$43)*(1 - CUSTOS!$M$39)</f>
        <v>13.176141149733176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131.94581189824669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408.25451896181352</v>
      </c>
      <c r="AB43" s="13">
        <f ca="1">('TUSD BE'!$AE$43+'TUSD BF'!$AE$43+'TUSD CVA'!$AE$43)*(1 - CUSTOS!$M$39)</f>
        <v>-7.2595073681246092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7.3474020984335198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1.2795706344656199</v>
      </c>
      <c r="AK43" s="13">
        <v>0</v>
      </c>
      <c r="AL43" s="13">
        <v>0</v>
      </c>
      <c r="AM43" s="13">
        <v>0</v>
      </c>
      <c r="AN43" s="13">
        <v>48.182454132657099</v>
      </c>
      <c r="AO43" s="13">
        <v>7.5898863285434999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121.664228378315</v>
      </c>
      <c r="AV43" s="13">
        <v>0</v>
      </c>
      <c r="AW43" s="13">
        <v>0</v>
      </c>
      <c r="AX43" s="13">
        <v>222.083327905472</v>
      </c>
      <c r="AY43" s="13">
        <v>0</v>
      </c>
      <c r="AZ43" s="13">
        <v>0</v>
      </c>
      <c r="BA43" s="13">
        <v>23.928417907327201</v>
      </c>
      <c r="BB43" s="13">
        <v>0</v>
      </c>
      <c r="BC43" s="13">
        <v>0</v>
      </c>
      <c r="BD43" s="13">
        <v>0</v>
      </c>
    </row>
    <row r="44" spans="1:56" ht="11.25" customHeight="1" x14ac:dyDescent="0.3">
      <c r="A44" s="90"/>
      <c r="B44" s="90"/>
      <c r="C44" s="90"/>
      <c r="D44" s="17" t="s">
        <v>485</v>
      </c>
      <c r="E44" s="17" t="s">
        <v>25</v>
      </c>
      <c r="F44" s="17" t="s">
        <v>25</v>
      </c>
      <c r="G44" s="18" t="s">
        <v>474</v>
      </c>
      <c r="H44" s="18" t="s">
        <v>467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1.6552372203823094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81.56251122691512</v>
      </c>
      <c r="R44" s="13">
        <f>('TUSD BE'!$R$44+'TUSD BF'!$R$44+'TUSD CVA'!$R$44)*(1 - CUSTOS!$M$40)</f>
        <v>12.89579772101545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129.13845419828399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399.56825260092387</v>
      </c>
      <c r="AB44" s="13">
        <f ca="1">('TUSD BE'!$AE$44+'TUSD BF'!$AE$44+'TUSD CVA'!$AE$44)*(1 - CUSTOS!$M$40)</f>
        <v>-7.1050497645474895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7.1910743942115296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1.221408332899</v>
      </c>
      <c r="AK44" s="13">
        <v>0</v>
      </c>
      <c r="AL44" s="13">
        <v>0</v>
      </c>
      <c r="AM44" s="13">
        <v>0</v>
      </c>
      <c r="AN44" s="13">
        <v>45.9923425811727</v>
      </c>
      <c r="AO44" s="13">
        <v>7.2448914954278898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116.13403617930101</v>
      </c>
      <c r="AV44" s="13">
        <v>0</v>
      </c>
      <c r="AW44" s="13">
        <v>0</v>
      </c>
      <c r="AX44" s="13">
        <v>211.98863118249599</v>
      </c>
      <c r="AY44" s="13">
        <v>0</v>
      </c>
      <c r="AZ44" s="13">
        <v>0</v>
      </c>
      <c r="BA44" s="13">
        <v>22.8407625479032</v>
      </c>
      <c r="BB44" s="13">
        <v>0</v>
      </c>
      <c r="BC44" s="13">
        <v>0</v>
      </c>
      <c r="BD44" s="13">
        <v>0</v>
      </c>
    </row>
    <row r="45" spans="1:56" ht="11.25" customHeight="1" x14ac:dyDescent="0.3">
      <c r="A45" s="90" t="s">
        <v>37</v>
      </c>
      <c r="B45" s="90" t="s">
        <v>33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468</v>
      </c>
      <c r="H45" s="18" t="s">
        <v>467</v>
      </c>
      <c r="I45" s="18">
        <f>'MERCADO TUSD'!$U$42</f>
        <v>3.0390000000000001</v>
      </c>
      <c r="J45" s="15"/>
      <c r="L45" s="13">
        <f>('TUSD BE'!$L$45+'TUSD BF'!$L$45+'TUSD CVA'!$L$45)*1</f>
        <v>0</v>
      </c>
      <c r="M45" s="13">
        <f>('TUSD BE'!$M$45+'TUSD BF'!$M$45+'TUSD CVA'!$M$45)*1</f>
        <v>1.7991708917199014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88.654903507516437</v>
      </c>
      <c r="R45" s="13">
        <f>('TUSD BE'!$R$45+'TUSD BF'!$R$45+'TUSD CVA'!$R$45)*1</f>
        <v>14.017171435886358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484.39033200097867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1498.3802349491366</v>
      </c>
      <c r="AB45" s="13">
        <f ca="1">('TUSD BE'!$AE$45+'TUSD BF'!$AE$45+'TUSD CVA'!$AE$45)*1</f>
        <v>-23.203235984441797</v>
      </c>
      <c r="AC45" s="13">
        <f ca="1">('TUSD BE'!$AF$45+'TUSD BF'!$AF$45+'TUSD CVA'!$AF$45)*1</f>
        <v>0</v>
      </c>
      <c r="AD45" s="13">
        <f>('TUSD BE'!$AH$45+'TUSD BF'!$AH$45+'TUSD CVA'!$AH$45)*1</f>
        <v>7.8163852110994885</v>
      </c>
      <c r="AE45" s="13">
        <f>('TUSD BE'!$AI$45+'TUSD BF'!$AI$45+'TUSD CVA'!$AI$45)*1</f>
        <v>0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1.45405753916548</v>
      </c>
      <c r="AK45" s="13">
        <v>0</v>
      </c>
      <c r="AL45" s="13">
        <v>0</v>
      </c>
      <c r="AM45" s="13">
        <v>0</v>
      </c>
      <c r="AN45" s="13">
        <v>54.752788787110397</v>
      </c>
      <c r="AO45" s="13">
        <v>8.6248708278903408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477.09844712190301</v>
      </c>
      <c r="AV45" s="13">
        <v>0</v>
      </c>
      <c r="AW45" s="13">
        <v>0</v>
      </c>
      <c r="AX45" s="13">
        <v>870.66722311389901</v>
      </c>
      <c r="AY45" s="13">
        <v>0</v>
      </c>
      <c r="AZ45" s="13">
        <v>0</v>
      </c>
      <c r="BA45" s="13">
        <v>27.191383985599099</v>
      </c>
      <c r="BB45" s="13">
        <v>0</v>
      </c>
      <c r="BC45" s="13">
        <v>0</v>
      </c>
      <c r="BD45" s="13">
        <v>0</v>
      </c>
    </row>
    <row r="46" spans="1:56" ht="11.25" customHeight="1" x14ac:dyDescent="0.3">
      <c r="A46" s="90"/>
      <c r="B46" s="90"/>
      <c r="C46" s="90"/>
      <c r="D46" s="90"/>
      <c r="E46" s="90"/>
      <c r="F46" s="90"/>
      <c r="G46" s="18" t="s">
        <v>480</v>
      </c>
      <c r="H46" s="18" t="s">
        <v>467</v>
      </c>
      <c r="I46" s="18">
        <f>'MERCADO TUSD'!$U$43</f>
        <v>5.1750000000000007</v>
      </c>
      <c r="J46" s="15"/>
      <c r="L46" s="13">
        <f>('TUSD BE'!$L$46+'TUSD BF'!$L$46+'TUSD CVA'!$L$46)*1</f>
        <v>0</v>
      </c>
      <c r="M46" s="13">
        <f>('TUSD BE'!$M$46+'TUSD BF'!$M$46+'TUSD CVA'!$M$46)*1</f>
        <v>1.7991708917199014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88.654903507516437</v>
      </c>
      <c r="R46" s="13">
        <f>('TUSD BE'!$R$46+'TUSD BF'!$R$46+'TUSD CVA'!$R$46)*1</f>
        <v>14.017171435886358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290.57865692103218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899.02811870997164</v>
      </c>
      <c r="AB46" s="13">
        <f ca="1">('TUSD BE'!$AE$46+'TUSD BF'!$AE$46+'TUSD CVA'!$AE$46)*1</f>
        <v>-14.48330324594648</v>
      </c>
      <c r="AC46" s="13">
        <f ca="1">('TUSD BE'!$AF$46+'TUSD BF'!$AF$46+'TUSD CVA'!$AF$46)*1</f>
        <v>0</v>
      </c>
      <c r="AD46" s="13">
        <f>('TUSD BE'!$AH$46+'TUSD BF'!$AH$46+'TUSD CVA'!$AH$46)*1</f>
        <v>7.8163852110994885</v>
      </c>
      <c r="AE46" s="13">
        <f>('TUSD BE'!$AI$46+'TUSD BF'!$AI$46+'TUSD CVA'!$AI$46)*1</f>
        <v>0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1.45405753916548</v>
      </c>
      <c r="AK46" s="13">
        <v>0</v>
      </c>
      <c r="AL46" s="13">
        <v>0</v>
      </c>
      <c r="AM46" s="13">
        <v>0</v>
      </c>
      <c r="AN46" s="13">
        <v>54.752788787110397</v>
      </c>
      <c r="AO46" s="13">
        <v>8.6248708278903408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286.20441403293898</v>
      </c>
      <c r="AV46" s="13">
        <v>0</v>
      </c>
      <c r="AW46" s="13">
        <v>0</v>
      </c>
      <c r="AX46" s="13">
        <v>522.40033386833898</v>
      </c>
      <c r="AY46" s="13">
        <v>0</v>
      </c>
      <c r="AZ46" s="13">
        <v>0</v>
      </c>
      <c r="BA46" s="13">
        <v>27.191383985599099</v>
      </c>
      <c r="BB46" s="13">
        <v>0</v>
      </c>
      <c r="BC46" s="13">
        <v>0</v>
      </c>
      <c r="BD46" s="13">
        <v>0</v>
      </c>
    </row>
    <row r="47" spans="1:56" ht="11.25" customHeight="1" x14ac:dyDescent="0.3">
      <c r="A47" s="90"/>
      <c r="B47" s="90"/>
      <c r="C47" s="90"/>
      <c r="D47" s="90"/>
      <c r="E47" s="90"/>
      <c r="F47" s="90"/>
      <c r="G47" s="18" t="s">
        <v>469</v>
      </c>
      <c r="H47" s="18" t="s">
        <v>467</v>
      </c>
      <c r="I47" s="18">
        <f>'MERCADO TUSD'!$U$44</f>
        <v>190.53300000000002</v>
      </c>
      <c r="J47" s="15"/>
      <c r="L47" s="13">
        <f>('TUSD BE'!$L$47+'TUSD BF'!$L$47+'TUSD CVA'!$L$47)*1</f>
        <v>0</v>
      </c>
      <c r="M47" s="13">
        <f>('TUSD BE'!$M$47+'TUSD BF'!$M$47+'TUSD CVA'!$M$47)*1</f>
        <v>1.7991708917199014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88.654903507516437</v>
      </c>
      <c r="R47" s="13">
        <f>('TUSD BE'!$R$47+'TUSD BF'!$R$47+'TUSD CVA'!$R$47)*1</f>
        <v>14.017171435886358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96.836436403822816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299.67622506590931</v>
      </c>
      <c r="AB47" s="13">
        <f ca="1">('TUSD BE'!$AE$47+'TUSD BF'!$AE$47+'TUSD CVA'!$AE$47)*1</f>
        <v>-5.7641183781351106</v>
      </c>
      <c r="AC47" s="13">
        <f ca="1">('TUSD BE'!$AF$47+'TUSD BF'!$AF$47+'TUSD CVA'!$AF$47)*1</f>
        <v>0</v>
      </c>
      <c r="AD47" s="13">
        <f>('TUSD BE'!$AH$47+'TUSD BF'!$AH$47+'TUSD CVA'!$AH$47)*1</f>
        <v>7.8163852110994885</v>
      </c>
      <c r="AE47" s="13">
        <f>('TUSD BE'!$AI$47+'TUSD BF'!$AI$47+'TUSD CVA'!$AI$47)*1</f>
        <v>0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1.45405753916548</v>
      </c>
      <c r="AK47" s="13">
        <v>0</v>
      </c>
      <c r="AL47" s="13">
        <v>0</v>
      </c>
      <c r="AM47" s="13">
        <v>0</v>
      </c>
      <c r="AN47" s="13">
        <v>54.752788787110397</v>
      </c>
      <c r="AO47" s="13">
        <v>8.6248708278903408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95.378675323659706</v>
      </c>
      <c r="AV47" s="13">
        <v>0</v>
      </c>
      <c r="AW47" s="13">
        <v>0</v>
      </c>
      <c r="AX47" s="13">
        <v>174.133576495201</v>
      </c>
      <c r="AY47" s="13">
        <v>0</v>
      </c>
      <c r="AZ47" s="13">
        <v>0</v>
      </c>
      <c r="BA47" s="13">
        <v>27.191383985599099</v>
      </c>
      <c r="BB47" s="13">
        <v>0</v>
      </c>
      <c r="BC47" s="13">
        <v>0</v>
      </c>
      <c r="BD47" s="13">
        <v>0</v>
      </c>
    </row>
    <row r="48" spans="1:56" ht="11.25" customHeight="1" x14ac:dyDescent="0.3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474</v>
      </c>
      <c r="H48" s="18" t="s">
        <v>467</v>
      </c>
      <c r="I48" s="18">
        <f>'MERCADO TUSD'!$U$45</f>
        <v>13839.034999999998</v>
      </c>
      <c r="J48" s="15"/>
      <c r="L48" s="13">
        <f>('TUSD BE'!$L$48+'TUSD BF'!$L$48+'TUSD CVA'!$L$48)*1</f>
        <v>0</v>
      </c>
      <c r="M48" s="13">
        <f>('TUSD BE'!$M$48+'TUSD BF'!$M$48+'TUSD CVA'!$M$48)*1</f>
        <v>1.7991708917199014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88.654903507516437</v>
      </c>
      <c r="R48" s="13">
        <f>('TUSD BE'!$R$48+'TUSD BF'!$R$48+'TUSD CVA'!$R$48)*1</f>
        <v>14.017171435886358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140.36788499813477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434.31331804448246</v>
      </c>
      <c r="AB48" s="13">
        <f ca="1">('TUSD BE'!$AE$48+'TUSD BF'!$AE$48+'TUSD CVA'!$AE$48)*1</f>
        <v>-7.7228801788559664</v>
      </c>
      <c r="AC48" s="13">
        <f ca="1">('TUSD BE'!$AF$48+'TUSD BF'!$AF$48+'TUSD CVA'!$AF$48)*1</f>
        <v>0</v>
      </c>
      <c r="AD48" s="13">
        <f>('TUSD BE'!$AH$48+'TUSD BF'!$AH$48+'TUSD CVA'!$AH$48)*1</f>
        <v>7.8163852110994885</v>
      </c>
      <c r="AE48" s="13">
        <f>('TUSD BE'!$AI$48+'TUSD BF'!$AI$48+'TUSD CVA'!$AI$48)*1</f>
        <v>0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1.45405753916548</v>
      </c>
      <c r="AK48" s="13">
        <v>0</v>
      </c>
      <c r="AL48" s="13">
        <v>0</v>
      </c>
      <c r="AM48" s="13">
        <v>0</v>
      </c>
      <c r="AN48" s="13">
        <v>54.752788787110397</v>
      </c>
      <c r="AO48" s="13">
        <v>8.6248708278903408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138.25480497535801</v>
      </c>
      <c r="AV48" s="13">
        <v>0</v>
      </c>
      <c r="AW48" s="13">
        <v>0</v>
      </c>
      <c r="AX48" s="13">
        <v>252.36741807440001</v>
      </c>
      <c r="AY48" s="13">
        <v>0</v>
      </c>
      <c r="AZ48" s="13">
        <v>0</v>
      </c>
      <c r="BA48" s="13">
        <v>27.191383985599099</v>
      </c>
      <c r="BB48" s="13">
        <v>0</v>
      </c>
      <c r="BC48" s="13">
        <v>0</v>
      </c>
      <c r="BD48" s="13">
        <v>0</v>
      </c>
    </row>
    <row r="49" spans="1:56" ht="11.25" customHeight="1" x14ac:dyDescent="0.3">
      <c r="A49" s="90"/>
      <c r="B49" s="17" t="s">
        <v>483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474</v>
      </c>
      <c r="H49" s="18" t="s">
        <v>467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1.7991708917199014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88.654903507516437</v>
      </c>
      <c r="R49" s="13">
        <f>('TUSD BE'!$R$49+'TUSD BF'!$R$49+'TUSD CVA'!$R$49)*1</f>
        <v>14.017171435886358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140.36788499813477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434.31331804448246</v>
      </c>
      <c r="AB49" s="13">
        <f ca="1">('TUSD BE'!$AE$49+'TUSD BF'!$AE$49+'TUSD CVA'!$AE$49)*1</f>
        <v>-7.7228801788559664</v>
      </c>
      <c r="AC49" s="13">
        <f ca="1">('TUSD BE'!$AF$49+'TUSD BF'!$AF$49+'TUSD CVA'!$AF$49)*1</f>
        <v>0</v>
      </c>
      <c r="AD49" s="13">
        <f>('TUSD BE'!$AH$49+'TUSD BF'!$AH$49+'TUSD CVA'!$AH$49)*1</f>
        <v>7.8163852110994885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1.45405753916548</v>
      </c>
      <c r="AK49" s="13">
        <v>0</v>
      </c>
      <c r="AL49" s="13">
        <v>0</v>
      </c>
      <c r="AM49" s="13">
        <v>0</v>
      </c>
      <c r="AN49" s="13">
        <v>54.752788787110397</v>
      </c>
      <c r="AO49" s="13">
        <v>8.6248708278903408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138.25480497535801</v>
      </c>
      <c r="AV49" s="13">
        <v>0</v>
      </c>
      <c r="AW49" s="13">
        <v>0</v>
      </c>
      <c r="AX49" s="13">
        <v>252.36741807440001</v>
      </c>
      <c r="AY49" s="13">
        <v>0</v>
      </c>
      <c r="AZ49" s="13">
        <v>0</v>
      </c>
      <c r="BA49" s="13">
        <v>27.191383985599099</v>
      </c>
      <c r="BB49" s="13">
        <v>0</v>
      </c>
      <c r="BC49" s="13">
        <v>0</v>
      </c>
      <c r="BD49" s="13">
        <v>0</v>
      </c>
    </row>
    <row r="50" spans="1:56" ht="11.25" customHeight="1" x14ac:dyDescent="0.3">
      <c r="A50" s="90" t="s">
        <v>45</v>
      </c>
      <c r="B50" s="90" t="s">
        <v>23</v>
      </c>
      <c r="C50" s="90" t="s">
        <v>46</v>
      </c>
      <c r="D50" s="17" t="s">
        <v>486</v>
      </c>
      <c r="E50" s="17" t="s">
        <v>25</v>
      </c>
      <c r="F50" s="17" t="s">
        <v>25</v>
      </c>
      <c r="G50" s="18" t="s">
        <v>474</v>
      </c>
      <c r="H50" s="18" t="s">
        <v>467</v>
      </c>
      <c r="I50" s="18">
        <f>'MERCADO TUSD'!$U$47</f>
        <v>0</v>
      </c>
      <c r="J50" s="15"/>
      <c r="L50" s="13">
        <f>('TUSD BE'!$L$50+'TUSD BF'!$L$50+'TUSD CVA'!$L$50)*1</f>
        <v>0</v>
      </c>
      <c r="M50" s="13">
        <f>('TUSD BE'!$M$50+'TUSD BF'!$M$50+'TUSD CVA'!$M$50)*1</f>
        <v>0.98954399044594576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48.760196929134047</v>
      </c>
      <c r="R50" s="13">
        <f>('TUSD BE'!$R$50+'TUSD BF'!$R$50+'TUSD CVA'!$R$50)*1</f>
        <v>7.7094442897374975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77.202336748974147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238.87232492446537</v>
      </c>
      <c r="AB50" s="13">
        <f ca="1">('TUSD BE'!$AE$50+'TUSD BF'!$AE$50+'TUSD CVA'!$AE$50)*1</f>
        <v>-4.2475840983707833</v>
      </c>
      <c r="AC50" s="13">
        <f ca="1">('TUSD BE'!$AF$50+'TUSD BF'!$AF$50+'TUSD CVA'!$AF$50)*1</f>
        <v>0</v>
      </c>
      <c r="AD50" s="13">
        <f>('TUSD BE'!$AH$50+'TUSD BF'!$AH$50+'TUSD CVA'!$AH$50)*1</f>
        <v>4.2990118661047187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0.79973164654101403</v>
      </c>
      <c r="AK50" s="13">
        <v>0</v>
      </c>
      <c r="AL50" s="13">
        <v>0</v>
      </c>
      <c r="AM50" s="13">
        <v>0</v>
      </c>
      <c r="AN50" s="13">
        <v>30.1140338329107</v>
      </c>
      <c r="AO50" s="13">
        <v>4.7436789553396901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76.040142736446896</v>
      </c>
      <c r="AV50" s="13">
        <v>0</v>
      </c>
      <c r="AW50" s="13">
        <v>0</v>
      </c>
      <c r="AX50" s="13">
        <v>138.80207994092001</v>
      </c>
      <c r="AY50" s="13">
        <v>0</v>
      </c>
      <c r="AZ50" s="13">
        <v>0</v>
      </c>
      <c r="BA50" s="13">
        <v>14.955261192079501</v>
      </c>
      <c r="BB50" s="13">
        <v>0</v>
      </c>
      <c r="BC50" s="13">
        <v>0</v>
      </c>
      <c r="BD50" s="13">
        <v>0</v>
      </c>
    </row>
    <row r="51" spans="1:56" ht="11.25" customHeight="1" x14ac:dyDescent="0.3">
      <c r="A51" s="90"/>
      <c r="B51" s="90"/>
      <c r="C51" s="90"/>
      <c r="D51" s="18" t="s">
        <v>47</v>
      </c>
      <c r="E51" s="18" t="s">
        <v>25</v>
      </c>
      <c r="F51" s="18" t="s">
        <v>25</v>
      </c>
      <c r="G51" s="18" t="s">
        <v>474</v>
      </c>
      <c r="H51" s="18" t="s">
        <v>467</v>
      </c>
      <c r="I51" s="18">
        <f>'MERCADO TUSD'!$U$48</f>
        <v>3807.3310000000001</v>
      </c>
      <c r="J51" s="15"/>
      <c r="L51" s="13">
        <f>('TUSD BE'!$L$51+'TUSD BF'!$L$51+'TUSD CVA'!$L$51)*1</f>
        <v>0</v>
      </c>
      <c r="M51" s="13">
        <f>('TUSD BE'!$M$51+'TUSD BF'!$M$51+'TUSD CVA'!$M$51)*1</f>
        <v>1.0795025350319407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53.192942104509868</v>
      </c>
      <c r="R51" s="13">
        <f>('TUSD BE'!$R$51+'TUSD BF'!$R$51+'TUSD CVA'!$R$51)*1</f>
        <v>8.4103028615318145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84.220730998880867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260.58799082668946</v>
      </c>
      <c r="AB51" s="13">
        <f ca="1">('TUSD BE'!$AE$51+'TUSD BF'!$AE$51+'TUSD CVA'!$AE$51)*1</f>
        <v>-4.6337281073135808</v>
      </c>
      <c r="AC51" s="13">
        <f ca="1">('TUSD BE'!$AF$51+'TUSD BF'!$AF$51+'TUSD CVA'!$AF$51)*1</f>
        <v>0</v>
      </c>
      <c r="AD51" s="13">
        <f>('TUSD BE'!$AH$51+'TUSD BF'!$AH$51+'TUSD CVA'!$AH$51)*1</f>
        <v>4.6898311266596933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0.87243452349928796</v>
      </c>
      <c r="AK51" s="13">
        <v>0</v>
      </c>
      <c r="AL51" s="13">
        <v>0</v>
      </c>
      <c r="AM51" s="13">
        <v>0</v>
      </c>
      <c r="AN51" s="13">
        <v>32.851673272266197</v>
      </c>
      <c r="AO51" s="13">
        <v>5.1749224967342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82.952882985214799</v>
      </c>
      <c r="AV51" s="13">
        <v>0</v>
      </c>
      <c r="AW51" s="13">
        <v>0</v>
      </c>
      <c r="AX51" s="13">
        <v>151.42045084463999</v>
      </c>
      <c r="AY51" s="13">
        <v>0</v>
      </c>
      <c r="AZ51" s="13">
        <v>0</v>
      </c>
      <c r="BA51" s="13">
        <v>16.314830391359401</v>
      </c>
      <c r="BB51" s="13">
        <v>0</v>
      </c>
      <c r="BC51" s="13">
        <v>0</v>
      </c>
      <c r="BD51" s="13">
        <v>0</v>
      </c>
    </row>
    <row r="53" spans="1:56" ht="11.25" customHeight="1" x14ac:dyDescent="0.3">
      <c r="L53" s="92" t="s">
        <v>792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793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3">
      <c r="L54" s="92" t="s">
        <v>492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492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3">
      <c r="L55" s="92" t="s">
        <v>493</v>
      </c>
      <c r="M55" s="92"/>
      <c r="N55" s="92"/>
      <c r="O55" s="92"/>
      <c r="P55" s="92"/>
      <c r="Q55" s="92"/>
      <c r="R55" s="92"/>
      <c r="S55" s="92"/>
      <c r="T55" s="92" t="s">
        <v>502</v>
      </c>
      <c r="U55" s="92"/>
      <c r="V55" s="92"/>
      <c r="W55" s="92"/>
      <c r="X55" s="92"/>
      <c r="Y55" s="92"/>
      <c r="Z55" s="92"/>
      <c r="AA55" s="10" t="s">
        <v>510</v>
      </c>
      <c r="AB55" s="92" t="s">
        <v>512</v>
      </c>
      <c r="AC55" s="92"/>
      <c r="AD55" s="92" t="s">
        <v>515</v>
      </c>
      <c r="AE55" s="92"/>
      <c r="AF55" s="92"/>
      <c r="AG55" s="92"/>
      <c r="AI55" s="92" t="s">
        <v>493</v>
      </c>
      <c r="AJ55" s="92"/>
      <c r="AK55" s="92"/>
      <c r="AL55" s="92"/>
      <c r="AM55" s="92"/>
      <c r="AN55" s="92"/>
      <c r="AO55" s="92"/>
      <c r="AP55" s="92"/>
      <c r="AQ55" s="92" t="s">
        <v>502</v>
      </c>
      <c r="AR55" s="92"/>
      <c r="AS55" s="92"/>
      <c r="AT55" s="92"/>
      <c r="AU55" s="92"/>
      <c r="AV55" s="92"/>
      <c r="AW55" s="92"/>
      <c r="AX55" s="10" t="s">
        <v>510</v>
      </c>
      <c r="AY55" s="92" t="s">
        <v>512</v>
      </c>
      <c r="AZ55" s="92"/>
      <c r="BA55" s="92" t="s">
        <v>515</v>
      </c>
      <c r="BB55" s="92"/>
      <c r="BC55" s="92"/>
      <c r="BD55" s="92"/>
    </row>
    <row r="56" spans="1:56" ht="11.25" customHeight="1" x14ac:dyDescent="0.3">
      <c r="L56" s="10" t="s">
        <v>578</v>
      </c>
      <c r="M56" s="10" t="s">
        <v>494</v>
      </c>
      <c r="N56" s="10" t="s">
        <v>495</v>
      </c>
      <c r="O56" s="10" t="s">
        <v>496</v>
      </c>
      <c r="P56" s="10" t="s">
        <v>497</v>
      </c>
      <c r="Q56" s="10" t="s">
        <v>498</v>
      </c>
      <c r="R56" s="10" t="s">
        <v>499</v>
      </c>
      <c r="S56" s="10" t="s">
        <v>500</v>
      </c>
      <c r="T56" s="10" t="s">
        <v>503</v>
      </c>
      <c r="U56" s="10" t="s">
        <v>504</v>
      </c>
      <c r="V56" s="10" t="s">
        <v>505</v>
      </c>
      <c r="W56" s="10" t="s">
        <v>506</v>
      </c>
      <c r="X56" s="10" t="s">
        <v>507</v>
      </c>
      <c r="Y56" s="10" t="s">
        <v>508</v>
      </c>
      <c r="Z56" s="10" t="s">
        <v>509</v>
      </c>
      <c r="AA56" s="10" t="s">
        <v>511</v>
      </c>
      <c r="AB56" s="10" t="s">
        <v>513</v>
      </c>
      <c r="AC56" s="10" t="s">
        <v>514</v>
      </c>
      <c r="AD56" s="10" t="s">
        <v>516</v>
      </c>
      <c r="AE56" s="10" t="s">
        <v>517</v>
      </c>
      <c r="AF56" s="10" t="s">
        <v>518</v>
      </c>
      <c r="AG56" s="10" t="s">
        <v>519</v>
      </c>
      <c r="AI56" s="10" t="s">
        <v>578</v>
      </c>
      <c r="AJ56" s="10" t="s">
        <v>494</v>
      </c>
      <c r="AK56" s="10" t="s">
        <v>495</v>
      </c>
      <c r="AL56" s="10" t="s">
        <v>496</v>
      </c>
      <c r="AM56" s="10" t="s">
        <v>497</v>
      </c>
      <c r="AN56" s="10" t="s">
        <v>498</v>
      </c>
      <c r="AO56" s="10" t="s">
        <v>499</v>
      </c>
      <c r="AP56" s="10" t="s">
        <v>500</v>
      </c>
      <c r="AQ56" s="10" t="s">
        <v>503</v>
      </c>
      <c r="AR56" s="10" t="s">
        <v>504</v>
      </c>
      <c r="AS56" s="10" t="s">
        <v>505</v>
      </c>
      <c r="AT56" s="10" t="s">
        <v>506</v>
      </c>
      <c r="AU56" s="10" t="s">
        <v>507</v>
      </c>
      <c r="AV56" s="10" t="s">
        <v>508</v>
      </c>
      <c r="AW56" s="10" t="s">
        <v>509</v>
      </c>
      <c r="AX56" s="10" t="s">
        <v>511</v>
      </c>
      <c r="AY56" s="10" t="s">
        <v>513</v>
      </c>
      <c r="AZ56" s="10" t="s">
        <v>514</v>
      </c>
      <c r="BA56" s="10" t="s">
        <v>516</v>
      </c>
      <c r="BB56" s="10" t="s">
        <v>517</v>
      </c>
      <c r="BC56" s="10" t="s">
        <v>518</v>
      </c>
      <c r="BD56" s="10" t="s">
        <v>519</v>
      </c>
    </row>
    <row r="57" spans="1:56" ht="11.25" customHeight="1" x14ac:dyDescent="0.3">
      <c r="A57" s="9" t="s">
        <v>39</v>
      </c>
      <c r="B57" s="9" t="s">
        <v>794</v>
      </c>
      <c r="C57" s="9" t="s">
        <v>795</v>
      </c>
      <c r="D57" s="9" t="s">
        <v>796</v>
      </c>
      <c r="E57" s="9" t="s">
        <v>797</v>
      </c>
      <c r="F57" s="9" t="s">
        <v>798</v>
      </c>
      <c r="G57" s="9" t="s">
        <v>799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3">
      <c r="A58" s="9" t="s">
        <v>39</v>
      </c>
      <c r="B58" s="9" t="s">
        <v>794</v>
      </c>
      <c r="C58" s="9" t="s">
        <v>795</v>
      </c>
      <c r="D58" s="9" t="s">
        <v>796</v>
      </c>
      <c r="E58" s="9" t="s">
        <v>797</v>
      </c>
      <c r="F58" s="9" t="s">
        <v>798</v>
      </c>
      <c r="G58" s="9" t="s">
        <v>800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3">
      <c r="A59" s="9" t="s">
        <v>39</v>
      </c>
      <c r="B59" s="9" t="s">
        <v>794</v>
      </c>
      <c r="C59" s="9" t="s">
        <v>795</v>
      </c>
      <c r="D59" s="9" t="s">
        <v>796</v>
      </c>
      <c r="E59" s="9" t="s">
        <v>797</v>
      </c>
      <c r="F59" s="9" t="s">
        <v>798</v>
      </c>
      <c r="G59" s="9" t="s">
        <v>801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3">
      <c r="A60" s="9" t="s">
        <v>39</v>
      </c>
      <c r="B60" s="9" t="s">
        <v>794</v>
      </c>
      <c r="C60" s="9" t="s">
        <v>795</v>
      </c>
      <c r="D60" s="9" t="s">
        <v>796</v>
      </c>
      <c r="E60" s="9" t="s">
        <v>802</v>
      </c>
      <c r="F60" s="9" t="s">
        <v>803</v>
      </c>
      <c r="G60" s="9" t="s">
        <v>804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3">
      <c r="A61" s="9" t="s">
        <v>39</v>
      </c>
      <c r="B61" s="9" t="s">
        <v>805</v>
      </c>
      <c r="C61" s="9" t="s">
        <v>806</v>
      </c>
      <c r="D61" s="9" t="s">
        <v>807</v>
      </c>
      <c r="E61" s="9" t="s">
        <v>808</v>
      </c>
      <c r="F61" s="9" t="s">
        <v>809</v>
      </c>
      <c r="G61" s="9" t="s">
        <v>810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3">
      <c r="A62" s="9" t="s">
        <v>39</v>
      </c>
      <c r="B62" s="9" t="s">
        <v>811</v>
      </c>
      <c r="C62" s="9" t="s">
        <v>812</v>
      </c>
      <c r="D62" s="9" t="s">
        <v>813</v>
      </c>
      <c r="E62" s="9" t="s">
        <v>814</v>
      </c>
      <c r="F62" s="9" t="s">
        <v>815</v>
      </c>
      <c r="G62" s="9" t="s">
        <v>816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1104381.7541356331</v>
      </c>
      <c r="Y62" s="13">
        <f>$I$10*$Y$10</f>
        <v>0</v>
      </c>
      <c r="Z62" s="13">
        <f>$I$10*$Z$10</f>
        <v>0</v>
      </c>
      <c r="AA62" s="13">
        <f>$I$10*$AA$10</f>
        <v>1850984.8786490962</v>
      </c>
      <c r="AB62" s="13">
        <f ca="1">$I$10*$AB$10</f>
        <v>-32358.566626058771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1087754.3668170297</v>
      </c>
      <c r="AV62" s="13">
        <f>$I$10*$AV$10</f>
        <v>0</v>
      </c>
      <c r="AW62" s="13">
        <f>$I$10*$AW$10</f>
        <v>0</v>
      </c>
      <c r="AX62" s="13">
        <f>$I$10*$AX$10</f>
        <v>1075555.3868411144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3">
      <c r="A63" s="9" t="s">
        <v>39</v>
      </c>
      <c r="B63" s="9" t="s">
        <v>811</v>
      </c>
      <c r="C63" s="9" t="s">
        <v>812</v>
      </c>
      <c r="D63" s="9" t="s">
        <v>813</v>
      </c>
      <c r="E63" s="9" t="s">
        <v>814</v>
      </c>
      <c r="F63" s="9" t="s">
        <v>815</v>
      </c>
      <c r="G63" s="9" t="s">
        <v>817</v>
      </c>
      <c r="L63" s="13">
        <f>$I$11*$L$11</f>
        <v>0</v>
      </c>
      <c r="M63" s="13">
        <f>$I$11*$M$11</f>
        <v>417.90835690350826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30505.641644692198</v>
      </c>
      <c r="R63" s="13">
        <f>$I$11*$R$11</f>
        <v>5741.9380383107437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424248.50506313069</v>
      </c>
      <c r="Y63" s="13">
        <f>$I$11*$Y$11</f>
        <v>0</v>
      </c>
      <c r="Z63" s="13">
        <f>$I$11*$Z$11</f>
        <v>0</v>
      </c>
      <c r="AA63" s="13">
        <f>$I$11*$AA$11</f>
        <v>1028099.0365671805</v>
      </c>
      <c r="AB63" s="13">
        <f ca="1">$I$11*$AB$11</f>
        <v>-16395.096239970102</v>
      </c>
      <c r="AC63" s="13">
        <f ca="1">$I$11*$AC$11</f>
        <v>0</v>
      </c>
      <c r="AD63" s="13">
        <f>$I$11*$AD$11</f>
        <v>1236.2116346028047</v>
      </c>
      <c r="AE63" s="13">
        <f>$I$11*$AE$11</f>
        <v>0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300.05099563415763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19512.980647209159</v>
      </c>
      <c r="AO63" s="13">
        <f>$I$11*$AO$11</f>
        <v>3533.0575864536872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417861.98394989851</v>
      </c>
      <c r="AV63" s="13">
        <f>$I$11*$AV$11</f>
        <v>0</v>
      </c>
      <c r="AW63" s="13">
        <f>$I$11*$AW$11</f>
        <v>0</v>
      </c>
      <c r="AX63" s="13">
        <f>$I$11*$AX$11</f>
        <v>597399.84941015218</v>
      </c>
      <c r="AY63" s="13">
        <f>$I$11*$AY$11</f>
        <v>0</v>
      </c>
      <c r="AZ63" s="13">
        <f>$I$11*$AZ$11</f>
        <v>0</v>
      </c>
      <c r="BA63" s="13">
        <f>$I$11*$BA$11</f>
        <v>4300.4963860431935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3">
      <c r="A64" s="9" t="s">
        <v>39</v>
      </c>
      <c r="B64" s="9" t="s">
        <v>811</v>
      </c>
      <c r="C64" s="9" t="s">
        <v>812</v>
      </c>
      <c r="D64" s="9" t="s">
        <v>813</v>
      </c>
      <c r="E64" s="9" t="s">
        <v>814</v>
      </c>
      <c r="F64" s="9" t="s">
        <v>815</v>
      </c>
      <c r="G64" s="9" t="s">
        <v>818</v>
      </c>
      <c r="L64" s="13">
        <f>$I$12*$L$12</f>
        <v>0</v>
      </c>
      <c r="M64" s="13">
        <f>$I$12*$M$12</f>
        <v>11520.684109476231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840963.94613742526</v>
      </c>
      <c r="R64" s="13">
        <f>$I$12*$R$12</f>
        <v>158290.81477506194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-12466.066444384385</v>
      </c>
      <c r="AC64" s="13">
        <f ca="1">$I$12*$AC$12</f>
        <v>0</v>
      </c>
      <c r="AD64" s="13">
        <f>$I$12*$AD$12</f>
        <v>34079.250867927811</v>
      </c>
      <c r="AE64" s="13">
        <f>$I$12*$AE$12</f>
        <v>0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8271.6525772493915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537923.88296921516</v>
      </c>
      <c r="AO64" s="13">
        <f>$I$12*$AO$12</f>
        <v>97397.526806384252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118553.88761461702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3">
      <c r="A65" s="9" t="s">
        <v>39</v>
      </c>
      <c r="B65" s="9" t="s">
        <v>811</v>
      </c>
      <c r="C65" s="9" t="s">
        <v>812</v>
      </c>
      <c r="D65" s="9" t="s">
        <v>813</v>
      </c>
      <c r="E65" s="9" t="s">
        <v>819</v>
      </c>
      <c r="F65" s="9" t="s">
        <v>820</v>
      </c>
      <c r="G65" s="9" t="s">
        <v>821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3">
      <c r="A66" s="9" t="s">
        <v>39</v>
      </c>
      <c r="B66" s="9" t="s">
        <v>811</v>
      </c>
      <c r="C66" s="9" t="s">
        <v>812</v>
      </c>
      <c r="D66" s="9" t="s">
        <v>813</v>
      </c>
      <c r="E66" s="9" t="s">
        <v>819</v>
      </c>
      <c r="F66" s="9" t="s">
        <v>820</v>
      </c>
      <c r="G66" s="9" t="s">
        <v>822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3">
      <c r="A67" s="9" t="s">
        <v>477</v>
      </c>
      <c r="B67" s="9" t="s">
        <v>823</v>
      </c>
      <c r="C67" s="9" t="s">
        <v>824</v>
      </c>
      <c r="D67" s="9" t="s">
        <v>825</v>
      </c>
      <c r="E67" s="9" t="s">
        <v>826</v>
      </c>
      <c r="F67" s="9" t="s">
        <v>827</v>
      </c>
      <c r="G67" s="9" t="s">
        <v>828</v>
      </c>
      <c r="L67" s="13">
        <f>$I$15*$L$15</f>
        <v>0</v>
      </c>
      <c r="M67" s="13">
        <f>$I$15*$M$15</f>
        <v>1.0815773224270166E-10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1.3607795107749702E-7</v>
      </c>
      <c r="AB67" s="13">
        <f ca="1">$I$15*$AB$15</f>
        <v>-1.5087812640270048E-9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9.6904921543248799E-11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7.90713633285158E-8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3">
      <c r="A68" s="9" t="s">
        <v>477</v>
      </c>
      <c r="B68" s="9" t="s">
        <v>823</v>
      </c>
      <c r="C68" s="9" t="s">
        <v>824</v>
      </c>
      <c r="D68" s="9" t="s">
        <v>825</v>
      </c>
      <c r="E68" s="9" t="s">
        <v>829</v>
      </c>
      <c r="F68" s="9" t="s">
        <v>830</v>
      </c>
      <c r="G68" s="9" t="s">
        <v>831</v>
      </c>
      <c r="L68" s="13">
        <f>$I$16*$L$16</f>
        <v>0</v>
      </c>
      <c r="M68" s="13">
        <f>$I$16*$M$16</f>
        <v>1.0815773224270166E-10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2.7685711072123416E-7</v>
      </c>
      <c r="AB68" s="13">
        <f ca="1">$I$16*$AB$16</f>
        <v>-3.0683966863123889E-9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9.6904921543248799E-11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1.60873804507506E-7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3">
      <c r="A69" s="9" t="s">
        <v>22</v>
      </c>
      <c r="B69" s="9" t="s">
        <v>832</v>
      </c>
      <c r="C69" s="9" t="s">
        <v>833</v>
      </c>
      <c r="D69" s="9" t="s">
        <v>834</v>
      </c>
      <c r="E69" s="9" t="s">
        <v>835</v>
      </c>
      <c r="F69" s="9" t="s">
        <v>836</v>
      </c>
      <c r="G69" s="9" t="s">
        <v>837</v>
      </c>
      <c r="L69" s="13">
        <f>$I$17*$L$17</f>
        <v>0</v>
      </c>
      <c r="M69" s="13">
        <f>$I$17*$M$17</f>
        <v>0.89058959140135119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43.884177236220637</v>
      </c>
      <c r="R69" s="13">
        <f>$I$17*$R$17</f>
        <v>6.9384998607637467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187.68739559518261</v>
      </c>
      <c r="Y69" s="13">
        <f>$I$17*$Y$17</f>
        <v>0</v>
      </c>
      <c r="Z69" s="13">
        <f>$I$17*$Z$17</f>
        <v>0</v>
      </c>
      <c r="AA69" s="13">
        <f>$I$17*$AA$17</f>
        <v>580.45950716038419</v>
      </c>
      <c r="AB69" s="13">
        <f ca="1">$I$17*$AB$17</f>
        <v>-9.1403274795162641</v>
      </c>
      <c r="AC69" s="13">
        <f ca="1">$I$17*$AC$17</f>
        <v>0</v>
      </c>
      <c r="AD69" s="13">
        <f>$I$17*$AD$17</f>
        <v>3.8691106794942467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0.7197584818869126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27.102630449619646</v>
      </c>
      <c r="AO69" s="13">
        <f>$I$17*$AO$17</f>
        <v>4.2693110598057187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184.8620008598794</v>
      </c>
      <c r="AV69" s="13">
        <f>$I$17*$AV$17</f>
        <v>0</v>
      </c>
      <c r="AW69" s="13">
        <f>$I$17*$AW$17</f>
        <v>0</v>
      </c>
      <c r="AX69" s="13">
        <f>$I$17*$AX$17</f>
        <v>337.28893675810792</v>
      </c>
      <c r="AY69" s="13">
        <f>$I$17*$AY$17</f>
        <v>0</v>
      </c>
      <c r="AZ69" s="13">
        <f>$I$17*$AZ$17</f>
        <v>0</v>
      </c>
      <c r="BA69" s="13">
        <f>$I$17*$BA$17</f>
        <v>13.459735072871554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3">
      <c r="A70" s="9" t="s">
        <v>22</v>
      </c>
      <c r="B70" s="9" t="s">
        <v>832</v>
      </c>
      <c r="C70" s="9" t="s">
        <v>833</v>
      </c>
      <c r="D70" s="9" t="s">
        <v>834</v>
      </c>
      <c r="E70" s="9" t="s">
        <v>835</v>
      </c>
      <c r="F70" s="9" t="s">
        <v>836</v>
      </c>
      <c r="G70" s="9" t="s">
        <v>838</v>
      </c>
      <c r="L70" s="13">
        <f>$I$18*$L$18</f>
        <v>0</v>
      </c>
      <c r="M70" s="13">
        <f>$I$18*$M$18</f>
        <v>0.44619438114653559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21.986416069864077</v>
      </c>
      <c r="R70" s="13">
        <f>$I$18*$R$18</f>
        <v>3.4762585160998172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56.419979215113948</v>
      </c>
      <c r="Y70" s="13">
        <f>$I$18*$Y$18</f>
        <v>0</v>
      </c>
      <c r="Z70" s="13">
        <f>$I$18*$Z$18</f>
        <v>0</v>
      </c>
      <c r="AA70" s="13">
        <f>$I$18*$AA$18</f>
        <v>174.4897561959894</v>
      </c>
      <c r="AB70" s="13">
        <f ca="1">$I$18*$AB$18</f>
        <v>-2.8870047562417871</v>
      </c>
      <c r="AC70" s="13">
        <f ca="1">$I$18*$AC$18</f>
        <v>0</v>
      </c>
      <c r="AD70" s="13">
        <f>$I$18*$AD$18</f>
        <v>1.9384635323526733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0.36060626971303905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13.578691619203379</v>
      </c>
      <c r="AO70" s="13">
        <f>$I$18*$AO$18</f>
        <v>2.1389679653168048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55.570642480883485</v>
      </c>
      <c r="AV70" s="13">
        <f>$I$18*$AV$18</f>
        <v>0</v>
      </c>
      <c r="AW70" s="13">
        <f>$I$18*$AW$18</f>
        <v>0</v>
      </c>
      <c r="AX70" s="13">
        <f>$I$18*$AX$18</f>
        <v>101.3911541622744</v>
      </c>
      <c r="AY70" s="13">
        <f>$I$18*$AY$18</f>
        <v>0</v>
      </c>
      <c r="AZ70" s="13">
        <f>$I$18*$AZ$18</f>
        <v>0</v>
      </c>
      <c r="BA70" s="13">
        <f>$I$18*$BA$18</f>
        <v>6.7434632284285776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3">
      <c r="A71" s="9" t="s">
        <v>22</v>
      </c>
      <c r="B71" s="9" t="s">
        <v>832</v>
      </c>
      <c r="C71" s="9" t="s">
        <v>833</v>
      </c>
      <c r="D71" s="9" t="s">
        <v>834</v>
      </c>
      <c r="E71" s="9" t="s">
        <v>835</v>
      </c>
      <c r="F71" s="9" t="s">
        <v>836</v>
      </c>
      <c r="G71" s="9" t="s">
        <v>839</v>
      </c>
      <c r="L71" s="13">
        <f>$I$19*$L$19</f>
        <v>0</v>
      </c>
      <c r="M71" s="13">
        <f>$I$19*$M$19</f>
        <v>11.775573486306754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580.24634345669506</v>
      </c>
      <c r="R71" s="13">
        <f>$I$19*$R$19</f>
        <v>91.742387047876207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496.78263146221781</v>
      </c>
      <c r="Y71" s="13">
        <f>$I$19*$Y$19</f>
        <v>0</v>
      </c>
      <c r="Z71" s="13">
        <f>$I$19*$Z$19</f>
        <v>0</v>
      </c>
      <c r="AA71" s="13">
        <f>$I$19*$AA$19</f>
        <v>1534.9921904927648</v>
      </c>
      <c r="AB71" s="13">
        <f ca="1">$I$19*$AB$19</f>
        <v>-31.531979991534659</v>
      </c>
      <c r="AC71" s="13">
        <f ca="1">$I$19*$AC$19</f>
        <v>0</v>
      </c>
      <c r="AD71" s="13">
        <f>$I$19*$AD$19</f>
        <v>51.158241206646153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9.5168065938380657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358.35700261163754</v>
      </c>
      <c r="AO71" s="13">
        <f>$I$19*$AO$19</f>
        <v>56.449779568542283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489.30390998752091</v>
      </c>
      <c r="AV71" s="13">
        <f>$I$19*$AV$19</f>
        <v>0</v>
      </c>
      <c r="AW71" s="13">
        <f>$I$19*$AW$19</f>
        <v>0</v>
      </c>
      <c r="AX71" s="13">
        <f>$I$19*$AX$19</f>
        <v>891.94133711955067</v>
      </c>
      <c r="AY71" s="13">
        <f>$I$19*$AY$19</f>
        <v>0</v>
      </c>
      <c r="AZ71" s="13">
        <f>$I$19*$AZ$19</f>
        <v>0</v>
      </c>
      <c r="BA71" s="13">
        <f>$I$19*$BA$19</f>
        <v>177.96760818574612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3">
      <c r="A72" s="9" t="s">
        <v>22</v>
      </c>
      <c r="B72" s="9" t="s">
        <v>840</v>
      </c>
      <c r="C72" s="9" t="s">
        <v>841</v>
      </c>
      <c r="D72" s="9" t="s">
        <v>842</v>
      </c>
      <c r="E72" s="9" t="s">
        <v>843</v>
      </c>
      <c r="F72" s="9" t="s">
        <v>844</v>
      </c>
      <c r="G72" s="9" t="s">
        <v>845</v>
      </c>
      <c r="L72" s="13">
        <f>$I$20*$L$20</f>
        <v>0</v>
      </c>
      <c r="M72" s="13">
        <f>$I$20*$M$20</f>
        <v>53503.718789573948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2636418.2793378746</v>
      </c>
      <c r="R72" s="13">
        <f>$I$20*$R$20</f>
        <v>416842.44791998842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4174258.1989241419</v>
      </c>
      <c r="Y72" s="13">
        <f>$I$20*$Y$20</f>
        <v>0</v>
      </c>
      <c r="Z72" s="13">
        <f>$I$20*$Z$20</f>
        <v>0</v>
      </c>
      <c r="AA72" s="13">
        <f>$I$20*$AA$20</f>
        <v>12915603.371620366</v>
      </c>
      <c r="AB72" s="13">
        <f ca="1">$I$20*$AB$20</f>
        <v>-229662.90263849622</v>
      </c>
      <c r="AC72" s="13">
        <f ca="1">$I$20*$AC$20</f>
        <v>0</v>
      </c>
      <c r="AD72" s="13">
        <f>$I$20*$AD$20</f>
        <v>232443.55397828363</v>
      </c>
      <c r="AE72" s="13">
        <f>$I$20*$AE$20</f>
        <v>0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43240.742742897499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1628237.6664120459</v>
      </c>
      <c r="AO72" s="13">
        <f>$I$20*$AO$20</f>
        <v>256486.28793161138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4111419.4547899272</v>
      </c>
      <c r="AV72" s="13">
        <f>$I$20*$AV$20</f>
        <v>0</v>
      </c>
      <c r="AW72" s="13">
        <f>$I$20*$AW$20</f>
        <v>0</v>
      </c>
      <c r="AX72" s="13">
        <f>$I$20*$AX$20</f>
        <v>7504898.7455526544</v>
      </c>
      <c r="AY72" s="13">
        <f>$I$20*$AY$20</f>
        <v>0</v>
      </c>
      <c r="AZ72" s="13">
        <f>$I$20*$AZ$20</f>
        <v>0</v>
      </c>
      <c r="BA72" s="13">
        <f>$I$20*$BA$20</f>
        <v>808616.99628437019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3">
      <c r="A73" s="9" t="s">
        <v>22</v>
      </c>
      <c r="B73" s="9" t="s">
        <v>840</v>
      </c>
      <c r="C73" s="9" t="s">
        <v>841</v>
      </c>
      <c r="D73" s="9" t="s">
        <v>846</v>
      </c>
      <c r="E73" s="9" t="s">
        <v>847</v>
      </c>
      <c r="F73" s="9" t="s">
        <v>848</v>
      </c>
      <c r="G73" s="9" t="s">
        <v>849</v>
      </c>
      <c r="L73" s="13">
        <f>$I$21*$L$21</f>
        <v>0</v>
      </c>
      <c r="M73" s="13">
        <f>$I$21*$M$21</f>
        <v>52.469310673772071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4093.5556485948546</v>
      </c>
      <c r="Y73" s="13">
        <f>$I$21*$Y$21</f>
        <v>0</v>
      </c>
      <c r="Z73" s="13">
        <f>$I$21*$Z$21</f>
        <v>0</v>
      </c>
      <c r="AA73" s="13">
        <f>$I$21*$AA$21</f>
        <v>12665.901009797144</v>
      </c>
      <c r="AB73" s="13">
        <f ca="1">$I$21*$AB$21</f>
        <v>-191.03323882319711</v>
      </c>
      <c r="AC73" s="13">
        <f ca="1">$I$21*$AC$21</f>
        <v>0</v>
      </c>
      <c r="AD73" s="13">
        <f>$I$21*$AD$21</f>
        <v>227.94963273055492</v>
      </c>
      <c r="AE73" s="13">
        <f>$I$21*$AE$21</f>
        <v>0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42.404752717559852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4031.9317902366147</v>
      </c>
      <c r="AV73" s="13">
        <f>$I$21*$AV$21</f>
        <v>0</v>
      </c>
      <c r="AW73" s="13">
        <f>$I$21*$AW$21</f>
        <v>0</v>
      </c>
      <c r="AX73" s="13">
        <f>$I$21*$AX$21</f>
        <v>7359.8036316746229</v>
      </c>
      <c r="AY73" s="13">
        <f>$I$21*$AY$21</f>
        <v>0</v>
      </c>
      <c r="AZ73" s="13">
        <f>$I$21*$AZ$21</f>
        <v>0</v>
      </c>
      <c r="BA73" s="13">
        <f>$I$21*$BA$21</f>
        <v>792.98369074122456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3">
      <c r="A74" s="9" t="s">
        <v>22</v>
      </c>
      <c r="B74" s="9" t="s">
        <v>840</v>
      </c>
      <c r="C74" s="9" t="s">
        <v>841</v>
      </c>
      <c r="D74" s="9" t="s">
        <v>850</v>
      </c>
      <c r="E74" s="9" t="s">
        <v>851</v>
      </c>
      <c r="F74" s="9" t="s">
        <v>852</v>
      </c>
      <c r="G74" s="9" t="s">
        <v>853</v>
      </c>
      <c r="L74" s="13">
        <f>$I$22*$L$22</f>
        <v>0</v>
      </c>
      <c r="M74" s="13">
        <f>$I$22*$M$22</f>
        <v>189.94494805408016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14819.142943639079</v>
      </c>
      <c r="Y74" s="13">
        <f>$I$22*$Y$22</f>
        <v>0</v>
      </c>
      <c r="Z74" s="13">
        <f>$I$22*$Z$22</f>
        <v>0</v>
      </c>
      <c r="AA74" s="13">
        <f>$I$22*$AA$22</f>
        <v>45852.02051390097</v>
      </c>
      <c r="AB74" s="13">
        <f ca="1">$I$22*$AB$22</f>
        <v>-691.56232774777254</v>
      </c>
      <c r="AC74" s="13">
        <f ca="1">$I$22*$AC$22</f>
        <v>0</v>
      </c>
      <c r="AD74" s="13">
        <f>$I$22*$AD$22</f>
        <v>825.20392572253297</v>
      </c>
      <c r="AE74" s="13">
        <f>$I$22*$AE$22</f>
        <v>0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153.51008901684071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14596.057478546454</v>
      </c>
      <c r="AV74" s="13">
        <f>$I$22*$AV$22</f>
        <v>0</v>
      </c>
      <c r="AW74" s="13">
        <f>$I$22*$AW$22</f>
        <v>0</v>
      </c>
      <c r="AX74" s="13">
        <f>$I$22*$AX$22</f>
        <v>26643.336848819472</v>
      </c>
      <c r="AY74" s="13">
        <f>$I$22*$AY$22</f>
        <v>0</v>
      </c>
      <c r="AZ74" s="13">
        <f>$I$22*$AZ$22</f>
        <v>0</v>
      </c>
      <c r="BA74" s="13">
        <f>$I$22*$BA$22</f>
        <v>2870.6922963420343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3">
      <c r="A75" s="9" t="s">
        <v>22</v>
      </c>
      <c r="B75" s="9" t="s">
        <v>840</v>
      </c>
      <c r="C75" s="9" t="s">
        <v>841</v>
      </c>
      <c r="D75" s="9" t="s">
        <v>854</v>
      </c>
      <c r="E75" s="9" t="s">
        <v>855</v>
      </c>
      <c r="F75" s="9" t="s">
        <v>856</v>
      </c>
      <c r="G75" s="9" t="s">
        <v>857</v>
      </c>
      <c r="L75" s="13">
        <f>$I$23*$L$23</f>
        <v>0</v>
      </c>
      <c r="M75" s="13">
        <f>$I$23*$M$23</f>
        <v>312.57589628244114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24386.575874746446</v>
      </c>
      <c r="Y75" s="13">
        <f>$I$23*$Y$23</f>
        <v>0</v>
      </c>
      <c r="Z75" s="13">
        <f>$I$23*$Z$23</f>
        <v>0</v>
      </c>
      <c r="AA75" s="13">
        <f>$I$23*$AA$23</f>
        <v>75454.685977817484</v>
      </c>
      <c r="AB75" s="13">
        <f ca="1">$I$23*$AB$23</f>
        <v>-1138.0440314179123</v>
      </c>
      <c r="AC75" s="13">
        <f ca="1">$I$23*$AC$23</f>
        <v>0</v>
      </c>
      <c r="AD75" s="13">
        <f>$I$23*$AD$23</f>
        <v>1357.9663967955105</v>
      </c>
      <c r="AE75" s="13">
        <f>$I$23*$AE$23</f>
        <v>0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252.61821466909768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24019.463509225323</v>
      </c>
      <c r="AV75" s="13">
        <f>$I$23*$AV$23</f>
        <v>0</v>
      </c>
      <c r="AW75" s="13">
        <f>$I$23*$AW$23</f>
        <v>0</v>
      </c>
      <c r="AX75" s="13">
        <f>$I$23*$AX$23</f>
        <v>43844.624354545151</v>
      </c>
      <c r="AY75" s="13">
        <f>$I$23*$AY$23</f>
        <v>0</v>
      </c>
      <c r="AZ75" s="13">
        <f>$I$23*$AZ$23</f>
        <v>0</v>
      </c>
      <c r="BA75" s="13">
        <f>$I$23*$BA$23</f>
        <v>4724.0488713852665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3">
      <c r="A76" s="9" t="s">
        <v>22</v>
      </c>
      <c r="B76" s="9" t="s">
        <v>840</v>
      </c>
      <c r="C76" s="9" t="s">
        <v>841</v>
      </c>
      <c r="D76" s="9" t="s">
        <v>858</v>
      </c>
      <c r="E76" s="9" t="s">
        <v>859</v>
      </c>
      <c r="F76" s="9" t="s">
        <v>860</v>
      </c>
      <c r="G76" s="9" t="s">
        <v>861</v>
      </c>
      <c r="L76" s="13">
        <f>$I$24*$L$24</f>
        <v>0</v>
      </c>
      <c r="M76" s="13">
        <f>$I$24*$M$24</f>
        <v>177.36046733485614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13837.325735231127</v>
      </c>
      <c r="Y76" s="13">
        <f>$I$24*$Y$24</f>
        <v>0</v>
      </c>
      <c r="Z76" s="13">
        <f>$I$24*$Z$24</f>
        <v>0</v>
      </c>
      <c r="AA76" s="13">
        <f>$I$24*$AA$24</f>
        <v>42814.172579507031</v>
      </c>
      <c r="AB76" s="13">
        <f ca="1">$I$24*$AB$24</f>
        <v>-645.74403740184744</v>
      </c>
      <c r="AC76" s="13">
        <f ca="1">$I$24*$AC$24</f>
        <v>0</v>
      </c>
      <c r="AD76" s="13">
        <f>$I$24*$AD$24</f>
        <v>770.5314377249764</v>
      </c>
      <c r="AE76" s="13">
        <f>$I$24*$AE$24</f>
        <v>0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143.33953815339385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13629.020419665816</v>
      </c>
      <c r="AV76" s="13">
        <f>$I$24*$AV$24</f>
        <v>0</v>
      </c>
      <c r="AW76" s="13">
        <f>$I$24*$AW$24</f>
        <v>0</v>
      </c>
      <c r="AX76" s="13">
        <f>$I$24*$AX$24</f>
        <v>24878.127706356277</v>
      </c>
      <c r="AY76" s="13">
        <f>$I$24*$AY$24</f>
        <v>0</v>
      </c>
      <c r="AZ76" s="13">
        <f>$I$24*$AZ$24</f>
        <v>0</v>
      </c>
      <c r="BA76" s="13">
        <f>$I$24*$BA$24</f>
        <v>2680.4994419163736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3">
      <c r="A77" s="9" t="s">
        <v>22</v>
      </c>
      <c r="B77" s="9" t="s">
        <v>862</v>
      </c>
      <c r="C77" s="9" t="s">
        <v>863</v>
      </c>
      <c r="D77" s="9" t="s">
        <v>864</v>
      </c>
      <c r="E77" s="9" t="s">
        <v>865</v>
      </c>
      <c r="F77" s="9" t="s">
        <v>866</v>
      </c>
      <c r="G77" s="9" t="s">
        <v>867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3">
      <c r="A78" s="9" t="s">
        <v>22</v>
      </c>
      <c r="B78" s="9" t="s">
        <v>862</v>
      </c>
      <c r="C78" s="9" t="s">
        <v>863</v>
      </c>
      <c r="D78" s="9" t="s">
        <v>868</v>
      </c>
      <c r="E78" s="9" t="s">
        <v>869</v>
      </c>
      <c r="F78" s="9" t="s">
        <v>870</v>
      </c>
      <c r="G78" s="9" t="s">
        <v>871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3">
      <c r="A79" s="9" t="s">
        <v>22</v>
      </c>
      <c r="B79" s="9" t="s">
        <v>862</v>
      </c>
      <c r="C79" s="9" t="s">
        <v>863</v>
      </c>
      <c r="D79" s="9" t="s">
        <v>872</v>
      </c>
      <c r="E79" s="9" t="s">
        <v>873</v>
      </c>
      <c r="F79" s="9" t="s">
        <v>874</v>
      </c>
      <c r="G79" s="9" t="s">
        <v>875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3">
      <c r="A80" s="9" t="s">
        <v>22</v>
      </c>
      <c r="B80" s="9" t="s">
        <v>862</v>
      </c>
      <c r="C80" s="9" t="s">
        <v>863</v>
      </c>
      <c r="D80" s="9" t="s">
        <v>876</v>
      </c>
      <c r="E80" s="9" t="s">
        <v>877</v>
      </c>
      <c r="F80" s="9" t="s">
        <v>878</v>
      </c>
      <c r="G80" s="9" t="s">
        <v>879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3">
      <c r="A81" s="9" t="s">
        <v>22</v>
      </c>
      <c r="B81" s="9" t="s">
        <v>862</v>
      </c>
      <c r="C81" s="9" t="s">
        <v>863</v>
      </c>
      <c r="D81" s="9" t="s">
        <v>880</v>
      </c>
      <c r="E81" s="9" t="s">
        <v>881</v>
      </c>
      <c r="F81" s="9" t="s">
        <v>882</v>
      </c>
      <c r="G81" s="9" t="s">
        <v>883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3">
      <c r="A82" s="9" t="s">
        <v>42</v>
      </c>
      <c r="B82" s="9" t="s">
        <v>884</v>
      </c>
      <c r="C82" s="9" t="s">
        <v>885</v>
      </c>
      <c r="D82" s="9" t="s">
        <v>886</v>
      </c>
      <c r="E82" s="9" t="s">
        <v>887</v>
      </c>
      <c r="F82" s="9" t="s">
        <v>888</v>
      </c>
      <c r="G82" s="9" t="s">
        <v>889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3">
      <c r="A83" s="9" t="s">
        <v>42</v>
      </c>
      <c r="B83" s="9" t="s">
        <v>884</v>
      </c>
      <c r="C83" s="9" t="s">
        <v>885</v>
      </c>
      <c r="D83" s="9" t="s">
        <v>886</v>
      </c>
      <c r="E83" s="9" t="s">
        <v>887</v>
      </c>
      <c r="F83" s="9" t="s">
        <v>888</v>
      </c>
      <c r="G83" s="9" t="s">
        <v>890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3">
      <c r="A84" s="9" t="s">
        <v>42</v>
      </c>
      <c r="B84" s="9" t="s">
        <v>884</v>
      </c>
      <c r="C84" s="9" t="s">
        <v>885</v>
      </c>
      <c r="D84" s="9" t="s">
        <v>886</v>
      </c>
      <c r="E84" s="9" t="s">
        <v>887</v>
      </c>
      <c r="F84" s="9" t="s">
        <v>888</v>
      </c>
      <c r="G84" s="9" t="s">
        <v>891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3">
      <c r="A85" s="9" t="s">
        <v>42</v>
      </c>
      <c r="B85" s="9" t="s">
        <v>892</v>
      </c>
      <c r="C85" s="9" t="s">
        <v>893</v>
      </c>
      <c r="D85" s="9" t="s">
        <v>894</v>
      </c>
      <c r="E85" s="9" t="s">
        <v>895</v>
      </c>
      <c r="F85" s="9" t="s">
        <v>896</v>
      </c>
      <c r="G85" s="9" t="s">
        <v>897</v>
      </c>
      <c r="L85" s="13">
        <f>$I$33*$L$33</f>
        <v>0</v>
      </c>
      <c r="M85" s="13">
        <f>$I$33*$M$33</f>
        <v>859.33356705178278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42344.023471232445</v>
      </c>
      <c r="R85" s="13">
        <f>$I$33*$R$33</f>
        <v>6694.9871106806686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67043.567606662007</v>
      </c>
      <c r="Y85" s="13">
        <f>$I$33*$Y$33</f>
        <v>0</v>
      </c>
      <c r="Z85" s="13">
        <f>$I$33*$Z$33</f>
        <v>0</v>
      </c>
      <c r="AA85" s="13">
        <f>$I$33*$AA$33</f>
        <v>207440.00168682376</v>
      </c>
      <c r="AB85" s="13">
        <f ca="1">$I$33*$AB$33</f>
        <v>-3688.6602615417351</v>
      </c>
      <c r="AC85" s="13">
        <f ca="1">$I$33*$AC$33</f>
        <v>0</v>
      </c>
      <c r="AD85" s="13">
        <f>$I$33*$AD$33</f>
        <v>3733.320840069829</v>
      </c>
      <c r="AE85" s="13">
        <f>$I$33*$AE$33</f>
        <v>0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657.15932730758414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24745.448428541767</v>
      </c>
      <c r="AO85" s="13">
        <f>$I$33*$AO$33</f>
        <v>3897.9986408407135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62484.071082078262</v>
      </c>
      <c r="AV85" s="13">
        <f>$I$33*$AV$33</f>
        <v>0</v>
      </c>
      <c r="AW85" s="13">
        <f>$I$33*$AW$33</f>
        <v>0</v>
      </c>
      <c r="AX85" s="13">
        <f>$I$33*$AX$33</f>
        <v>114057.11137903649</v>
      </c>
      <c r="AY85" s="13">
        <f>$I$33*$AY$33</f>
        <v>0</v>
      </c>
      <c r="AZ85" s="13">
        <f>$I$33*$AZ$33</f>
        <v>0</v>
      </c>
      <c r="BA85" s="13">
        <f>$I$33*$BA$33</f>
        <v>12289.109012009289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3">
      <c r="A86" s="9" t="s">
        <v>42</v>
      </c>
      <c r="B86" s="9" t="s">
        <v>884</v>
      </c>
      <c r="C86" s="9" t="s">
        <v>885</v>
      </c>
      <c r="D86" s="9" t="s">
        <v>898</v>
      </c>
      <c r="E86" s="9" t="s">
        <v>899</v>
      </c>
      <c r="F86" s="9" t="s">
        <v>900</v>
      </c>
      <c r="G86" s="9" t="s">
        <v>901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3">
      <c r="A87" s="9" t="s">
        <v>42</v>
      </c>
      <c r="B87" s="9" t="s">
        <v>884</v>
      </c>
      <c r="C87" s="9" t="s">
        <v>885</v>
      </c>
      <c r="D87" s="9" t="s">
        <v>898</v>
      </c>
      <c r="E87" s="9" t="s">
        <v>899</v>
      </c>
      <c r="F87" s="9" t="s">
        <v>900</v>
      </c>
      <c r="G87" s="9" t="s">
        <v>902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3">
      <c r="A88" s="9" t="s">
        <v>42</v>
      </c>
      <c r="B88" s="9" t="s">
        <v>884</v>
      </c>
      <c r="C88" s="9" t="s">
        <v>885</v>
      </c>
      <c r="D88" s="9" t="s">
        <v>898</v>
      </c>
      <c r="E88" s="9" t="s">
        <v>899</v>
      </c>
      <c r="F88" s="9" t="s">
        <v>900</v>
      </c>
      <c r="G88" s="9" t="s">
        <v>903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3">
      <c r="A89" s="9" t="s">
        <v>42</v>
      </c>
      <c r="B89" s="9" t="s">
        <v>892</v>
      </c>
      <c r="C89" s="9" t="s">
        <v>893</v>
      </c>
      <c r="D89" s="9" t="s">
        <v>904</v>
      </c>
      <c r="E89" s="9" t="s">
        <v>905</v>
      </c>
      <c r="F89" s="9" t="s">
        <v>906</v>
      </c>
      <c r="G89" s="9" t="s">
        <v>907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3">
      <c r="A90" s="9" t="s">
        <v>42</v>
      </c>
      <c r="B90" s="9" t="s">
        <v>884</v>
      </c>
      <c r="C90" s="9" t="s">
        <v>885</v>
      </c>
      <c r="D90" s="9" t="s">
        <v>908</v>
      </c>
      <c r="E90" s="9" t="s">
        <v>909</v>
      </c>
      <c r="F90" s="9" t="s">
        <v>910</v>
      </c>
      <c r="G90" s="9" t="s">
        <v>911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3">
      <c r="A91" s="9" t="s">
        <v>42</v>
      </c>
      <c r="B91" s="9" t="s">
        <v>884</v>
      </c>
      <c r="C91" s="9" t="s">
        <v>885</v>
      </c>
      <c r="D91" s="9" t="s">
        <v>908</v>
      </c>
      <c r="E91" s="9" t="s">
        <v>909</v>
      </c>
      <c r="F91" s="9" t="s">
        <v>910</v>
      </c>
      <c r="G91" s="9" t="s">
        <v>912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3">
      <c r="A92" s="9" t="s">
        <v>42</v>
      </c>
      <c r="B92" s="9" t="s">
        <v>884</v>
      </c>
      <c r="C92" s="9" t="s">
        <v>885</v>
      </c>
      <c r="D92" s="9" t="s">
        <v>908</v>
      </c>
      <c r="E92" s="9" t="s">
        <v>909</v>
      </c>
      <c r="F92" s="9" t="s">
        <v>910</v>
      </c>
      <c r="G92" s="9" t="s">
        <v>913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3">
      <c r="A93" s="9" t="s">
        <v>42</v>
      </c>
      <c r="B93" s="9" t="s">
        <v>892</v>
      </c>
      <c r="C93" s="9" t="s">
        <v>893</v>
      </c>
      <c r="D93" s="9" t="s">
        <v>914</v>
      </c>
      <c r="E93" s="9" t="s">
        <v>915</v>
      </c>
      <c r="F93" s="9" t="s">
        <v>916</v>
      </c>
      <c r="G93" s="9" t="s">
        <v>917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3">
      <c r="A94" s="9" t="s">
        <v>42</v>
      </c>
      <c r="B94" s="9" t="s">
        <v>918</v>
      </c>
      <c r="C94" s="9" t="s">
        <v>919</v>
      </c>
      <c r="D94" s="9" t="s">
        <v>920</v>
      </c>
      <c r="E94" s="9" t="s">
        <v>921</v>
      </c>
      <c r="F94" s="9" t="s">
        <v>922</v>
      </c>
      <c r="G94" s="9" t="s">
        <v>923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3">
      <c r="A95" s="9" t="s">
        <v>42</v>
      </c>
      <c r="B95" s="9" t="s">
        <v>918</v>
      </c>
      <c r="C95" s="9" t="s">
        <v>919</v>
      </c>
      <c r="D95" s="9" t="s">
        <v>924</v>
      </c>
      <c r="E95" s="9" t="s">
        <v>925</v>
      </c>
      <c r="F95" s="9" t="s">
        <v>926</v>
      </c>
      <c r="G95" s="9" t="s">
        <v>927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3">
      <c r="A96" s="9" t="s">
        <v>42</v>
      </c>
      <c r="B96" s="9" t="s">
        <v>918</v>
      </c>
      <c r="C96" s="9" t="s">
        <v>919</v>
      </c>
      <c r="D96" s="9" t="s">
        <v>928</v>
      </c>
      <c r="E96" s="9" t="s">
        <v>929</v>
      </c>
      <c r="F96" s="9" t="s">
        <v>930</v>
      </c>
      <c r="G96" s="9" t="s">
        <v>931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3">
      <c r="A97" s="9" t="s">
        <v>37</v>
      </c>
      <c r="B97" s="9" t="s">
        <v>932</v>
      </c>
      <c r="C97" s="9" t="s">
        <v>933</v>
      </c>
      <c r="D97" s="9" t="s">
        <v>934</v>
      </c>
      <c r="E97" s="9" t="s">
        <v>935</v>
      </c>
      <c r="F97" s="9" t="s">
        <v>936</v>
      </c>
      <c r="G97" s="9" t="s">
        <v>937</v>
      </c>
      <c r="L97" s="13">
        <f>$I$45*$L$45</f>
        <v>0</v>
      </c>
      <c r="M97" s="13">
        <f>$I$45*$M$45</f>
        <v>5.4676803399367806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269.42225175934249</v>
      </c>
      <c r="R97" s="13">
        <f>$I$45*$R$45</f>
        <v>42.598183993658644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1472.0622189509743</v>
      </c>
      <c r="Y97" s="13">
        <f>$I$45*$Y$45</f>
        <v>0</v>
      </c>
      <c r="Z97" s="13">
        <f>$I$45*$Z$45</f>
        <v>0</v>
      </c>
      <c r="AA97" s="13">
        <f>$I$45*$AA$45</f>
        <v>4553.5775340104265</v>
      </c>
      <c r="AB97" s="13">
        <f ca="1">$I$45*$AB$45</f>
        <v>-70.514634156718628</v>
      </c>
      <c r="AC97" s="13">
        <f ca="1">$I$45*$AC$45</f>
        <v>0</v>
      </c>
      <c r="AD97" s="13">
        <f>$I$45*$AD$45</f>
        <v>23.753994656531347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4.4188808615238937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166.39372512402849</v>
      </c>
      <c r="AO97" s="13">
        <f>$I$45*$AO$45</f>
        <v>26.210982445958749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1449.9021808034634</v>
      </c>
      <c r="AV97" s="13">
        <f>$I$45*$AV$45</f>
        <v>0</v>
      </c>
      <c r="AW97" s="13">
        <f>$I$45*$AW$45</f>
        <v>0</v>
      </c>
      <c r="AX97" s="13">
        <f>$I$45*$AX$45</f>
        <v>2645.9576910431392</v>
      </c>
      <c r="AY97" s="13">
        <f>$I$45*$AY$45</f>
        <v>0</v>
      </c>
      <c r="AZ97" s="13">
        <f>$I$45*$AZ$45</f>
        <v>0</v>
      </c>
      <c r="BA97" s="13">
        <f>$I$45*$BA$45</f>
        <v>82.634615932235661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3">
      <c r="A98" s="9" t="s">
        <v>37</v>
      </c>
      <c r="B98" s="9" t="s">
        <v>932</v>
      </c>
      <c r="C98" s="9" t="s">
        <v>933</v>
      </c>
      <c r="D98" s="9" t="s">
        <v>934</v>
      </c>
      <c r="E98" s="9" t="s">
        <v>935</v>
      </c>
      <c r="F98" s="9" t="s">
        <v>936</v>
      </c>
      <c r="G98" s="9" t="s">
        <v>938</v>
      </c>
      <c r="L98" s="13">
        <f>$I$46*$L$46</f>
        <v>0</v>
      </c>
      <c r="M98" s="13">
        <f>$I$46*$M$46</f>
        <v>9.3107093646504904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458.78912565139763</v>
      </c>
      <c r="R98" s="13">
        <f>$I$46*$R$46</f>
        <v>72.538862180711916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1503.7445495663417</v>
      </c>
      <c r="Y98" s="13">
        <f>$I$46*$Y$46</f>
        <v>0</v>
      </c>
      <c r="Z98" s="13">
        <f>$I$46*$Z$46</f>
        <v>0</v>
      </c>
      <c r="AA98" s="13">
        <f>$I$46*$AA$46</f>
        <v>4652.4705143241035</v>
      </c>
      <c r="AB98" s="13">
        <f ca="1">$I$46*$AB$46</f>
        <v>-74.951094297773039</v>
      </c>
      <c r="AC98" s="13">
        <f ca="1">$I$46*$AC$46</f>
        <v>0</v>
      </c>
      <c r="AD98" s="13">
        <f>$I$46*$AD$46</f>
        <v>40.449793467439861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7.5247477651813597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283.34568197329634</v>
      </c>
      <c r="AO98" s="13">
        <f>$I$46*$AO$46</f>
        <v>44.633706534332518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1481.1078426204595</v>
      </c>
      <c r="AV98" s="13">
        <f>$I$46*$AV$46</f>
        <v>0</v>
      </c>
      <c r="AW98" s="13">
        <f>$I$46*$AW$46</f>
        <v>0</v>
      </c>
      <c r="AX98" s="13">
        <f>$I$46*$AX$46</f>
        <v>2703.4217277686544</v>
      </c>
      <c r="AY98" s="13">
        <f>$I$46*$AY$46</f>
        <v>0</v>
      </c>
      <c r="AZ98" s="13">
        <f>$I$46*$AZ$46</f>
        <v>0</v>
      </c>
      <c r="BA98" s="13">
        <f>$I$46*$BA$46</f>
        <v>140.71541212547535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3">
      <c r="A99" s="9" t="s">
        <v>37</v>
      </c>
      <c r="B99" s="9" t="s">
        <v>932</v>
      </c>
      <c r="C99" s="9" t="s">
        <v>933</v>
      </c>
      <c r="D99" s="9" t="s">
        <v>934</v>
      </c>
      <c r="E99" s="9" t="s">
        <v>935</v>
      </c>
      <c r="F99" s="9" t="s">
        <v>936</v>
      </c>
      <c r="G99" s="9" t="s">
        <v>939</v>
      </c>
      <c r="L99" s="13">
        <f>$I$47*$L$47</f>
        <v>0</v>
      </c>
      <c r="M99" s="13">
        <f>$I$47*$M$47</f>
        <v>342.80142751206802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16891.684729997629</v>
      </c>
      <c r="R99" s="13">
        <f>$I$47*$R$47</f>
        <v>2670.7337251937356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18450.536737329574</v>
      </c>
      <c r="Y99" s="13">
        <f>$I$47*$Y$47</f>
        <v>0</v>
      </c>
      <c r="Z99" s="13">
        <f>$I$47*$Z$47</f>
        <v>0</v>
      </c>
      <c r="AA99" s="13">
        <f>$I$47*$AA$47</f>
        <v>57098.210190482903</v>
      </c>
      <c r="AB99" s="13">
        <f ca="1">$I$47*$AB$47</f>
        <v>-1098.2547669412172</v>
      </c>
      <c r="AC99" s="13">
        <f ca="1">$I$47*$AC$47</f>
        <v>0</v>
      </c>
      <c r="AD99" s="13">
        <f>$I$47*$AD$47</f>
        <v>1489.2793234264191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277.04594510981644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10432.213105974506</v>
      </c>
      <c r="AO99" s="13">
        <f>$I$47*$AO$47</f>
        <v>1643.3225134504305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18172.785145442856</v>
      </c>
      <c r="AV99" s="13">
        <f>$I$47*$AV$47</f>
        <v>0</v>
      </c>
      <c r="AW99" s="13">
        <f>$I$47*$AW$47</f>
        <v>0</v>
      </c>
      <c r="AX99" s="13">
        <f>$I$47*$AX$47</f>
        <v>33178.192730360133</v>
      </c>
      <c r="AY99" s="13">
        <f>$I$47*$AY$47</f>
        <v>0</v>
      </c>
      <c r="AZ99" s="13">
        <f>$I$47*$AZ$47</f>
        <v>0</v>
      </c>
      <c r="BA99" s="13">
        <f>$I$47*$BA$47</f>
        <v>5180.8559649281533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3">
      <c r="A100" s="9" t="s">
        <v>37</v>
      </c>
      <c r="B100" s="9" t="s">
        <v>940</v>
      </c>
      <c r="C100" s="9" t="s">
        <v>941</v>
      </c>
      <c r="D100" s="9" t="s">
        <v>942</v>
      </c>
      <c r="E100" s="9" t="s">
        <v>943</v>
      </c>
      <c r="F100" s="9" t="s">
        <v>944</v>
      </c>
      <c r="G100" s="9" t="s">
        <v>945</v>
      </c>
      <c r="L100" s="13">
        <f>$I$48*$L$48</f>
        <v>0</v>
      </c>
      <c r="M100" s="13">
        <f>$I$48*$M$48</f>
        <v>24898.788941492923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1226898.3125621425</v>
      </c>
      <c r="R100" s="13">
        <f>$I$48*$R$48</f>
        <v>193984.12610223153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1942556.0733651617</v>
      </c>
      <c r="Y100" s="13">
        <f>$I$48*$Y$48</f>
        <v>0</v>
      </c>
      <c r="Z100" s="13">
        <f>$I$48*$Z$48</f>
        <v>0</v>
      </c>
      <c r="AA100" s="13">
        <f>$I$48*$AA$48</f>
        <v>6010477.2093837233</v>
      </c>
      <c r="AB100" s="13">
        <f ca="1">$I$48*$AB$48</f>
        <v>-106877.20909599397</v>
      </c>
      <c r="AC100" s="13">
        <f ca="1">$I$48*$AC$48</f>
        <v>0</v>
      </c>
      <c r="AD100" s="13">
        <f>$I$48*$AD$48</f>
        <v>108171.2285098882</v>
      </c>
      <c r="AE100" s="13">
        <f>$I$48*$AE$48</f>
        <v>0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20122.753176524944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757725.76037242822</v>
      </c>
      <c r="AO100" s="13">
        <f>$I$48*$AO$48</f>
        <v>119359.88925765338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1913313.0849721534</v>
      </c>
      <c r="AV100" s="13">
        <f>$I$48*$AV$48</f>
        <v>0</v>
      </c>
      <c r="AW100" s="13">
        <f>$I$48*$AW$48</f>
        <v>0</v>
      </c>
      <c r="AX100" s="13">
        <f>$I$48*$AX$48</f>
        <v>3492521.5315912538</v>
      </c>
      <c r="AY100" s="13">
        <f>$I$48*$AY$48</f>
        <v>0</v>
      </c>
      <c r="AZ100" s="13">
        <f>$I$48*$AZ$48</f>
        <v>0</v>
      </c>
      <c r="BA100" s="13">
        <f>$I$48*$BA$48</f>
        <v>376302.51467514539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3">
      <c r="A101" s="9" t="s">
        <v>37</v>
      </c>
      <c r="B101" s="9" t="s">
        <v>946</v>
      </c>
      <c r="C101" s="9" t="s">
        <v>947</v>
      </c>
      <c r="D101" s="9" t="s">
        <v>948</v>
      </c>
      <c r="E101" s="9" t="s">
        <v>949</v>
      </c>
      <c r="F101" s="9" t="s">
        <v>950</v>
      </c>
      <c r="G101" s="9" t="s">
        <v>951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3">
      <c r="A102" s="9" t="s">
        <v>45</v>
      </c>
      <c r="B102" s="9" t="s">
        <v>952</v>
      </c>
      <c r="C102" s="9" t="s">
        <v>953</v>
      </c>
      <c r="D102" s="9" t="s">
        <v>954</v>
      </c>
      <c r="E102" s="9" t="s">
        <v>955</v>
      </c>
      <c r="F102" s="9" t="s">
        <v>956</v>
      </c>
      <c r="G102" s="9" t="s">
        <v>957</v>
      </c>
      <c r="L102" s="13">
        <f>$I$50*$L$50</f>
        <v>0</v>
      </c>
      <c r="M102" s="13">
        <f>$I$50*$M$50</f>
        <v>0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0</v>
      </c>
      <c r="R102" s="13">
        <f>$I$50*$R$50</f>
        <v>0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0</v>
      </c>
      <c r="Y102" s="13">
        <f>$I$50*$Y$50</f>
        <v>0</v>
      </c>
      <c r="Z102" s="13">
        <f>$I$50*$Z$50</f>
        <v>0</v>
      </c>
      <c r="AA102" s="13">
        <f>$I$50*$AA$50</f>
        <v>0</v>
      </c>
      <c r="AB102" s="13">
        <f ca="1">$I$50*$AB$50</f>
        <v>0</v>
      </c>
      <c r="AC102" s="13">
        <f ca="1">$I$50*$AC$50</f>
        <v>0</v>
      </c>
      <c r="AD102" s="13">
        <f>$I$50*$AD$50</f>
        <v>0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0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0</v>
      </c>
      <c r="AO102" s="13">
        <f>$I$50*$AO$50</f>
        <v>0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0</v>
      </c>
      <c r="AV102" s="13">
        <f>$I$50*$AV$50</f>
        <v>0</v>
      </c>
      <c r="AW102" s="13">
        <f>$I$50*$AW$50</f>
        <v>0</v>
      </c>
      <c r="AX102" s="13">
        <f>$I$50*$AX$50</f>
        <v>0</v>
      </c>
      <c r="AY102" s="13">
        <f>$I$50*$AY$50</f>
        <v>0</v>
      </c>
      <c r="AZ102" s="13">
        <f>$I$50*$AZ$50</f>
        <v>0</v>
      </c>
      <c r="BA102" s="13">
        <f>$I$50*$BA$50</f>
        <v>0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3">
      <c r="A103" s="9" t="s">
        <v>45</v>
      </c>
      <c r="B103" s="9" t="s">
        <v>952</v>
      </c>
      <c r="C103" s="9" t="s">
        <v>953</v>
      </c>
      <c r="D103" s="9" t="s">
        <v>958</v>
      </c>
      <c r="E103" s="9" t="s">
        <v>959</v>
      </c>
      <c r="F103" s="9" t="s">
        <v>960</v>
      </c>
      <c r="G103" s="9" t="s">
        <v>961</v>
      </c>
      <c r="L103" s="13">
        <f>$I$51*$L$51</f>
        <v>0</v>
      </c>
      <c r="M103" s="13">
        <f>$I$51*$M$51</f>
        <v>4110.0234662056937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202523.13745570567</v>
      </c>
      <c r="R103" s="13">
        <f>$I$51*$R$51</f>
        <v>32020.806804098786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320656.19997470011</v>
      </c>
      <c r="Y103" s="13">
        <f>$I$51*$Y$51</f>
        <v>0</v>
      </c>
      <c r="Z103" s="13">
        <f>$I$51*$Z$51</f>
        <v>0</v>
      </c>
      <c r="AA103" s="13">
        <f>$I$51*$AA$51</f>
        <v>992144.73570217041</v>
      </c>
      <c r="AB103" s="13">
        <f ca="1">$I$51*$AB$51</f>
        <v>-17642.136668546322</v>
      </c>
      <c r="AC103" s="13">
        <f ca="1">$I$51*$AC$51</f>
        <v>0</v>
      </c>
      <c r="AD103" s="13">
        <f>$I$51*$AD$51</f>
        <v>17855.739433296378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3321.6470067890677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125077.19405137053</v>
      </c>
      <c r="AO103" s="13">
        <f>$I$51*$AO$51</f>
        <v>19702.64284441352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315829.08292898088</v>
      </c>
      <c r="AV103" s="13">
        <f>$I$51*$AV$51</f>
        <v>0</v>
      </c>
      <c r="AW103" s="13">
        <f>$I$51*$AW$51</f>
        <v>0</v>
      </c>
      <c r="AX103" s="13">
        <f>$I$51*$AX$51</f>
        <v>576507.77653477399</v>
      </c>
      <c r="AY103" s="13">
        <f>$I$51*$AY$51</f>
        <v>0</v>
      </c>
      <c r="AZ103" s="13">
        <f>$I$51*$AZ$51</f>
        <v>0</v>
      </c>
      <c r="BA103" s="13">
        <f>$I$51*$BA$51</f>
        <v>62115.959508764783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C0D8-41D6-4CD4-8790-46C886D47099}">
  <dimension ref="A1:AH83"/>
  <sheetViews>
    <sheetView showGridLines="0" topLeftCell="I20" workbookViewId="0">
      <selection activeCell="V42" sqref="V42"/>
    </sheetView>
  </sheetViews>
  <sheetFormatPr defaultRowHeight="11.25" customHeight="1" x14ac:dyDescent="0.3"/>
  <cols>
    <col min="1" max="1" width="9" style="9" bestFit="1" customWidth="1"/>
    <col min="2" max="2" width="26.5546875" style="9" bestFit="1" customWidth="1"/>
    <col min="3" max="3" width="35.5546875" style="9" bestFit="1" customWidth="1"/>
    <col min="4" max="4" width="56.77734375" style="9" bestFit="1" customWidth="1"/>
    <col min="5" max="5" width="65.77734375" style="9" bestFit="1" customWidth="1"/>
    <col min="6" max="6" width="74.88671875" style="9" bestFit="1" customWidth="1"/>
    <col min="7" max="7" width="7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3.77734375" style="9" bestFit="1" customWidth="1"/>
    <col min="13" max="13" width="7" style="9" bestFit="1" customWidth="1"/>
    <col min="14" max="14" width="5.6640625" style="9" bestFit="1" customWidth="1"/>
    <col min="15" max="15" width="10.33203125" style="9" bestFit="1" customWidth="1"/>
    <col min="16" max="16" width="7.6640625" style="9" bestFit="1" customWidth="1"/>
    <col min="17" max="17" width="14.44140625" style="9" bestFit="1" customWidth="1"/>
    <col min="18" max="18" width="5.5546875" style="9" bestFit="1" customWidth="1"/>
    <col min="19" max="19" width="9.77734375" style="9" bestFit="1" customWidth="1"/>
    <col min="20" max="20" width="6.44140625" style="9" bestFit="1" customWidth="1"/>
    <col min="21" max="21" width="10.33203125" style="9" bestFit="1" customWidth="1"/>
    <col min="22" max="22" width="10.5546875" style="9" bestFit="1" customWidth="1"/>
    <col min="23" max="23" width="8.88671875" style="9"/>
    <col min="24" max="24" width="3.77734375" style="9" bestFit="1" customWidth="1"/>
    <col min="25" max="25" width="7" style="9" bestFit="1" customWidth="1"/>
    <col min="26" max="26" width="5.6640625" style="9" bestFit="1" customWidth="1"/>
    <col min="27" max="27" width="10.33203125" style="9" bestFit="1" customWidth="1"/>
    <col min="28" max="28" width="7.6640625" style="9" bestFit="1" customWidth="1"/>
    <col min="29" max="29" width="14.44140625" style="9" bestFit="1" customWidth="1"/>
    <col min="30" max="30" width="5.5546875" style="9" bestFit="1" customWidth="1"/>
    <col min="31" max="31" width="9.77734375" style="9" bestFit="1" customWidth="1"/>
    <col min="32" max="32" width="6.44140625" style="9" bestFit="1" customWidth="1"/>
    <col min="33" max="33" width="10.33203125" style="9" bestFit="1" customWidth="1"/>
    <col min="34" max="34" width="10.5546875" style="9" bestFit="1" customWidth="1"/>
    <col min="35" max="16384" width="8.88671875" style="9"/>
  </cols>
  <sheetData>
    <row r="1" spans="1:34" ht="11.25" customHeight="1" x14ac:dyDescent="0.3">
      <c r="A1" s="100" t="s">
        <v>457</v>
      </c>
      <c r="B1" s="100" t="s">
        <v>458</v>
      </c>
      <c r="C1" s="100" t="s">
        <v>459</v>
      </c>
      <c r="D1" s="100" t="s">
        <v>460</v>
      </c>
      <c r="E1" s="100" t="s">
        <v>461</v>
      </c>
      <c r="F1" s="100" t="s">
        <v>15</v>
      </c>
      <c r="G1" s="100" t="s">
        <v>463</v>
      </c>
      <c r="H1" s="100" t="s">
        <v>464</v>
      </c>
      <c r="I1" s="100" t="s">
        <v>593</v>
      </c>
      <c r="J1" s="84"/>
      <c r="L1" s="98" t="s">
        <v>962</v>
      </c>
      <c r="M1" s="98"/>
      <c r="N1" s="98"/>
      <c r="O1" s="98"/>
      <c r="P1" s="98"/>
      <c r="Q1" s="98"/>
      <c r="R1" s="98"/>
      <c r="S1" s="98"/>
      <c r="T1" s="98"/>
      <c r="U1" s="98"/>
      <c r="V1" s="98"/>
      <c r="X1" s="98" t="s">
        <v>963</v>
      </c>
      <c r="Y1" s="98"/>
      <c r="Z1" s="98"/>
      <c r="AA1" s="98"/>
      <c r="AB1" s="98"/>
      <c r="AC1" s="98"/>
      <c r="AD1" s="98"/>
      <c r="AE1" s="98"/>
      <c r="AF1" s="98"/>
      <c r="AG1" s="98"/>
      <c r="AH1" s="98"/>
    </row>
    <row r="2" spans="1:34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98" t="s">
        <v>520</v>
      </c>
      <c r="M2" s="98"/>
      <c r="N2" s="98"/>
      <c r="O2" s="98"/>
      <c r="P2" s="98"/>
      <c r="Q2" s="98"/>
      <c r="R2" s="98"/>
      <c r="S2" s="98"/>
      <c r="T2" s="98"/>
      <c r="U2" s="98"/>
      <c r="V2" s="98"/>
      <c r="X2" s="98" t="s">
        <v>520</v>
      </c>
      <c r="Y2" s="98"/>
      <c r="Z2" s="98"/>
      <c r="AA2" s="98"/>
      <c r="AB2" s="98"/>
      <c r="AC2" s="98"/>
      <c r="AD2" s="98"/>
      <c r="AE2" s="98"/>
      <c r="AF2" s="98"/>
      <c r="AG2" s="98"/>
      <c r="AH2" s="98"/>
    </row>
    <row r="3" spans="1:34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98" t="s">
        <v>493</v>
      </c>
      <c r="M3" s="98"/>
      <c r="N3" s="98"/>
      <c r="O3" s="98"/>
      <c r="P3" s="98"/>
      <c r="Q3" s="24" t="s">
        <v>524</v>
      </c>
      <c r="R3" s="98" t="s">
        <v>502</v>
      </c>
      <c r="S3" s="98"/>
      <c r="T3" s="98"/>
      <c r="U3" s="24" t="s">
        <v>512</v>
      </c>
      <c r="V3" s="24" t="s">
        <v>515</v>
      </c>
      <c r="X3" s="98" t="s">
        <v>493</v>
      </c>
      <c r="Y3" s="98"/>
      <c r="Z3" s="98"/>
      <c r="AA3" s="98"/>
      <c r="AB3" s="98"/>
      <c r="AC3" s="24" t="s">
        <v>524</v>
      </c>
      <c r="AD3" s="98" t="s">
        <v>502</v>
      </c>
      <c r="AE3" s="98"/>
      <c r="AF3" s="98"/>
      <c r="AG3" s="24" t="s">
        <v>512</v>
      </c>
      <c r="AH3" s="24" t="s">
        <v>515</v>
      </c>
    </row>
    <row r="4" spans="1:34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495</v>
      </c>
      <c r="M4" s="24" t="s">
        <v>521</v>
      </c>
      <c r="N4" s="24" t="s">
        <v>522</v>
      </c>
      <c r="O4" s="24" t="s">
        <v>581</v>
      </c>
      <c r="P4" s="24" t="s">
        <v>523</v>
      </c>
      <c r="Q4" s="24" t="s">
        <v>525</v>
      </c>
      <c r="R4" s="24" t="s">
        <v>526</v>
      </c>
      <c r="S4" s="24" t="s">
        <v>527</v>
      </c>
      <c r="T4" s="24" t="s">
        <v>528</v>
      </c>
      <c r="U4" s="24" t="s">
        <v>513</v>
      </c>
      <c r="V4" s="24" t="s">
        <v>529</v>
      </c>
      <c r="X4" s="24" t="s">
        <v>495</v>
      </c>
      <c r="Y4" s="24" t="s">
        <v>521</v>
      </c>
      <c r="Z4" s="24" t="s">
        <v>522</v>
      </c>
      <c r="AA4" s="24" t="s">
        <v>581</v>
      </c>
      <c r="AB4" s="24" t="s">
        <v>523</v>
      </c>
      <c r="AC4" s="24" t="s">
        <v>525</v>
      </c>
      <c r="AD4" s="24" t="s">
        <v>526</v>
      </c>
      <c r="AE4" s="24" t="s">
        <v>527</v>
      </c>
      <c r="AF4" s="24" t="s">
        <v>528</v>
      </c>
      <c r="AG4" s="24" t="s">
        <v>513</v>
      </c>
      <c r="AH4" s="24" t="s">
        <v>529</v>
      </c>
    </row>
    <row r="5" spans="1:34" ht="11.25" customHeight="1" x14ac:dyDescent="0.3">
      <c r="A5" s="101" t="s">
        <v>39</v>
      </c>
      <c r="B5" s="101" t="s">
        <v>466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468</v>
      </c>
      <c r="H5" s="23" t="s">
        <v>467</v>
      </c>
      <c r="I5" s="23">
        <f>'MERCADO TE'!$U$2</f>
        <v>381.36199999999997</v>
      </c>
      <c r="J5" s="15"/>
      <c r="L5" s="20">
        <f>('TE BE'!$L$5+'TE BF'!$L$5+'TE CVA'!$L$5)*1</f>
        <v>0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80.129405498437265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-2.1710413159942181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223.066148784755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3">
      <c r="A6" s="101"/>
      <c r="B6" s="101"/>
      <c r="C6" s="101"/>
      <c r="D6" s="101"/>
      <c r="E6" s="101"/>
      <c r="F6" s="101"/>
      <c r="G6" s="23" t="s">
        <v>469</v>
      </c>
      <c r="H6" s="23" t="s">
        <v>467</v>
      </c>
      <c r="I6" s="23">
        <f>'MERCADO TE'!$U$3</f>
        <v>8068.7160000000003</v>
      </c>
      <c r="J6" s="15"/>
      <c r="L6" s="20">
        <f>('TE BE'!$L$6+'TE BF'!$L$6+'TE CVA'!$L$6)*1</f>
        <v>0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80.129405498437265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-2.1710413159942181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223.066148784755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3">
      <c r="A7" s="101" t="s">
        <v>22</v>
      </c>
      <c r="B7" s="101" t="s">
        <v>466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468</v>
      </c>
      <c r="H7" s="23" t="s">
        <v>467</v>
      </c>
      <c r="I7" s="23">
        <f>'MERCADO TE'!$U$4</f>
        <v>0.495</v>
      </c>
      <c r="J7" s="15"/>
      <c r="L7" s="20">
        <f>('TE BE'!$L$7+'TE BF'!$L$7+'TE CVA'!$L$7)*1</f>
        <v>0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80.129405498437265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-2.1710413159942181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223.066148784755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3">
      <c r="A8" s="101"/>
      <c r="B8" s="101"/>
      <c r="C8" s="101"/>
      <c r="D8" s="101"/>
      <c r="E8" s="101"/>
      <c r="F8" s="101"/>
      <c r="G8" s="23" t="s">
        <v>480</v>
      </c>
      <c r="H8" s="23" t="s">
        <v>467</v>
      </c>
      <c r="I8" s="23">
        <f>'MERCADO TE'!$U$5</f>
        <v>0.24800000000000003</v>
      </c>
      <c r="J8" s="15"/>
      <c r="L8" s="20">
        <f>('TE BE'!$L$8+'TE BF'!$L$8+'TE CVA'!$L$8)*1</f>
        <v>0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80.129405498437265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-2.1710413159942181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223.066148784755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3">
      <c r="A9" s="101"/>
      <c r="B9" s="101"/>
      <c r="C9" s="101"/>
      <c r="D9" s="101"/>
      <c r="E9" s="101"/>
      <c r="F9" s="101"/>
      <c r="G9" s="23" t="s">
        <v>469</v>
      </c>
      <c r="H9" s="23" t="s">
        <v>467</v>
      </c>
      <c r="I9" s="23">
        <f>'MERCADO TE'!$U$6</f>
        <v>6.5449999999999999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80.129405498437265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-2.1710413159942181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223.066148784755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3">
      <c r="A10" s="101"/>
      <c r="B10" s="101" t="s">
        <v>481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474</v>
      </c>
      <c r="H10" s="23" t="s">
        <v>467</v>
      </c>
      <c r="I10" s="23">
        <f>'MERCADO TE'!$U$7</f>
        <v>29737.986000000001</v>
      </c>
      <c r="J10" s="15"/>
      <c r="L10" s="20">
        <f>('TE BE'!$L$10+'TE BF'!$L$10+'TE CVA'!$L$10)*1</f>
        <v>0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80.129405498437265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-2.1710413159942181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223.066148784755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3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474</v>
      </c>
      <c r="H11" s="23" t="s">
        <v>467</v>
      </c>
      <c r="I11" s="23">
        <f>'MERCADO TE'!$U$8</f>
        <v>83.323000000000008</v>
      </c>
      <c r="J11" s="15"/>
      <c r="L11" s="20">
        <f>('TE BE'!$L$11+'TE BF'!$L$11+'TE CVA'!$L$11)*(1 - 0.65)</f>
        <v>0</v>
      </c>
      <c r="M11" s="20">
        <f>('TE BE'!$M$11+'TE BF'!$M$11+'TE CVA'!$M$11)*(1 - 0.65)</f>
        <v>0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0</v>
      </c>
      <c r="Q11" s="20">
        <f>('TE BE'!$R$11+'TE BF'!$R$11+'TE CVA'!$R$11)*(1 - 0.65)</f>
        <v>28.045291924453039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-0.7598644605979763</v>
      </c>
      <c r="V11" s="20">
        <f>('TE BE'!$Z$11+'TE BF'!$Z$11+'TE CVA'!$Z$11)*(1 - 0.65)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78.073152074664094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3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474</v>
      </c>
      <c r="H12" s="23" t="s">
        <v>467</v>
      </c>
      <c r="I12" s="23">
        <f>'MERCADO TE'!$U$9</f>
        <v>175.95599999999999</v>
      </c>
      <c r="J12" s="15"/>
      <c r="L12" s="20">
        <f>('TE BE'!$L$12+'TE BF'!$L$12+'TE CVA'!$L$12)*(1 - 0.4)</f>
        <v>0</v>
      </c>
      <c r="M12" s="20">
        <f>('TE BE'!$M$12+'TE BF'!$M$12+'TE CVA'!$M$12)*(1 - 0.4)</f>
        <v>0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0</v>
      </c>
      <c r="Q12" s="20">
        <f>('TE BE'!$R$12+'TE BF'!$R$12+'TE CVA'!$R$12)*(1 - 0.4)</f>
        <v>48.077643299062359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-1.3026247895965308</v>
      </c>
      <c r="V12" s="20">
        <f>('TE BE'!$Z$12+'TE BF'!$Z$12+'TE CVA'!$Z$12)*(1 - 0.4)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133.839689270853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3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474</v>
      </c>
      <c r="H13" s="23" t="s">
        <v>467</v>
      </c>
      <c r="I13" s="23">
        <f>'MERCADO TE'!$U$10</f>
        <v>193.03699999999998</v>
      </c>
      <c r="J13" s="15"/>
      <c r="L13" s="20">
        <f>('TE BE'!$L$13+'TE BF'!$L$13+'TE CVA'!$L$13)*(1 - 0.1)</f>
        <v>0</v>
      </c>
      <c r="M13" s="20">
        <f>('TE BE'!$M$13+'TE BF'!$M$13+'TE CVA'!$M$13)*(1 - 0.1)</f>
        <v>0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0</v>
      </c>
      <c r="Q13" s="20">
        <f>('TE BE'!$R$13+'TE BF'!$R$13+'TE CVA'!$R$13)*(1 - 0.1)</f>
        <v>72.116464948593546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-1.9539371843947964</v>
      </c>
      <c r="V13" s="20">
        <f>('TE BE'!$Z$13+'TE BF'!$Z$13+'TE CVA'!$Z$13)*(1 - 0.1)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200.75953390627899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3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474</v>
      </c>
      <c r="H14" s="23" t="s">
        <v>467</v>
      </c>
      <c r="I14" s="23">
        <f>'MERCADO TE'!$U$11</f>
        <v>98.578999999999994</v>
      </c>
      <c r="J14" s="15"/>
      <c r="L14" s="20">
        <f>('TE BE'!$L$14+'TE BF'!$L$14+'TE CVA'!$L$14)*1</f>
        <v>0</v>
      </c>
      <c r="M14" s="20">
        <f>('TE BE'!$M$14+'TE BF'!$M$14+'TE CVA'!$M$14)*1</f>
        <v>0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0</v>
      </c>
      <c r="Q14" s="20">
        <f>('TE BE'!$R$14+'TE BF'!$R$14+'TE CVA'!$R$14)*1</f>
        <v>80.129405498437265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-2.1710413159942181</v>
      </c>
      <c r="V14" s="20">
        <f>('TE BE'!$Z$14+'TE BF'!$Z$14+'TE CVA'!$Z$14)*1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223.066148784755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3">
      <c r="A15" s="101"/>
      <c r="B15" s="101" t="s">
        <v>482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474</v>
      </c>
      <c r="H15" s="23" t="s">
        <v>467</v>
      </c>
      <c r="I15" s="23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80.129405498437265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-2.1710413159942181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223.066148784755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3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474</v>
      </c>
      <c r="H16" s="23" t="s">
        <v>467</v>
      </c>
      <c r="I16" s="23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0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0</v>
      </c>
      <c r="Q16" s="20">
        <f>('TE BE'!$R$16+'TE BF'!$R$16+'TE CVA'!$R$16)*(1 - 0.65)</f>
        <v>28.045291924453039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-0.7598644605979763</v>
      </c>
      <c r="V16" s="20">
        <f>('TE BE'!$Z$16+'TE BF'!$Z$16+'TE CVA'!$Z$16)*(1 - 0.65)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78.073152074664094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3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474</v>
      </c>
      <c r="H17" s="23" t="s">
        <v>467</v>
      </c>
      <c r="I17" s="23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0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0</v>
      </c>
      <c r="Q17" s="20">
        <f>('TE BE'!$R$17+'TE BF'!$R$17+'TE CVA'!$R$17)*(1 - 0.4)</f>
        <v>48.077643299062359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-1.3026247895965308</v>
      </c>
      <c r="V17" s="20">
        <f>('TE BE'!$Z$17+'TE BF'!$Z$17+'TE CVA'!$Z$17)*(1 - 0.4)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133.839689270853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3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474</v>
      </c>
      <c r="H18" s="23" t="s">
        <v>467</v>
      </c>
      <c r="I18" s="23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0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0</v>
      </c>
      <c r="Q18" s="20">
        <f>('TE BE'!$R$18+'TE BF'!$R$18+'TE CVA'!$R$18)*(1 - 0.1)</f>
        <v>72.116464948593546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-1.9539371843947964</v>
      </c>
      <c r="V18" s="20">
        <f>('TE BE'!$Z$18+'TE BF'!$Z$18+'TE CVA'!$Z$18)*(1 - 0.1)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200.75953390627899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3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474</v>
      </c>
      <c r="H19" s="23" t="s">
        <v>467</v>
      </c>
      <c r="I19" s="23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0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0</v>
      </c>
      <c r="Q19" s="20">
        <f>('TE BE'!$R$19+'TE BF'!$R$19+'TE CVA'!$R$19)*1</f>
        <v>80.129405498437265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-2.1710413159942181</v>
      </c>
      <c r="V19" s="20">
        <f>('TE BE'!$Z$19+'TE BF'!$Z$19+'TE CVA'!$Z$19)*1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223.066148784755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3">
      <c r="A20" s="101" t="s">
        <v>42</v>
      </c>
      <c r="B20" s="101" t="s">
        <v>466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468</v>
      </c>
      <c r="H20" s="23" t="s">
        <v>467</v>
      </c>
      <c r="I20" s="23">
        <f>'MERCADO TE'!$U$17</f>
        <v>0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0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0</v>
      </c>
      <c r="Q20" s="20">
        <f>('TE BE'!$R$20+'TE BF'!$R$20+'TE CVA'!$R$20)*(1 - CUSTOS!$M$38)</f>
        <v>74.520347113546649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-2.0190684238746228</v>
      </c>
      <c r="V20" s="20">
        <f>('TE BE'!$Z$20+'TE BF'!$Z$20+'TE CVA'!$Z$20)*(1 - CUSTOS!$M$38)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196.29821093058399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3">
      <c r="A21" s="101"/>
      <c r="B21" s="101"/>
      <c r="C21" s="101"/>
      <c r="D21" s="101"/>
      <c r="E21" s="101"/>
      <c r="F21" s="101"/>
      <c r="G21" s="23" t="s">
        <v>480</v>
      </c>
      <c r="H21" s="23" t="s">
        <v>467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74.520347113546649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-2.0190684238746228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196.29821093058399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3">
      <c r="A22" s="101"/>
      <c r="B22" s="101"/>
      <c r="C22" s="101"/>
      <c r="D22" s="101"/>
      <c r="E22" s="101"/>
      <c r="F22" s="101"/>
      <c r="G22" s="23" t="s">
        <v>469</v>
      </c>
      <c r="H22" s="23" t="s">
        <v>467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74.520347113546649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-2.0190684238746228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196.29821093058399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3">
      <c r="A23" s="101"/>
      <c r="B23" s="22" t="s">
        <v>481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474</v>
      </c>
      <c r="H23" s="23" t="s">
        <v>467</v>
      </c>
      <c r="I23" s="23">
        <f>'MERCADO TE'!$U$20</f>
        <v>513.57799999999997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74.520347113546649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-2.0190684238746228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196.29821093058399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3">
      <c r="A24" s="101"/>
      <c r="B24" s="101" t="s">
        <v>466</v>
      </c>
      <c r="C24" s="101" t="s">
        <v>43</v>
      </c>
      <c r="D24" s="101" t="s">
        <v>484</v>
      </c>
      <c r="E24" s="101" t="s">
        <v>25</v>
      </c>
      <c r="F24" s="101" t="s">
        <v>25</v>
      </c>
      <c r="G24" s="23" t="s">
        <v>468</v>
      </c>
      <c r="H24" s="23" t="s">
        <v>467</v>
      </c>
      <c r="I24" s="23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0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0</v>
      </c>
      <c r="Q24" s="20">
        <f>('TE BE'!$R$24+'TE BF'!$R$24+'TE CVA'!$R$24)*(1 - CUSTOS!$M$39)</f>
        <v>75.321641168531031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-2.0407788370345652</v>
      </c>
      <c r="V24" s="20">
        <f>('TE BE'!$Z$24+'TE BF'!$Z$24+'TE CVA'!$Z$24)*(1 - CUSTOS!$M$39)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196.29821093058399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3">
      <c r="A25" s="101"/>
      <c r="B25" s="101"/>
      <c r="C25" s="101"/>
      <c r="D25" s="101"/>
      <c r="E25" s="101"/>
      <c r="F25" s="101"/>
      <c r="G25" s="23" t="s">
        <v>480</v>
      </c>
      <c r="H25" s="23" t="s">
        <v>467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75.321641168531031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-2.0407788370345652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196.29821093058399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3">
      <c r="A26" s="101"/>
      <c r="B26" s="101"/>
      <c r="C26" s="101"/>
      <c r="D26" s="101"/>
      <c r="E26" s="101"/>
      <c r="F26" s="101"/>
      <c r="G26" s="23" t="s">
        <v>469</v>
      </c>
      <c r="H26" s="23" t="s">
        <v>467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75.321641168531031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-2.0407788370345652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196.29821093058399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3">
      <c r="A27" s="101"/>
      <c r="B27" s="22" t="s">
        <v>481</v>
      </c>
      <c r="C27" s="22" t="s">
        <v>43</v>
      </c>
      <c r="D27" s="22" t="s">
        <v>484</v>
      </c>
      <c r="E27" s="22" t="s">
        <v>25</v>
      </c>
      <c r="F27" s="22" t="s">
        <v>25</v>
      </c>
      <c r="G27" s="23" t="s">
        <v>474</v>
      </c>
      <c r="H27" s="23" t="s">
        <v>467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75.321641168531031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-2.0407788370345652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196.29821093058399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3">
      <c r="A28" s="101"/>
      <c r="B28" s="101" t="s">
        <v>466</v>
      </c>
      <c r="C28" s="101" t="s">
        <v>43</v>
      </c>
      <c r="D28" s="101" t="s">
        <v>485</v>
      </c>
      <c r="E28" s="101" t="s">
        <v>25</v>
      </c>
      <c r="F28" s="101" t="s">
        <v>25</v>
      </c>
      <c r="G28" s="23" t="s">
        <v>468</v>
      </c>
      <c r="H28" s="23" t="s">
        <v>467</v>
      </c>
      <c r="I28" s="23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0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0</v>
      </c>
      <c r="Q28" s="20">
        <f>('TE BE'!$R$28+'TE BF'!$R$28+'TE CVA'!$R$28)*(1 - CUSTOS!$M$40)</f>
        <v>73.719053058562281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-1.9973580107146807</v>
      </c>
      <c r="V28" s="20">
        <f>('TE BE'!$Z$28+'TE BF'!$Z$28+'TE CVA'!$Z$28)*(1 - CUSTOS!$M$40)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187.375564979194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3">
      <c r="A29" s="101"/>
      <c r="B29" s="101"/>
      <c r="C29" s="101"/>
      <c r="D29" s="101"/>
      <c r="E29" s="101"/>
      <c r="F29" s="101"/>
      <c r="G29" s="23" t="s">
        <v>480</v>
      </c>
      <c r="H29" s="23" t="s">
        <v>467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73.719053058562281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-1.9973580107146807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187.375564979194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3">
      <c r="A30" s="101"/>
      <c r="B30" s="101"/>
      <c r="C30" s="101"/>
      <c r="D30" s="101"/>
      <c r="E30" s="101"/>
      <c r="F30" s="101"/>
      <c r="G30" s="23" t="s">
        <v>469</v>
      </c>
      <c r="H30" s="23" t="s">
        <v>467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73.719053058562281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-1.9973580107146807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187.375564979194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3">
      <c r="A31" s="101"/>
      <c r="B31" s="22" t="s">
        <v>481</v>
      </c>
      <c r="C31" s="22" t="s">
        <v>43</v>
      </c>
      <c r="D31" s="22" t="s">
        <v>485</v>
      </c>
      <c r="E31" s="22" t="s">
        <v>25</v>
      </c>
      <c r="F31" s="22" t="s">
        <v>25</v>
      </c>
      <c r="G31" s="23" t="s">
        <v>474</v>
      </c>
      <c r="H31" s="23" t="s">
        <v>467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73.719053058562281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-1.9973580107146807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187.375564979194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3">
      <c r="A32" s="101"/>
      <c r="B32" s="101" t="s">
        <v>482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474</v>
      </c>
      <c r="H32" s="23" t="s">
        <v>467</v>
      </c>
      <c r="I32" s="23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0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0</v>
      </c>
      <c r="Q32" s="20">
        <f>('TE BE'!$R$32+'TE BF'!$R$32+'TE CVA'!$R$32)*(1 - CUSTOS!$M$38)</f>
        <v>74.520347113546649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-2.0190684238746228</v>
      </c>
      <c r="V32" s="20">
        <f>('TE BE'!$Z$32+'TE BF'!$Z$32+'TE CVA'!$Z$32)*(1 - CUSTOS!$M$38)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196.29821093058399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3">
      <c r="A33" s="101"/>
      <c r="B33" s="101"/>
      <c r="C33" s="101"/>
      <c r="D33" s="22" t="s">
        <v>484</v>
      </c>
      <c r="E33" s="22" t="s">
        <v>25</v>
      </c>
      <c r="F33" s="22" t="s">
        <v>25</v>
      </c>
      <c r="G33" s="23" t="s">
        <v>474</v>
      </c>
      <c r="H33" s="23" t="s">
        <v>467</v>
      </c>
      <c r="I33" s="23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0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0</v>
      </c>
      <c r="Q33" s="20">
        <f>('TE BE'!$R$33+'TE BF'!$R$33+'TE CVA'!$R$33)*(1 - CUSTOS!$M$39)</f>
        <v>75.321641168531031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-2.0407788370345652</v>
      </c>
      <c r="V33" s="20">
        <f>('TE BE'!$Z$33+'TE BF'!$Z$33+'TE CVA'!$Z$33)*(1 - CUSTOS!$M$39)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196.29821093058399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3">
      <c r="A34" s="101"/>
      <c r="B34" s="101"/>
      <c r="C34" s="101"/>
      <c r="D34" s="22" t="s">
        <v>485</v>
      </c>
      <c r="E34" s="22" t="s">
        <v>25</v>
      </c>
      <c r="F34" s="22" t="s">
        <v>25</v>
      </c>
      <c r="G34" s="23" t="s">
        <v>474</v>
      </c>
      <c r="H34" s="23" t="s">
        <v>467</v>
      </c>
      <c r="I34" s="23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0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0</v>
      </c>
      <c r="Q34" s="20">
        <f>('TE BE'!$R$34+'TE BF'!$R$34+'TE CVA'!$R$34)*(1 - CUSTOS!$M$40)</f>
        <v>73.719053058562281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-1.9973580107146807</v>
      </c>
      <c r="V34" s="20">
        <f>('TE BE'!$Z$34+'TE BF'!$Z$34+'TE CVA'!$Z$34)*(1 - CUSTOS!$M$40)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187.375564979194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3">
      <c r="A35" s="101" t="s">
        <v>37</v>
      </c>
      <c r="B35" s="101" t="s">
        <v>466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468</v>
      </c>
      <c r="H35" s="23" t="s">
        <v>467</v>
      </c>
      <c r="I35" s="23">
        <f>'MERCADO TE'!$U$32</f>
        <v>3.0390000000000001</v>
      </c>
      <c r="J35" s="15"/>
      <c r="L35" s="20">
        <f>('TE BE'!$L$35+'TE BF'!$L$35+'TE CVA'!$L$35)*1</f>
        <v>0</v>
      </c>
      <c r="M35" s="20">
        <f>('TE BE'!$M$35+'TE BF'!$M$35+'TE CVA'!$M$35)*1</f>
        <v>0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0</v>
      </c>
      <c r="Q35" s="20">
        <f>('TE BE'!$R$35+'TE BF'!$R$35+'TE CVA'!$R$35)*1</f>
        <v>80.129405498437265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-2.1710413159942181</v>
      </c>
      <c r="V35" s="20">
        <f>('TE BE'!$Z$35+'TE BF'!$Z$35+'TE CVA'!$Z$35)*1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223.066148784755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3">
      <c r="A36" s="101"/>
      <c r="B36" s="101"/>
      <c r="C36" s="101"/>
      <c r="D36" s="101"/>
      <c r="E36" s="101"/>
      <c r="F36" s="101"/>
      <c r="G36" s="23" t="s">
        <v>480</v>
      </c>
      <c r="H36" s="23" t="s">
        <v>467</v>
      </c>
      <c r="I36" s="23">
        <f>'MERCADO TE'!$U$33</f>
        <v>5.1750000000000007</v>
      </c>
      <c r="J36" s="15"/>
      <c r="L36" s="20">
        <f>('TE BE'!$L$36+'TE BF'!$L$36+'TE CVA'!$L$36)*1</f>
        <v>0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80.129405498437265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-2.1710413159942181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223.066148784755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3">
      <c r="A37" s="101"/>
      <c r="B37" s="101"/>
      <c r="C37" s="101"/>
      <c r="D37" s="101"/>
      <c r="E37" s="101"/>
      <c r="F37" s="101"/>
      <c r="G37" s="23" t="s">
        <v>469</v>
      </c>
      <c r="H37" s="23" t="s">
        <v>467</v>
      </c>
      <c r="I37" s="23">
        <f>'MERCADO TE'!$U$34</f>
        <v>190.53300000000002</v>
      </c>
      <c r="J37" s="15"/>
      <c r="L37" s="20">
        <f>('TE BE'!$L$37+'TE BF'!$L$37+'TE CVA'!$L$37)*1</f>
        <v>0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80.129405498437265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-2.1710413159942181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223.066148784755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3">
      <c r="A38" s="101"/>
      <c r="B38" s="22" t="s">
        <v>481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474</v>
      </c>
      <c r="H38" s="23" t="s">
        <v>467</v>
      </c>
      <c r="I38" s="23">
        <f>'MERCADO TE'!$U$35</f>
        <v>13839.034999999998</v>
      </c>
      <c r="J38" s="15"/>
      <c r="L38" s="20">
        <f>('TE BE'!$L$38+'TE BF'!$L$38+'TE CVA'!$L$38)*1</f>
        <v>0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80.129405498437265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-2.1710413159942181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223.066148784755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3">
      <c r="A39" s="101"/>
      <c r="B39" s="22" t="s">
        <v>482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474</v>
      </c>
      <c r="H39" s="23" t="s">
        <v>467</v>
      </c>
      <c r="I39" s="23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80.129405498437265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-2.1710413159942181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223.066148784755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3">
      <c r="A40" s="101" t="s">
        <v>45</v>
      </c>
      <c r="B40" s="101" t="s">
        <v>481</v>
      </c>
      <c r="C40" s="101" t="s">
        <v>46</v>
      </c>
      <c r="D40" s="22" t="s">
        <v>486</v>
      </c>
      <c r="E40" s="22" t="s">
        <v>25</v>
      </c>
      <c r="F40" s="22" t="s">
        <v>25</v>
      </c>
      <c r="G40" s="23" t="s">
        <v>474</v>
      </c>
      <c r="H40" s="23" t="s">
        <v>467</v>
      </c>
      <c r="I40" s="23">
        <f>'MERCADO TE'!$U$37</f>
        <v>0</v>
      </c>
      <c r="J40" s="15"/>
      <c r="L40" s="20">
        <f>('TE BE'!$L$40+'TE BF'!$L$40+'TE CVA'!$L$40)*1</f>
        <v>0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44.071173024140506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-1.1940727237968201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122.68638183161499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3">
      <c r="A41" s="101"/>
      <c r="B41" s="101"/>
      <c r="C41" s="101"/>
      <c r="D41" s="23" t="s">
        <v>47</v>
      </c>
      <c r="E41" s="23" t="s">
        <v>25</v>
      </c>
      <c r="F41" s="23" t="s">
        <v>25</v>
      </c>
      <c r="G41" s="23" t="s">
        <v>474</v>
      </c>
      <c r="H41" s="23" t="s">
        <v>467</v>
      </c>
      <c r="I41" s="23">
        <f>'MERCADO TE'!$U$38</f>
        <v>3807.3310000000001</v>
      </c>
      <c r="J41" s="15"/>
      <c r="L41" s="20">
        <f>('TE BE'!$L$41+'TE BF'!$L$41+'TE CVA'!$L$41)*1</f>
        <v>0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48.077643299062359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-1.3026247895965306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133.839689270853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3">
      <c r="L43" s="98" t="s">
        <v>962</v>
      </c>
      <c r="M43" s="98"/>
      <c r="N43" s="98"/>
      <c r="O43" s="98"/>
      <c r="P43" s="98"/>
      <c r="Q43" s="98"/>
      <c r="R43" s="98"/>
      <c r="S43" s="98"/>
      <c r="T43" s="98"/>
      <c r="U43" s="98"/>
      <c r="V43" s="98"/>
      <c r="X43" s="98" t="s">
        <v>963</v>
      </c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ht="11.25" customHeight="1" x14ac:dyDescent="0.3">
      <c r="L44" s="98" t="s">
        <v>520</v>
      </c>
      <c r="M44" s="98"/>
      <c r="N44" s="98"/>
      <c r="O44" s="98"/>
      <c r="P44" s="98"/>
      <c r="Q44" s="98"/>
      <c r="R44" s="98"/>
      <c r="S44" s="98"/>
      <c r="T44" s="98"/>
      <c r="U44" s="98"/>
      <c r="V44" s="98"/>
      <c r="X44" s="98" t="s">
        <v>520</v>
      </c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ht="11.25" customHeight="1" x14ac:dyDescent="0.3">
      <c r="L45" s="98" t="s">
        <v>493</v>
      </c>
      <c r="M45" s="98"/>
      <c r="N45" s="98"/>
      <c r="O45" s="98"/>
      <c r="P45" s="98"/>
      <c r="Q45" s="24" t="s">
        <v>524</v>
      </c>
      <c r="R45" s="98" t="s">
        <v>502</v>
      </c>
      <c r="S45" s="98"/>
      <c r="T45" s="98"/>
      <c r="U45" s="24" t="s">
        <v>512</v>
      </c>
      <c r="V45" s="24" t="s">
        <v>515</v>
      </c>
      <c r="X45" s="98" t="s">
        <v>493</v>
      </c>
      <c r="Y45" s="98"/>
      <c r="Z45" s="98"/>
      <c r="AA45" s="98"/>
      <c r="AB45" s="98"/>
      <c r="AC45" s="24" t="s">
        <v>524</v>
      </c>
      <c r="AD45" s="98" t="s">
        <v>502</v>
      </c>
      <c r="AE45" s="98"/>
      <c r="AF45" s="98"/>
      <c r="AG45" s="24" t="s">
        <v>512</v>
      </c>
      <c r="AH45" s="24" t="s">
        <v>515</v>
      </c>
    </row>
    <row r="46" spans="1:34" ht="11.25" customHeight="1" x14ac:dyDescent="0.3">
      <c r="L46" s="24" t="s">
        <v>495</v>
      </c>
      <c r="M46" s="24" t="s">
        <v>521</v>
      </c>
      <c r="N46" s="24" t="s">
        <v>522</v>
      </c>
      <c r="O46" s="24" t="s">
        <v>581</v>
      </c>
      <c r="P46" s="24" t="s">
        <v>523</v>
      </c>
      <c r="Q46" s="24" t="s">
        <v>525</v>
      </c>
      <c r="R46" s="24" t="s">
        <v>526</v>
      </c>
      <c r="S46" s="24" t="s">
        <v>527</v>
      </c>
      <c r="T46" s="24" t="s">
        <v>528</v>
      </c>
      <c r="U46" s="24" t="s">
        <v>513</v>
      </c>
      <c r="V46" s="24" t="s">
        <v>529</v>
      </c>
      <c r="X46" s="24" t="s">
        <v>495</v>
      </c>
      <c r="Y46" s="24" t="s">
        <v>521</v>
      </c>
      <c r="Z46" s="24" t="s">
        <v>522</v>
      </c>
      <c r="AA46" s="24" t="s">
        <v>581</v>
      </c>
      <c r="AB46" s="24" t="s">
        <v>523</v>
      </c>
      <c r="AC46" s="24" t="s">
        <v>525</v>
      </c>
      <c r="AD46" s="24" t="s">
        <v>526</v>
      </c>
      <c r="AE46" s="24" t="s">
        <v>527</v>
      </c>
      <c r="AF46" s="24" t="s">
        <v>528</v>
      </c>
      <c r="AG46" s="24" t="s">
        <v>513</v>
      </c>
      <c r="AH46" s="24" t="s">
        <v>529</v>
      </c>
    </row>
    <row r="47" spans="1:34" ht="11.25" customHeight="1" x14ac:dyDescent="0.3">
      <c r="A47" s="9" t="s">
        <v>39</v>
      </c>
      <c r="B47" s="9" t="s">
        <v>964</v>
      </c>
      <c r="C47" s="9" t="s">
        <v>965</v>
      </c>
      <c r="D47" s="9" t="s">
        <v>966</v>
      </c>
      <c r="E47" s="9" t="s">
        <v>967</v>
      </c>
      <c r="F47" s="9" t="s">
        <v>968</v>
      </c>
      <c r="G47" s="9" t="s">
        <v>969</v>
      </c>
      <c r="L47" s="20">
        <f>$I$5*$L$5</f>
        <v>0</v>
      </c>
      <c r="M47" s="20">
        <f>$I$5*$M$5</f>
        <v>0</v>
      </c>
      <c r="N47" s="20">
        <f>$I$5*$N$5</f>
        <v>0</v>
      </c>
      <c r="O47" s="20">
        <f>$I$5*$O$5</f>
        <v>0</v>
      </c>
      <c r="P47" s="20">
        <f>$I$5*$P$5</f>
        <v>0</v>
      </c>
      <c r="Q47" s="20">
        <f>$I$5*$Q$5</f>
        <v>30558.310339695028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-827.95265835018699</v>
      </c>
      <c r="V47" s="20">
        <f>$I$5*$V$5</f>
        <v>0</v>
      </c>
      <c r="X47" s="20">
        <f>$I$5*$X$5</f>
        <v>0</v>
      </c>
      <c r="Y47" s="20">
        <f>$I$5*$Y$5</f>
        <v>0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85068.952632851724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3">
      <c r="A48" s="9" t="s">
        <v>39</v>
      </c>
      <c r="B48" s="9" t="s">
        <v>964</v>
      </c>
      <c r="C48" s="9" t="s">
        <v>965</v>
      </c>
      <c r="D48" s="9" t="s">
        <v>966</v>
      </c>
      <c r="E48" s="9" t="s">
        <v>967</v>
      </c>
      <c r="F48" s="9" t="s">
        <v>968</v>
      </c>
      <c r="G48" s="9" t="s">
        <v>970</v>
      </c>
      <c r="L48" s="20">
        <f>$I$6*$L$6</f>
        <v>0</v>
      </c>
      <c r="M48" s="20">
        <f>$I$6*$M$6</f>
        <v>0</v>
      </c>
      <c r="N48" s="20">
        <f>$I$6*$N$6</f>
        <v>0</v>
      </c>
      <c r="O48" s="20">
        <f>$I$6*$O$6</f>
        <v>0</v>
      </c>
      <c r="P48" s="20">
        <f>$I$6*$P$6</f>
        <v>0</v>
      </c>
      <c r="Q48" s="20">
        <f>$I$6*$Q$6</f>
        <v>646541.41621572874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-17517.515803023605</v>
      </c>
      <c r="V48" s="20">
        <f>$I$6*$V$6</f>
        <v>0</v>
      </c>
      <c r="X48" s="20">
        <f>$I$6*$X$6</f>
        <v>0</v>
      </c>
      <c r="Y48" s="20">
        <f>$I$6*$Y$6</f>
        <v>0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1799857.4037579333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3">
      <c r="A49" s="9" t="s">
        <v>22</v>
      </c>
      <c r="B49" s="9" t="s">
        <v>971</v>
      </c>
      <c r="C49" s="9" t="s">
        <v>972</v>
      </c>
      <c r="D49" s="9" t="s">
        <v>973</v>
      </c>
      <c r="E49" s="9" t="s">
        <v>974</v>
      </c>
      <c r="F49" s="9" t="s">
        <v>975</v>
      </c>
      <c r="G49" s="9" t="s">
        <v>976</v>
      </c>
      <c r="L49" s="20">
        <f>$I$7*$L$7</f>
        <v>0</v>
      </c>
      <c r="M49" s="20">
        <f>$I$7*$M$7</f>
        <v>0</v>
      </c>
      <c r="N49" s="20">
        <f>$I$7*$N$7</f>
        <v>0</v>
      </c>
      <c r="O49" s="20">
        <f>$I$7*$O$7</f>
        <v>0</v>
      </c>
      <c r="P49" s="20">
        <f>$I$7*$P$7</f>
        <v>0</v>
      </c>
      <c r="Q49" s="20">
        <f>$I$7*$Q$7</f>
        <v>39.664055721726449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-1.0746654514171379</v>
      </c>
      <c r="V49" s="20">
        <f>$I$7*$V$7</f>
        <v>0</v>
      </c>
      <c r="X49" s="20">
        <f>$I$7*$X$7</f>
        <v>0</v>
      </c>
      <c r="Y49" s="20">
        <f>$I$7*$Y$7</f>
        <v>0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110.41774364845372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3">
      <c r="A50" s="9" t="s">
        <v>22</v>
      </c>
      <c r="B50" s="9" t="s">
        <v>971</v>
      </c>
      <c r="C50" s="9" t="s">
        <v>972</v>
      </c>
      <c r="D50" s="9" t="s">
        <v>973</v>
      </c>
      <c r="E50" s="9" t="s">
        <v>974</v>
      </c>
      <c r="F50" s="9" t="s">
        <v>975</v>
      </c>
      <c r="G50" s="9" t="s">
        <v>977</v>
      </c>
      <c r="L50" s="20">
        <f>$I$8*$L$8</f>
        <v>0</v>
      </c>
      <c r="M50" s="20">
        <f>$I$8*$M$8</f>
        <v>0</v>
      </c>
      <c r="N50" s="20">
        <f>$I$8*$N$8</f>
        <v>0</v>
      </c>
      <c r="O50" s="20">
        <f>$I$8*$O$8</f>
        <v>0</v>
      </c>
      <c r="P50" s="20">
        <f>$I$8*$P$8</f>
        <v>0</v>
      </c>
      <c r="Q50" s="20">
        <f>$I$8*$Q$8</f>
        <v>19.872092563612444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-0.5384182463665661</v>
      </c>
      <c r="V50" s="20">
        <f>$I$8*$V$8</f>
        <v>0</v>
      </c>
      <c r="X50" s="20">
        <f>$I$8*$X$8</f>
        <v>0</v>
      </c>
      <c r="Y50" s="20">
        <f>$I$8*$Y$8</f>
        <v>0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55.320404898619245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3">
      <c r="A51" s="9" t="s">
        <v>22</v>
      </c>
      <c r="B51" s="9" t="s">
        <v>971</v>
      </c>
      <c r="C51" s="9" t="s">
        <v>972</v>
      </c>
      <c r="D51" s="9" t="s">
        <v>973</v>
      </c>
      <c r="E51" s="9" t="s">
        <v>974</v>
      </c>
      <c r="F51" s="9" t="s">
        <v>975</v>
      </c>
      <c r="G51" s="9" t="s">
        <v>978</v>
      </c>
      <c r="L51" s="20">
        <f>$I$9*$L$9</f>
        <v>0</v>
      </c>
      <c r="M51" s="20">
        <f>$I$9*$M$9</f>
        <v>0</v>
      </c>
      <c r="N51" s="20">
        <f>$I$9*$N$9</f>
        <v>0</v>
      </c>
      <c r="O51" s="20">
        <f>$I$9*$O$9</f>
        <v>0</v>
      </c>
      <c r="P51" s="20">
        <f>$I$9*$P$9</f>
        <v>0</v>
      </c>
      <c r="Q51" s="20">
        <f>$I$9*$Q$9</f>
        <v>524.44695898727184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-14.209465413182157</v>
      </c>
      <c r="V51" s="20">
        <f>$I$9*$V$9</f>
        <v>0</v>
      </c>
      <c r="X51" s="20">
        <f>$I$9*$X$9</f>
        <v>0</v>
      </c>
      <c r="Y51" s="20">
        <f>$I$9*$Y$9</f>
        <v>0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1459.9679437962216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3">
      <c r="A52" s="9" t="s">
        <v>22</v>
      </c>
      <c r="B52" s="9" t="s">
        <v>979</v>
      </c>
      <c r="C52" s="9" t="s">
        <v>980</v>
      </c>
      <c r="D52" s="9" t="s">
        <v>981</v>
      </c>
      <c r="E52" s="9" t="s">
        <v>982</v>
      </c>
      <c r="F52" s="9" t="s">
        <v>983</v>
      </c>
      <c r="G52" s="9" t="s">
        <v>984</v>
      </c>
      <c r="L52" s="20">
        <f>$I$10*$L$10</f>
        <v>0</v>
      </c>
      <c r="M52" s="20">
        <f>$I$10*$M$10</f>
        <v>0</v>
      </c>
      <c r="N52" s="20">
        <f>$I$10*$N$10</f>
        <v>0</v>
      </c>
      <c r="O52" s="20">
        <f>$I$10*$O$10</f>
        <v>0</v>
      </c>
      <c r="P52" s="20">
        <f>$I$10*$P$10</f>
        <v>0</v>
      </c>
      <c r="Q52" s="20">
        <f>$I$10*$Q$10</f>
        <v>2382887.1389008504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-64562.396260457637</v>
      </c>
      <c r="V52" s="20">
        <f>$I$10*$V$10</f>
        <v>0</v>
      </c>
      <c r="X52" s="20">
        <f>$I$10*$X$10</f>
        <v>0</v>
      </c>
      <c r="Y52" s="20">
        <f>$I$10*$Y$10</f>
        <v>0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6633538.0096349614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3">
      <c r="A53" s="9" t="s">
        <v>22</v>
      </c>
      <c r="B53" s="9" t="s">
        <v>979</v>
      </c>
      <c r="C53" s="9" t="s">
        <v>980</v>
      </c>
      <c r="D53" s="9" t="s">
        <v>985</v>
      </c>
      <c r="E53" s="9" t="s">
        <v>986</v>
      </c>
      <c r="F53" s="9" t="s">
        <v>987</v>
      </c>
      <c r="G53" s="9" t="s">
        <v>988</v>
      </c>
      <c r="L53" s="20">
        <f>$I$11*$L$11</f>
        <v>0</v>
      </c>
      <c r="M53" s="20">
        <f>$I$11*$M$11</f>
        <v>0</v>
      </c>
      <c r="N53" s="20">
        <f>$I$11*$N$11</f>
        <v>0</v>
      </c>
      <c r="O53" s="20">
        <f>$I$11*$O$11</f>
        <v>0</v>
      </c>
      <c r="P53" s="20">
        <f>$I$11*$P$11</f>
        <v>0</v>
      </c>
      <c r="Q53" s="20">
        <f>$I$11*$Q$11</f>
        <v>2336.817859021201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-63.314186450405188</v>
      </c>
      <c r="V53" s="20">
        <f>$I$11*$V$11</f>
        <v>0</v>
      </c>
      <c r="X53" s="20">
        <f>$I$11*$X$11</f>
        <v>0</v>
      </c>
      <c r="Y53" s="20">
        <f>$I$11*$Y$11</f>
        <v>0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6505.289250317237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3">
      <c r="A54" s="9" t="s">
        <v>22</v>
      </c>
      <c r="B54" s="9" t="s">
        <v>979</v>
      </c>
      <c r="C54" s="9" t="s">
        <v>980</v>
      </c>
      <c r="D54" s="9" t="s">
        <v>989</v>
      </c>
      <c r="E54" s="9" t="s">
        <v>990</v>
      </c>
      <c r="F54" s="9" t="s">
        <v>991</v>
      </c>
      <c r="G54" s="9" t="s">
        <v>992</v>
      </c>
      <c r="L54" s="20">
        <f>$I$12*$L$12</f>
        <v>0</v>
      </c>
      <c r="M54" s="20">
        <f>$I$12*$M$12</f>
        <v>0</v>
      </c>
      <c r="N54" s="20">
        <f>$I$12*$N$12</f>
        <v>0</v>
      </c>
      <c r="O54" s="20">
        <f>$I$12*$O$12</f>
        <v>0</v>
      </c>
      <c r="P54" s="20">
        <f>$I$12*$P$12</f>
        <v>0</v>
      </c>
      <c r="Q54" s="20">
        <f>$I$12*$Q$12</f>
        <v>8459.5498043298157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-229.20464747824715</v>
      </c>
      <c r="V54" s="20">
        <f>$I$12*$V$12</f>
        <v>0</v>
      </c>
      <c r="X54" s="20">
        <f>$I$12*$X$12</f>
        <v>0</v>
      </c>
      <c r="Y54" s="20">
        <f>$I$12*$Y$12</f>
        <v>0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23549.896365342211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3">
      <c r="A55" s="9" t="s">
        <v>22</v>
      </c>
      <c r="B55" s="9" t="s">
        <v>979</v>
      </c>
      <c r="C55" s="9" t="s">
        <v>980</v>
      </c>
      <c r="D55" s="9" t="s">
        <v>993</v>
      </c>
      <c r="E55" s="9" t="s">
        <v>994</v>
      </c>
      <c r="F55" s="9" t="s">
        <v>995</v>
      </c>
      <c r="G55" s="9" t="s">
        <v>996</v>
      </c>
      <c r="L55" s="20">
        <f>$I$13*$L$13</f>
        <v>0</v>
      </c>
      <c r="M55" s="20">
        <f>$I$13*$M$13</f>
        <v>0</v>
      </c>
      <c r="N55" s="20">
        <f>$I$13*$N$13</f>
        <v>0</v>
      </c>
      <c r="O55" s="20">
        <f>$I$13*$O$13</f>
        <v>0</v>
      </c>
      <c r="P55" s="20">
        <f>$I$13*$P$13</f>
        <v>0</v>
      </c>
      <c r="Q55" s="20">
        <f>$I$13*$Q$13</f>
        <v>13921.146044281651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-377.18217226401828</v>
      </c>
      <c r="V55" s="20">
        <f>$I$13*$V$13</f>
        <v>0</v>
      </c>
      <c r="X55" s="20">
        <f>$I$13*$X$13</f>
        <v>0</v>
      </c>
      <c r="Y55" s="20">
        <f>$I$13*$Y$13</f>
        <v>0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38754.018146666371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3">
      <c r="A56" s="9" t="s">
        <v>22</v>
      </c>
      <c r="B56" s="9" t="s">
        <v>979</v>
      </c>
      <c r="C56" s="9" t="s">
        <v>980</v>
      </c>
      <c r="D56" s="9" t="s">
        <v>997</v>
      </c>
      <c r="E56" s="9" t="s">
        <v>998</v>
      </c>
      <c r="F56" s="9" t="s">
        <v>999</v>
      </c>
      <c r="G56" s="9" t="s">
        <v>1000</v>
      </c>
      <c r="L56" s="20">
        <f>$I$14*$L$14</f>
        <v>0</v>
      </c>
      <c r="M56" s="20">
        <f>$I$14*$M$14</f>
        <v>0</v>
      </c>
      <c r="N56" s="20">
        <f>$I$14*$N$14</f>
        <v>0</v>
      </c>
      <c r="O56" s="20">
        <f>$I$14*$O$14</f>
        <v>0</v>
      </c>
      <c r="P56" s="20">
        <f>$I$14*$P$14</f>
        <v>0</v>
      </c>
      <c r="Q56" s="20">
        <f>$I$14*$Q$14</f>
        <v>7899.0766646304464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-214.01908188939402</v>
      </c>
      <c r="V56" s="20">
        <f>$I$14*$V$14</f>
        <v>0</v>
      </c>
      <c r="X56" s="20">
        <f>$I$14*$X$14</f>
        <v>0</v>
      </c>
      <c r="Y56" s="20">
        <f>$I$14*$Y$14</f>
        <v>0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21989.63788105236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3">
      <c r="A57" s="9" t="s">
        <v>22</v>
      </c>
      <c r="B57" s="9" t="s">
        <v>1001</v>
      </c>
      <c r="C57" s="9" t="s">
        <v>1002</v>
      </c>
      <c r="D57" s="9" t="s">
        <v>1003</v>
      </c>
      <c r="E57" s="9" t="s">
        <v>1004</v>
      </c>
      <c r="F57" s="9" t="s">
        <v>1005</v>
      </c>
      <c r="G57" s="9" t="s">
        <v>1006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3">
      <c r="A58" s="9" t="s">
        <v>22</v>
      </c>
      <c r="B58" s="9" t="s">
        <v>1001</v>
      </c>
      <c r="C58" s="9" t="s">
        <v>1002</v>
      </c>
      <c r="D58" s="9" t="s">
        <v>1007</v>
      </c>
      <c r="E58" s="9" t="s">
        <v>1008</v>
      </c>
      <c r="F58" s="9" t="s">
        <v>1009</v>
      </c>
      <c r="G58" s="9" t="s">
        <v>1010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3">
      <c r="A59" s="9" t="s">
        <v>22</v>
      </c>
      <c r="B59" s="9" t="s">
        <v>1001</v>
      </c>
      <c r="C59" s="9" t="s">
        <v>1002</v>
      </c>
      <c r="D59" s="9" t="s">
        <v>1011</v>
      </c>
      <c r="E59" s="9" t="s">
        <v>1012</v>
      </c>
      <c r="F59" s="9" t="s">
        <v>1013</v>
      </c>
      <c r="G59" s="9" t="s">
        <v>1014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3">
      <c r="A60" s="9" t="s">
        <v>22</v>
      </c>
      <c r="B60" s="9" t="s">
        <v>1001</v>
      </c>
      <c r="C60" s="9" t="s">
        <v>1002</v>
      </c>
      <c r="D60" s="9" t="s">
        <v>1015</v>
      </c>
      <c r="E60" s="9" t="s">
        <v>1016</v>
      </c>
      <c r="F60" s="9" t="s">
        <v>1017</v>
      </c>
      <c r="G60" s="9" t="s">
        <v>1018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3">
      <c r="A61" s="9" t="s">
        <v>22</v>
      </c>
      <c r="B61" s="9" t="s">
        <v>1001</v>
      </c>
      <c r="C61" s="9" t="s">
        <v>1002</v>
      </c>
      <c r="D61" s="9" t="s">
        <v>1019</v>
      </c>
      <c r="E61" s="9" t="s">
        <v>1020</v>
      </c>
      <c r="F61" s="9" t="s">
        <v>1021</v>
      </c>
      <c r="G61" s="9" t="s">
        <v>1022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3">
      <c r="A62" s="9" t="s">
        <v>42</v>
      </c>
      <c r="B62" s="9" t="s">
        <v>1023</v>
      </c>
      <c r="C62" s="9" t="s">
        <v>1024</v>
      </c>
      <c r="D62" s="9" t="s">
        <v>1025</v>
      </c>
      <c r="E62" s="9" t="s">
        <v>1026</v>
      </c>
      <c r="F62" s="9" t="s">
        <v>1027</v>
      </c>
      <c r="G62" s="9" t="s">
        <v>1028</v>
      </c>
      <c r="L62" s="20">
        <f>$I$20*$L$20</f>
        <v>0</v>
      </c>
      <c r="M62" s="20">
        <f>$I$20*$M$20</f>
        <v>0</v>
      </c>
      <c r="N62" s="20">
        <f>$I$20*$N$20</f>
        <v>0</v>
      </c>
      <c r="O62" s="20">
        <f>$I$20*$O$20</f>
        <v>0</v>
      </c>
      <c r="P62" s="20">
        <f>$I$20*$P$20</f>
        <v>0</v>
      </c>
      <c r="Q62" s="20">
        <f>$I$20*$Q$20</f>
        <v>0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0</v>
      </c>
      <c r="X62" s="20">
        <f>$I$20*$X$20</f>
        <v>0</v>
      </c>
      <c r="Y62" s="20">
        <f>$I$20*$Y$20</f>
        <v>0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0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3">
      <c r="A63" s="9" t="s">
        <v>42</v>
      </c>
      <c r="B63" s="9" t="s">
        <v>1023</v>
      </c>
      <c r="C63" s="9" t="s">
        <v>1024</v>
      </c>
      <c r="D63" s="9" t="s">
        <v>1025</v>
      </c>
      <c r="E63" s="9" t="s">
        <v>1026</v>
      </c>
      <c r="F63" s="9" t="s">
        <v>1027</v>
      </c>
      <c r="G63" s="9" t="s">
        <v>1029</v>
      </c>
      <c r="L63" s="20">
        <f>$I$21*$L$21</f>
        <v>0</v>
      </c>
      <c r="M63" s="20">
        <f>$I$21*$M$21</f>
        <v>0</v>
      </c>
      <c r="N63" s="20">
        <f>$I$21*$N$21</f>
        <v>0</v>
      </c>
      <c r="O63" s="20">
        <f>$I$21*$O$21</f>
        <v>0</v>
      </c>
      <c r="P63" s="20">
        <f>$I$21*$P$21</f>
        <v>0</v>
      </c>
      <c r="Q63" s="20">
        <f>$I$21*$Q$21</f>
        <v>0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0</v>
      </c>
      <c r="X63" s="20">
        <f>$I$21*$X$21</f>
        <v>0</v>
      </c>
      <c r="Y63" s="20">
        <f>$I$21*$Y$21</f>
        <v>0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0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3">
      <c r="A64" s="9" t="s">
        <v>42</v>
      </c>
      <c r="B64" s="9" t="s">
        <v>1023</v>
      </c>
      <c r="C64" s="9" t="s">
        <v>1024</v>
      </c>
      <c r="D64" s="9" t="s">
        <v>1025</v>
      </c>
      <c r="E64" s="9" t="s">
        <v>1026</v>
      </c>
      <c r="F64" s="9" t="s">
        <v>1027</v>
      </c>
      <c r="G64" s="9" t="s">
        <v>1030</v>
      </c>
      <c r="L64" s="20">
        <f>$I$22*$L$22</f>
        <v>0</v>
      </c>
      <c r="M64" s="20">
        <f>$I$22*$M$22</f>
        <v>0</v>
      </c>
      <c r="N64" s="20">
        <f>$I$22*$N$22</f>
        <v>0</v>
      </c>
      <c r="O64" s="20">
        <f>$I$22*$O$22</f>
        <v>0</v>
      </c>
      <c r="P64" s="20">
        <f>$I$22*$P$22</f>
        <v>0</v>
      </c>
      <c r="Q64" s="20">
        <f>$I$22*$Q$22</f>
        <v>0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0</v>
      </c>
      <c r="X64" s="20">
        <f>$I$22*$X$22</f>
        <v>0</v>
      </c>
      <c r="Y64" s="20">
        <f>$I$22*$Y$22</f>
        <v>0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0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3">
      <c r="A65" s="9" t="s">
        <v>42</v>
      </c>
      <c r="B65" s="9" t="s">
        <v>1031</v>
      </c>
      <c r="C65" s="9" t="s">
        <v>1032</v>
      </c>
      <c r="D65" s="9" t="s">
        <v>1033</v>
      </c>
      <c r="E65" s="9" t="s">
        <v>1034</v>
      </c>
      <c r="F65" s="9" t="s">
        <v>1035</v>
      </c>
      <c r="G65" s="9" t="s">
        <v>1036</v>
      </c>
      <c r="L65" s="20">
        <f>$I$23*$L$23</f>
        <v>0</v>
      </c>
      <c r="M65" s="20">
        <f>$I$23*$M$23</f>
        <v>0</v>
      </c>
      <c r="N65" s="20">
        <f>$I$23*$N$23</f>
        <v>0</v>
      </c>
      <c r="O65" s="20">
        <f>$I$23*$O$23</f>
        <v>0</v>
      </c>
      <c r="P65" s="20">
        <f>$I$23*$P$23</f>
        <v>0</v>
      </c>
      <c r="Q65" s="20">
        <f>$I$23*$Q$23</f>
        <v>38272.010829881059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-1036.9491229966809</v>
      </c>
      <c r="V65" s="20">
        <f>$I$23*$V$23</f>
        <v>0</v>
      </c>
      <c r="X65" s="20">
        <f>$I$23*$X$23</f>
        <v>0</v>
      </c>
      <c r="Y65" s="20">
        <f>$I$23*$Y$23</f>
        <v>0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100814.44257330746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3">
      <c r="A66" s="9" t="s">
        <v>42</v>
      </c>
      <c r="B66" s="9" t="s">
        <v>1023</v>
      </c>
      <c r="C66" s="9" t="s">
        <v>1024</v>
      </c>
      <c r="D66" s="9" t="s">
        <v>1037</v>
      </c>
      <c r="E66" s="9" t="s">
        <v>1038</v>
      </c>
      <c r="F66" s="9" t="s">
        <v>1039</v>
      </c>
      <c r="G66" s="9" t="s">
        <v>1040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3">
      <c r="A67" s="9" t="s">
        <v>42</v>
      </c>
      <c r="B67" s="9" t="s">
        <v>1023</v>
      </c>
      <c r="C67" s="9" t="s">
        <v>1024</v>
      </c>
      <c r="D67" s="9" t="s">
        <v>1037</v>
      </c>
      <c r="E67" s="9" t="s">
        <v>1038</v>
      </c>
      <c r="F67" s="9" t="s">
        <v>1039</v>
      </c>
      <c r="G67" s="9" t="s">
        <v>1041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3">
      <c r="A68" s="9" t="s">
        <v>42</v>
      </c>
      <c r="B68" s="9" t="s">
        <v>1023</v>
      </c>
      <c r="C68" s="9" t="s">
        <v>1024</v>
      </c>
      <c r="D68" s="9" t="s">
        <v>1037</v>
      </c>
      <c r="E68" s="9" t="s">
        <v>1038</v>
      </c>
      <c r="F68" s="9" t="s">
        <v>1039</v>
      </c>
      <c r="G68" s="9" t="s">
        <v>1042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3">
      <c r="A69" s="9" t="s">
        <v>42</v>
      </c>
      <c r="B69" s="9" t="s">
        <v>1031</v>
      </c>
      <c r="C69" s="9" t="s">
        <v>1032</v>
      </c>
      <c r="D69" s="9" t="s">
        <v>1043</v>
      </c>
      <c r="E69" s="9" t="s">
        <v>1044</v>
      </c>
      <c r="F69" s="9" t="s">
        <v>1045</v>
      </c>
      <c r="G69" s="9" t="s">
        <v>1046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3">
      <c r="A70" s="9" t="s">
        <v>42</v>
      </c>
      <c r="B70" s="9" t="s">
        <v>1023</v>
      </c>
      <c r="C70" s="9" t="s">
        <v>1024</v>
      </c>
      <c r="D70" s="9" t="s">
        <v>1047</v>
      </c>
      <c r="E70" s="9" t="s">
        <v>1048</v>
      </c>
      <c r="F70" s="9" t="s">
        <v>1049</v>
      </c>
      <c r="G70" s="9" t="s">
        <v>1050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3">
      <c r="A71" s="9" t="s">
        <v>42</v>
      </c>
      <c r="B71" s="9" t="s">
        <v>1023</v>
      </c>
      <c r="C71" s="9" t="s">
        <v>1024</v>
      </c>
      <c r="D71" s="9" t="s">
        <v>1047</v>
      </c>
      <c r="E71" s="9" t="s">
        <v>1048</v>
      </c>
      <c r="F71" s="9" t="s">
        <v>1049</v>
      </c>
      <c r="G71" s="9" t="s">
        <v>1051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3">
      <c r="A72" s="9" t="s">
        <v>42</v>
      </c>
      <c r="B72" s="9" t="s">
        <v>1023</v>
      </c>
      <c r="C72" s="9" t="s">
        <v>1024</v>
      </c>
      <c r="D72" s="9" t="s">
        <v>1047</v>
      </c>
      <c r="E72" s="9" t="s">
        <v>1048</v>
      </c>
      <c r="F72" s="9" t="s">
        <v>1049</v>
      </c>
      <c r="G72" s="9" t="s">
        <v>1052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3">
      <c r="A73" s="9" t="s">
        <v>42</v>
      </c>
      <c r="B73" s="9" t="s">
        <v>1031</v>
      </c>
      <c r="C73" s="9" t="s">
        <v>1032</v>
      </c>
      <c r="D73" s="9" t="s">
        <v>1053</v>
      </c>
      <c r="E73" s="9" t="s">
        <v>1054</v>
      </c>
      <c r="F73" s="9" t="s">
        <v>1055</v>
      </c>
      <c r="G73" s="9" t="s">
        <v>1056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3">
      <c r="A74" s="9" t="s">
        <v>42</v>
      </c>
      <c r="B74" s="9" t="s">
        <v>1057</v>
      </c>
      <c r="C74" s="9" t="s">
        <v>1058</v>
      </c>
      <c r="D74" s="9" t="s">
        <v>1059</v>
      </c>
      <c r="E74" s="9" t="s">
        <v>1060</v>
      </c>
      <c r="F74" s="9" t="s">
        <v>1061</v>
      </c>
      <c r="G74" s="9" t="s">
        <v>1062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3">
      <c r="A75" s="9" t="s">
        <v>42</v>
      </c>
      <c r="B75" s="9" t="s">
        <v>1057</v>
      </c>
      <c r="C75" s="9" t="s">
        <v>1058</v>
      </c>
      <c r="D75" s="9" t="s">
        <v>1063</v>
      </c>
      <c r="E75" s="9" t="s">
        <v>1064</v>
      </c>
      <c r="F75" s="9" t="s">
        <v>1065</v>
      </c>
      <c r="G75" s="9" t="s">
        <v>1066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3">
      <c r="A76" s="9" t="s">
        <v>42</v>
      </c>
      <c r="B76" s="9" t="s">
        <v>1057</v>
      </c>
      <c r="C76" s="9" t="s">
        <v>1058</v>
      </c>
      <c r="D76" s="9" t="s">
        <v>1067</v>
      </c>
      <c r="E76" s="9" t="s">
        <v>1068</v>
      </c>
      <c r="F76" s="9" t="s">
        <v>1069</v>
      </c>
      <c r="G76" s="9" t="s">
        <v>1070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3">
      <c r="A77" s="9" t="s">
        <v>37</v>
      </c>
      <c r="B77" s="9" t="s">
        <v>1071</v>
      </c>
      <c r="C77" s="9" t="s">
        <v>1072</v>
      </c>
      <c r="D77" s="9" t="s">
        <v>1073</v>
      </c>
      <c r="E77" s="9" t="s">
        <v>1074</v>
      </c>
      <c r="F77" s="9" t="s">
        <v>1075</v>
      </c>
      <c r="G77" s="9" t="s">
        <v>1076</v>
      </c>
      <c r="L77" s="20">
        <f>$I$35*$L$35</f>
        <v>0</v>
      </c>
      <c r="M77" s="20">
        <f>$I$35*$M$35</f>
        <v>0</v>
      </c>
      <c r="N77" s="20">
        <f>$I$35*$N$35</f>
        <v>0</v>
      </c>
      <c r="O77" s="20">
        <f>$I$35*$O$35</f>
        <v>0</v>
      </c>
      <c r="P77" s="20">
        <f>$I$35*$P$35</f>
        <v>0</v>
      </c>
      <c r="Q77" s="20">
        <f>$I$35*$Q$35</f>
        <v>243.51326330975087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-6.5977945593064291</v>
      </c>
      <c r="V77" s="20">
        <f>$I$35*$V$35</f>
        <v>0</v>
      </c>
      <c r="X77" s="20">
        <f>$I$35*$X$35</f>
        <v>0</v>
      </c>
      <c r="Y77" s="20">
        <f>$I$35*$Y$35</f>
        <v>0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677.89802615687051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3">
      <c r="A78" s="9" t="s">
        <v>37</v>
      </c>
      <c r="B78" s="9" t="s">
        <v>1071</v>
      </c>
      <c r="C78" s="9" t="s">
        <v>1072</v>
      </c>
      <c r="D78" s="9" t="s">
        <v>1073</v>
      </c>
      <c r="E78" s="9" t="s">
        <v>1074</v>
      </c>
      <c r="F78" s="9" t="s">
        <v>1075</v>
      </c>
      <c r="G78" s="9" t="s">
        <v>1077</v>
      </c>
      <c r="L78" s="20">
        <f>$I$36*$L$36</f>
        <v>0</v>
      </c>
      <c r="M78" s="20">
        <f>$I$36*$M$36</f>
        <v>0</v>
      </c>
      <c r="N78" s="20">
        <f>$I$36*$N$36</f>
        <v>0</v>
      </c>
      <c r="O78" s="20">
        <f>$I$36*$O$36</f>
        <v>0</v>
      </c>
      <c r="P78" s="20">
        <f>$I$36*$P$36</f>
        <v>0</v>
      </c>
      <c r="Q78" s="20">
        <f>$I$36*$Q$36</f>
        <v>414.66967345441293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-11.23513881027008</v>
      </c>
      <c r="V78" s="20">
        <f>$I$36*$V$36</f>
        <v>0</v>
      </c>
      <c r="X78" s="20">
        <f>$I$36*$X$36</f>
        <v>0</v>
      </c>
      <c r="Y78" s="20">
        <f>$I$36*$Y$36</f>
        <v>0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1154.3673199611073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3">
      <c r="A79" s="9" t="s">
        <v>37</v>
      </c>
      <c r="B79" s="9" t="s">
        <v>1071</v>
      </c>
      <c r="C79" s="9" t="s">
        <v>1072</v>
      </c>
      <c r="D79" s="9" t="s">
        <v>1073</v>
      </c>
      <c r="E79" s="9" t="s">
        <v>1074</v>
      </c>
      <c r="F79" s="9" t="s">
        <v>1075</v>
      </c>
      <c r="G79" s="9" t="s">
        <v>1078</v>
      </c>
      <c r="L79" s="20">
        <f>$I$37*$L$37</f>
        <v>0</v>
      </c>
      <c r="M79" s="20">
        <f>$I$37*$M$37</f>
        <v>0</v>
      </c>
      <c r="N79" s="20">
        <f>$I$37*$N$37</f>
        <v>0</v>
      </c>
      <c r="O79" s="20">
        <f>$I$37*$O$37</f>
        <v>0</v>
      </c>
      <c r="P79" s="20">
        <f>$I$37*$P$37</f>
        <v>0</v>
      </c>
      <c r="Q79" s="20">
        <f>$I$37*$Q$37</f>
        <v>15267.296017833749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-413.65501506032638</v>
      </c>
      <c r="V79" s="20">
        <f>$I$37*$V$37</f>
        <v>0</v>
      </c>
      <c r="X79" s="20">
        <f>$I$37*$X$37</f>
        <v>0</v>
      </c>
      <c r="Y79" s="20">
        <f>$I$37*$Y$37</f>
        <v>0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42501.462526405725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3">
      <c r="A80" s="9" t="s">
        <v>37</v>
      </c>
      <c r="B80" s="9" t="s">
        <v>1079</v>
      </c>
      <c r="C80" s="9" t="s">
        <v>1080</v>
      </c>
      <c r="D80" s="9" t="s">
        <v>1081</v>
      </c>
      <c r="E80" s="9" t="s">
        <v>1082</v>
      </c>
      <c r="F80" s="9" t="s">
        <v>1083</v>
      </c>
      <c r="G80" s="9" t="s">
        <v>1084</v>
      </c>
      <c r="L80" s="20">
        <f>$I$38*$L$38</f>
        <v>0</v>
      </c>
      <c r="M80" s="20">
        <f>$I$38*$M$38</f>
        <v>0</v>
      </c>
      <c r="N80" s="20">
        <f>$I$38*$N$38</f>
        <v>0</v>
      </c>
      <c r="O80" s="20">
        <f>$I$38*$O$38</f>
        <v>0</v>
      </c>
      <c r="P80" s="20">
        <f>$I$38*$P$38</f>
        <v>0</v>
      </c>
      <c r="Q80" s="20">
        <f>$I$38*$Q$38</f>
        <v>1108913.6472220656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-30045.11675849004</v>
      </c>
      <c r="V80" s="20">
        <f>$I$38*$V$38</f>
        <v>0</v>
      </c>
      <c r="X80" s="20">
        <f>$I$38*$X$38</f>
        <v>0</v>
      </c>
      <c r="Y80" s="20">
        <f>$I$38*$Y$38</f>
        <v>0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3087020.2403474315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3">
      <c r="A81" s="9" t="s">
        <v>37</v>
      </c>
      <c r="B81" s="9" t="s">
        <v>1085</v>
      </c>
      <c r="C81" s="9" t="s">
        <v>1086</v>
      </c>
      <c r="D81" s="9" t="s">
        <v>1087</v>
      </c>
      <c r="E81" s="9" t="s">
        <v>1088</v>
      </c>
      <c r="F81" s="9" t="s">
        <v>1089</v>
      </c>
      <c r="G81" s="9" t="s">
        <v>1090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3">
      <c r="A82" s="9" t="s">
        <v>45</v>
      </c>
      <c r="B82" s="9" t="s">
        <v>1091</v>
      </c>
      <c r="C82" s="9" t="s">
        <v>1092</v>
      </c>
      <c r="D82" s="9" t="s">
        <v>1093</v>
      </c>
      <c r="E82" s="9" t="s">
        <v>1094</v>
      </c>
      <c r="F82" s="9" t="s">
        <v>1095</v>
      </c>
      <c r="G82" s="9" t="s">
        <v>1096</v>
      </c>
      <c r="L82" s="20">
        <f>$I$40*$L$40</f>
        <v>0</v>
      </c>
      <c r="M82" s="20">
        <f>$I$40*$M$40</f>
        <v>0</v>
      </c>
      <c r="N82" s="20">
        <f>$I$40*$N$40</f>
        <v>0</v>
      </c>
      <c r="O82" s="20">
        <f>$I$40*$O$40</f>
        <v>0</v>
      </c>
      <c r="P82" s="20">
        <f>$I$40*$P$40</f>
        <v>0</v>
      </c>
      <c r="Q82" s="20">
        <f>$I$40*$Q$40</f>
        <v>0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0</v>
      </c>
      <c r="V82" s="20">
        <f>$I$40*$V$40</f>
        <v>0</v>
      </c>
      <c r="X82" s="20">
        <f>$I$40*$X$40</f>
        <v>0</v>
      </c>
      <c r="Y82" s="20">
        <f>$I$40*$Y$40</f>
        <v>0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0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3">
      <c r="A83" s="9" t="s">
        <v>45</v>
      </c>
      <c r="B83" s="9" t="s">
        <v>1091</v>
      </c>
      <c r="C83" s="9" t="s">
        <v>1092</v>
      </c>
      <c r="D83" s="9" t="s">
        <v>1097</v>
      </c>
      <c r="E83" s="9" t="s">
        <v>1098</v>
      </c>
      <c r="F83" s="9" t="s">
        <v>1099</v>
      </c>
      <c r="G83" s="9" t="s">
        <v>1100</v>
      </c>
      <c r="L83" s="20">
        <f>$I$41*$L$41</f>
        <v>0</v>
      </c>
      <c r="M83" s="20">
        <f>$I$41*$M$41</f>
        <v>0</v>
      </c>
      <c r="N83" s="20">
        <f>$I$41*$N$41</f>
        <v>0</v>
      </c>
      <c r="O83" s="20">
        <f>$I$41*$O$41</f>
        <v>0</v>
      </c>
      <c r="P83" s="20">
        <f>$I$41*$P$41</f>
        <v>0</v>
      </c>
      <c r="Q83" s="20">
        <f>$I$41*$Q$41</f>
        <v>183047.5017394624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-4959.5237427993488</v>
      </c>
      <c r="V83" s="20">
        <f>$I$41*$V$41</f>
        <v>0</v>
      </c>
      <c r="X83" s="20">
        <f>$I$41*$X$41</f>
        <v>0</v>
      </c>
      <c r="Y83" s="20">
        <f>$I$41*$Y$41</f>
        <v>0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509571.99799128604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7E32-2F93-4558-9058-F07D79B60B42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1.88671875" style="14" bestFit="1" customWidth="1"/>
    <col min="3" max="7" width="9.5546875" style="14" bestFit="1" customWidth="1"/>
    <col min="8" max="8" width="7.88671875" style="14" bestFit="1" customWidth="1"/>
    <col min="9" max="9" width="7.6640625" style="14" bestFit="1" customWidth="1"/>
    <col min="10" max="10" width="7" style="14" bestFit="1" customWidth="1"/>
    <col min="11" max="11" width="6.88671875" style="14" bestFit="1" customWidth="1"/>
    <col min="12" max="12" width="9" style="14" bestFit="1" customWidth="1"/>
    <col min="13" max="13" width="9.21875" style="14" bestFit="1" customWidth="1"/>
    <col min="14" max="14" width="9.109375" style="14" bestFit="1" customWidth="1"/>
    <col min="15" max="15" width="6.88671875" style="14" bestFit="1" customWidth="1"/>
    <col min="16" max="16" width="9.21875" style="14" bestFit="1" customWidth="1"/>
    <col min="17" max="17" width="10.6640625" style="14" bestFit="1" customWidth="1"/>
    <col min="18" max="18" width="7.5546875" style="14" bestFit="1" customWidth="1"/>
    <col min="19" max="19" width="6.77734375" style="14" bestFit="1" customWidth="1"/>
    <col min="20" max="20" width="14.44140625" style="14" bestFit="1" customWidth="1"/>
    <col min="21" max="21" width="17.77734375" style="14" bestFit="1" customWidth="1"/>
    <col min="22" max="22" width="18.109375" style="14" bestFit="1" customWidth="1"/>
    <col min="23" max="23" width="5.33203125" style="14" bestFit="1" customWidth="1"/>
    <col min="24" max="24" width="9.88671875" style="14" bestFit="1" customWidth="1"/>
    <col min="25" max="26" width="8.88671875" style="14"/>
    <col min="27" max="27" width="2.5546875" style="14" bestFit="1" customWidth="1"/>
    <col min="28" max="28" width="19.441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457</v>
      </c>
      <c r="B1" s="14" t="s">
        <v>458</v>
      </c>
      <c r="C1" s="14" t="s">
        <v>459</v>
      </c>
      <c r="D1" s="14" t="s">
        <v>460</v>
      </c>
      <c r="E1" s="14" t="s">
        <v>461</v>
      </c>
      <c r="F1" s="14" t="s">
        <v>15</v>
      </c>
      <c r="G1" s="14" t="s">
        <v>463</v>
      </c>
      <c r="I1" s="14" t="s">
        <v>1108</v>
      </c>
      <c r="AA1" s="14" t="s">
        <v>39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39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477</v>
      </c>
      <c r="AB2" s="14" t="s">
        <v>470</v>
      </c>
      <c r="AC2" s="14" t="s">
        <v>24</v>
      </c>
      <c r="AD2" s="14" t="s">
        <v>24</v>
      </c>
      <c r="AE2" s="14" t="s">
        <v>475</v>
      </c>
      <c r="AG2" s="14" t="s">
        <v>472</v>
      </c>
    </row>
    <row r="3" spans="1:33" x14ac:dyDescent="0.2">
      <c r="AA3" s="14" t="s">
        <v>22</v>
      </c>
      <c r="AB3" s="14" t="s">
        <v>476</v>
      </c>
      <c r="AC3" s="14" t="s">
        <v>43</v>
      </c>
      <c r="AD3" s="14" t="s">
        <v>29</v>
      </c>
      <c r="AE3" s="14" t="s">
        <v>478</v>
      </c>
      <c r="AG3" s="14" t="s">
        <v>473</v>
      </c>
    </row>
    <row r="4" spans="1:33" x14ac:dyDescent="0.2">
      <c r="AA4" s="14" t="s">
        <v>42</v>
      </c>
      <c r="AB4" s="14" t="s">
        <v>40</v>
      </c>
      <c r="AC4" s="14" t="s">
        <v>46</v>
      </c>
      <c r="AD4" s="14" t="s">
        <v>30</v>
      </c>
      <c r="AE4" s="14" t="s">
        <v>479</v>
      </c>
      <c r="AG4" s="14" t="s">
        <v>474</v>
      </c>
    </row>
    <row r="5" spans="1:33" x14ac:dyDescent="0.2">
      <c r="A5" s="14" t="s">
        <v>1101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530</v>
      </c>
      <c r="AA5" s="14" t="s">
        <v>37</v>
      </c>
      <c r="AB5" s="14" t="s">
        <v>33</v>
      </c>
      <c r="AD5" s="14" t="s">
        <v>31</v>
      </c>
      <c r="AG5" s="14" t="s">
        <v>9</v>
      </c>
    </row>
    <row r="6" spans="1:33" x14ac:dyDescent="0.2">
      <c r="A6" s="14" t="s">
        <v>1102</v>
      </c>
      <c r="B6" s="39">
        <f>SUM(TUSD!$AI$57:'TUSD'!$AI$103)</f>
        <v>0</v>
      </c>
      <c r="C6" s="39">
        <f>SUM(TUSD!$AJ$57:'TUSD'!$AJ$103)</f>
        <v>76805.465166041671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3104503.9237185637</v>
      </c>
      <c r="H6" s="39">
        <f>SUM(TUSD!$AO$57:'TUSD'!$AO$103)</f>
        <v>502154.42832838133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7986772.0494599352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13503524.487427833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1398849.5645808077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26572609.918681566</v>
      </c>
      <c r="AA6" s="14" t="s">
        <v>45</v>
      </c>
      <c r="AB6" s="14" t="s">
        <v>23</v>
      </c>
      <c r="AD6" s="14" t="s">
        <v>32</v>
      </c>
      <c r="AG6" s="14" t="s">
        <v>468</v>
      </c>
    </row>
    <row r="7" spans="1:33" x14ac:dyDescent="0.2">
      <c r="A7" s="14" t="s">
        <v>1103</v>
      </c>
      <c r="B7" s="39">
        <f>SUM(TUSD!$L$57:'TUSD'!$L$103)</f>
        <v>0</v>
      </c>
      <c r="C7" s="39">
        <f>SUM(TUSD!$M$57:'TUSD'!$M$103)</f>
        <v>96413.500027724964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4997919.3536532447</v>
      </c>
      <c r="H7" s="39">
        <f>SUM(TUSD!$R$57:'TUSD'!$R$103)</f>
        <v>816463.14866716496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8112448.1327837603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23250130.213383462</v>
      </c>
      <c r="R7" s="39">
        <f ca="1">SUM(TUSD!$AB$57:'TUSD'!$AB$103)</f>
        <v>-423044.30141800974</v>
      </c>
      <c r="S7" s="39">
        <f ca="1">SUM(TUSD!$AC$57:'TUSD'!$AC$103)</f>
        <v>0</v>
      </c>
      <c r="T7" s="39">
        <f>SUM(TUSD!$AD$57:'TUSD'!$AD$103)</f>
        <v>402311.40558401111</v>
      </c>
      <c r="U7" s="39">
        <f>SUM(TUSD!$AE$57:'TUSD'!$AE$103)</f>
        <v>0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37252641.452681363</v>
      </c>
      <c r="AB7" s="14" t="s">
        <v>483</v>
      </c>
      <c r="AD7" s="14" t="s">
        <v>484</v>
      </c>
      <c r="AG7" s="14" t="s">
        <v>469</v>
      </c>
    </row>
    <row r="8" spans="1:33" x14ac:dyDescent="0.2">
      <c r="A8" s="14" t="s">
        <v>1106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8571.703572883549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557436.86361642438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100930.58439283793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1505616.3507669282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1672955.2362512667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122854.38400066021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3968365.1226010011</v>
      </c>
      <c r="AD8" s="14" t="s">
        <v>485</v>
      </c>
      <c r="AG8" s="14" t="s">
        <v>480</v>
      </c>
    </row>
    <row r="9" spans="1:33" x14ac:dyDescent="0.2">
      <c r="A9" s="14" t="s">
        <v>1107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11938.59246637974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871469.58778211742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164032.75281337267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1528630.2591987639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2879083.9152162769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-61219.729310413255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35315.462502530616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5429250.8406690285</v>
      </c>
      <c r="AD9" s="14" t="s">
        <v>486</v>
      </c>
    </row>
    <row r="10" spans="1:33" x14ac:dyDescent="0.2">
      <c r="A10" s="14" t="s">
        <v>1104</v>
      </c>
      <c r="B10" s="39">
        <f>SUMIF(TUSD!$A$57:'TUSD'!$A$103,$A$2,TUSD!$AI$57:'TUSD'!$AI$103)</f>
        <v>0</v>
      </c>
      <c r="C10" s="39">
        <f>SUMIF(TUSD!$A$57:'TUSD'!$A$103,$A$2,TUSD!$AJ$57:'TUSD'!$AJ$103)</f>
        <v>8571.703572883549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557436.86361642438</v>
      </c>
      <c r="H10" s="39">
        <f>SUMIF(TUSD!$A$57:'TUSD'!$A$103,$A$2,TUSD!$AO$57:'TUSD'!$AO$103)</f>
        <v>100930.58439283793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1505616.3507669282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1672955.2362512667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122854.38400066021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3968365.1226010011</v>
      </c>
      <c r="AD10" s="14" t="s">
        <v>47</v>
      </c>
    </row>
    <row r="11" spans="1:33" x14ac:dyDescent="0.2">
      <c r="A11" s="14" t="s">
        <v>1105</v>
      </c>
      <c r="B11" s="39">
        <f>SUMIF(TUSD!$A$57:'TUSD'!$A$103,$A$2,TUSD!$L$57:'TUSD'!$L$103)</f>
        <v>0</v>
      </c>
      <c r="C11" s="39">
        <f>SUMIF(TUSD!$A$57:'TUSD'!$A$103,$A$2,TUSD!$M$57:'TUSD'!$M$103)</f>
        <v>11938.59246637974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871469.58778211742</v>
      </c>
      <c r="H11" s="39">
        <f>SUMIF(TUSD!$A$57:'TUSD'!$A$103,$A$2,TUSD!$R$57:'TUSD'!$R$103)</f>
        <v>164032.75281337267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1528630.2591987639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2879083.9152162769</v>
      </c>
      <c r="R11" s="39">
        <f ca="1">SUMIF(TUSD!$A$57:'TUSD'!$A$103,$A$2,TUSD!$AB$57:'TUSD'!$AB$103)</f>
        <v>-61219.729310413255</v>
      </c>
      <c r="S11" s="39">
        <f ca="1">SUMIF(TUSD!$A$57:'TUSD'!$A$103,$A$2,TUSD!$AC$57:'TUSD'!$AC$103)</f>
        <v>0</v>
      </c>
      <c r="T11" s="39">
        <f>SUMIF(TUSD!$A$57:'TUSD'!$A$103,$A$2,TUSD!$AD$57:'TUSD'!$AD$103)</f>
        <v>35315.462502530616</v>
      </c>
      <c r="U11" s="39">
        <f>SUMIF(TUSD!$A$57:'TUSD'!$A$103,$A$2,TUSD!$AE$57:'TUSD'!$AE$103)</f>
        <v>0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5429250.8406690285</v>
      </c>
    </row>
    <row r="13" spans="1:33" x14ac:dyDescent="0.2">
      <c r="A13" s="14" t="s">
        <v>1109</v>
      </c>
      <c r="B13" s="58">
        <f t="shared" ref="B13:X13" si="1">IF($X$6&lt;&gt;0,(B$7-B$6)/$X$6,0)</f>
        <v>0</v>
      </c>
      <c r="C13" s="58">
        <f t="shared" si="1"/>
        <v>7.3790398917112352E-4</v>
      </c>
      <c r="D13" s="58">
        <f t="shared" ca="1" si="1"/>
        <v>0</v>
      </c>
      <c r="E13" s="58">
        <f t="shared" si="1"/>
        <v>0</v>
      </c>
      <c r="F13" s="58">
        <f t="shared" si="1"/>
        <v>0</v>
      </c>
      <c r="G13" s="58">
        <f t="shared" si="1"/>
        <v>7.1254402022570509E-2</v>
      </c>
      <c r="H13" s="58">
        <f t="shared" si="1"/>
        <v>1.1828296930585375E-2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4.7295347994955527E-3</v>
      </c>
      <c r="O13" s="58">
        <f t="shared" si="1"/>
        <v>0</v>
      </c>
      <c r="P13" s="58">
        <f t="shared" si="1"/>
        <v>0</v>
      </c>
      <c r="Q13" s="58">
        <f t="shared" si="1"/>
        <v>0.36679143508230977</v>
      </c>
      <c r="R13" s="58">
        <f t="shared" ca="1" si="1"/>
        <v>-1.5920314290264477E-2</v>
      </c>
      <c r="S13" s="58">
        <f t="shared" ca="1" si="1"/>
        <v>0</v>
      </c>
      <c r="T13" s="58">
        <f t="shared" si="1"/>
        <v>-3.7502456930141134E-2</v>
      </c>
      <c r="U13" s="58">
        <f t="shared" si="1"/>
        <v>0</v>
      </c>
      <c r="V13" s="58">
        <f t="shared" ca="1" si="1"/>
        <v>0</v>
      </c>
      <c r="W13" s="58">
        <f t="shared" ca="1" si="1"/>
        <v>0</v>
      </c>
      <c r="X13" s="58">
        <f t="shared" ca="1" si="1"/>
        <v>0.40191880160372673</v>
      </c>
    </row>
    <row r="14" spans="1:33" x14ac:dyDescent="0.2">
      <c r="A14" s="14" t="s">
        <v>1110</v>
      </c>
      <c r="B14" s="58">
        <f t="shared" ref="B14:X14" si="2">IF($X$10&lt;&gt;0,(B$9-B$8)/$X$10,0)</f>
        <v>0</v>
      </c>
      <c r="C14" s="58">
        <f t="shared" si="2"/>
        <v>8.4843223581438428E-4</v>
      </c>
      <c r="D14" s="58">
        <f t="shared" ca="1" si="2"/>
        <v>0</v>
      </c>
      <c r="E14" s="58">
        <f t="shared" si="2"/>
        <v>0</v>
      </c>
      <c r="F14" s="58">
        <f t="shared" si="2"/>
        <v>0</v>
      </c>
      <c r="G14" s="58">
        <f t="shared" si="2"/>
        <v>7.9134029874717113E-2</v>
      </c>
      <c r="H14" s="58">
        <f t="shared" si="2"/>
        <v>1.5901301032293983E-2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</v>
      </c>
      <c r="N14" s="58">
        <f t="shared" si="2"/>
        <v>5.7993424800466976E-3</v>
      </c>
      <c r="O14" s="58">
        <f t="shared" si="2"/>
        <v>0</v>
      </c>
      <c r="P14" s="58">
        <f t="shared" si="2"/>
        <v>0</v>
      </c>
      <c r="Q14" s="58">
        <f t="shared" si="2"/>
        <v>0.30393591358208305</v>
      </c>
      <c r="R14" s="58">
        <f t="shared" ca="1" si="2"/>
        <v>-1.5426939663830068E-2</v>
      </c>
      <c r="S14" s="58">
        <f t="shared" ca="1" si="2"/>
        <v>0</v>
      </c>
      <c r="T14" s="58">
        <f t="shared" si="2"/>
        <v>-2.2059190319854847E-2</v>
      </c>
      <c r="U14" s="58">
        <f t="shared" si="2"/>
        <v>0</v>
      </c>
      <c r="V14" s="58">
        <f t="shared" ca="1" si="2"/>
        <v>0</v>
      </c>
      <c r="W14" s="58">
        <f t="shared" ca="1" si="2"/>
        <v>0</v>
      </c>
      <c r="X14" s="58">
        <f t="shared" ca="1" si="2"/>
        <v>0.36813288922127041</v>
      </c>
    </row>
    <row r="15" spans="1:33" x14ac:dyDescent="0.2">
      <c r="A15" s="14" t="s">
        <v>1111</v>
      </c>
      <c r="B15" s="58">
        <f t="shared" ref="B15:X15" si="3">IF($X$8&lt;&gt;0,(B$9-B$8)/$X$8,0)</f>
        <v>0</v>
      </c>
      <c r="C15" s="58">
        <f t="shared" si="3"/>
        <v>8.4843223581438428E-4</v>
      </c>
      <c r="D15" s="58">
        <f t="shared" ca="1" si="3"/>
        <v>0</v>
      </c>
      <c r="E15" s="58">
        <f t="shared" si="3"/>
        <v>0</v>
      </c>
      <c r="F15" s="58">
        <f t="shared" si="3"/>
        <v>0</v>
      </c>
      <c r="G15" s="58">
        <f t="shared" si="3"/>
        <v>7.9134029874717113E-2</v>
      </c>
      <c r="H15" s="58">
        <f t="shared" si="3"/>
        <v>1.5901301032293983E-2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</v>
      </c>
      <c r="N15" s="58">
        <f t="shared" si="3"/>
        <v>5.7993424800466976E-3</v>
      </c>
      <c r="O15" s="58">
        <f t="shared" si="3"/>
        <v>0</v>
      </c>
      <c r="P15" s="58">
        <f t="shared" si="3"/>
        <v>0</v>
      </c>
      <c r="Q15" s="58">
        <f t="shared" si="3"/>
        <v>0.30393591358208305</v>
      </c>
      <c r="R15" s="58">
        <f t="shared" ca="1" si="3"/>
        <v>-1.5426939663830068E-2</v>
      </c>
      <c r="S15" s="58">
        <f t="shared" ca="1" si="3"/>
        <v>0</v>
      </c>
      <c r="T15" s="58">
        <f t="shared" si="3"/>
        <v>-2.2059190319854847E-2</v>
      </c>
      <c r="U15" s="58">
        <f t="shared" si="3"/>
        <v>0</v>
      </c>
      <c r="V15" s="58">
        <f t="shared" ca="1" si="3"/>
        <v>0</v>
      </c>
      <c r="W15" s="58">
        <f t="shared" ca="1" si="3"/>
        <v>0</v>
      </c>
      <c r="X15" s="58">
        <f t="shared" ca="1" si="3"/>
        <v>0.36813288922127041</v>
      </c>
    </row>
  </sheetData>
  <dataValidations count="6">
    <dataValidation type="list" allowBlank="1" showInputMessage="1" showErrorMessage="1" error="Deve-se selecionar grupo válido" sqref="A2" xr:uid="{3051F03E-1295-4B38-BA71-E6DF017D6696}">
      <formula1>AA1:AA6</formula1>
    </dataValidation>
    <dataValidation type="list" allowBlank="1" showInputMessage="1" showErrorMessage="1" error="Deve-se selecionar grupo válido" sqref="B2" xr:uid="{A6F80AAD-F8BA-4592-8F73-606D8FC0A2DD}">
      <formula1>AB1:AB7</formula1>
    </dataValidation>
    <dataValidation type="list" allowBlank="1" showInputMessage="1" showErrorMessage="1" error="Deve-se selecionar grupo válido" sqref="C2 E2" xr:uid="{911D8D2A-A74A-451D-A673-230DB34126CB}">
      <formula1>AC1:AC4</formula1>
    </dataValidation>
    <dataValidation type="list" allowBlank="1" showInputMessage="1" showErrorMessage="1" error="Deve-se selecionar grupo válido" sqref="D2" xr:uid="{CA71B58C-74EB-4461-9910-E0397F709D40}">
      <formula1>AD1:AD10</formula1>
    </dataValidation>
    <dataValidation type="list" allowBlank="1" showInputMessage="1" showErrorMessage="1" error="Deve-se selecionar grupo válido" sqref="F2" xr:uid="{9895E162-CA9F-4194-A5B6-493BFD151F2B}">
      <formula1>AF1:AF1</formula1>
    </dataValidation>
    <dataValidation type="list" allowBlank="1" showInputMessage="1" showErrorMessage="1" error="Deve-se selecionar grupo válido" sqref="G2" xr:uid="{57E4C0DF-4843-4D6C-BECF-7F406AED6ADE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7C3-4737-4395-A372-FA74329DD734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0.21875" style="14" bestFit="1" customWidth="1"/>
    <col min="3" max="4" width="9.5546875" style="14" bestFit="1" customWidth="1"/>
    <col min="5" max="5" width="9.88671875" style="14" bestFit="1" customWidth="1"/>
    <col min="6" max="6" width="9.5546875" style="14" bestFit="1" customWidth="1"/>
    <col min="7" max="7" width="14.77734375" style="14" bestFit="1" customWidth="1"/>
    <col min="8" max="8" width="5.33203125" style="14" bestFit="1" customWidth="1"/>
    <col min="9" max="9" width="9.21875" style="14" bestFit="1" customWidth="1"/>
    <col min="10" max="10" width="6.109375" style="14" bestFit="1" customWidth="1"/>
    <col min="11" max="11" width="7.5546875" style="14" bestFit="1" customWidth="1"/>
    <col min="12" max="12" width="10.6640625" style="14" bestFit="1" customWidth="1"/>
    <col min="13" max="13" width="9.109375" style="14" bestFit="1" customWidth="1"/>
    <col min="14" max="26" width="8.88671875" style="14"/>
    <col min="27" max="27" width="2.5546875" style="14" bestFit="1" customWidth="1"/>
    <col min="28" max="28" width="24.66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457</v>
      </c>
      <c r="B1" s="14" t="s">
        <v>458</v>
      </c>
      <c r="C1" s="14" t="s">
        <v>459</v>
      </c>
      <c r="D1" s="14" t="s">
        <v>460</v>
      </c>
      <c r="E1" s="14" t="s">
        <v>461</v>
      </c>
      <c r="F1" s="14" t="s">
        <v>15</v>
      </c>
      <c r="G1" s="14" t="s">
        <v>463</v>
      </c>
      <c r="I1" s="14" t="s">
        <v>1108</v>
      </c>
      <c r="AA1" s="14" t="s">
        <v>39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39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466</v>
      </c>
      <c r="AC2" s="14" t="s">
        <v>24</v>
      </c>
      <c r="AD2" s="14" t="s">
        <v>24</v>
      </c>
      <c r="AG2" s="14" t="s">
        <v>468</v>
      </c>
    </row>
    <row r="3" spans="1:33" x14ac:dyDescent="0.2">
      <c r="AA3" s="14" t="s">
        <v>42</v>
      </c>
      <c r="AB3" s="14" t="s">
        <v>481</v>
      </c>
      <c r="AC3" s="14" t="s">
        <v>43</v>
      </c>
      <c r="AD3" s="14" t="s">
        <v>29</v>
      </c>
      <c r="AG3" s="14" t="s">
        <v>469</v>
      </c>
    </row>
    <row r="4" spans="1:33" x14ac:dyDescent="0.2">
      <c r="AA4" s="14" t="s">
        <v>37</v>
      </c>
      <c r="AB4" s="14" t="s">
        <v>482</v>
      </c>
      <c r="AC4" s="14" t="s">
        <v>46</v>
      </c>
      <c r="AD4" s="14" t="s">
        <v>30</v>
      </c>
      <c r="AG4" s="14" t="s">
        <v>480</v>
      </c>
    </row>
    <row r="5" spans="1:33" x14ac:dyDescent="0.2">
      <c r="A5" s="14" t="s">
        <v>1101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530</v>
      </c>
      <c r="AA5" s="14" t="s">
        <v>45</v>
      </c>
      <c r="AD5" s="14" t="s">
        <v>31</v>
      </c>
      <c r="AG5" s="14" t="s">
        <v>474</v>
      </c>
    </row>
    <row r="6" spans="1:33" x14ac:dyDescent="0.2">
      <c r="A6" s="14" t="s">
        <v>1102</v>
      </c>
      <c r="B6" s="39">
        <f>SUM(TE!$X$47:'TE'!$X$83)</f>
        <v>0</v>
      </c>
      <c r="C6" s="39">
        <f>SUM(TE!$Y$47:'TE'!$Y$83)</f>
        <v>0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12352629.322546016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12352629.322546016</v>
      </c>
      <c r="AD6" s="14" t="s">
        <v>32</v>
      </c>
    </row>
    <row r="7" spans="1:33" x14ac:dyDescent="0.2">
      <c r="A7" s="14" t="s">
        <v>1103</v>
      </c>
      <c r="B7" s="39">
        <f>SUM(TE!$L$47:'TE'!$L$83)</f>
        <v>0</v>
      </c>
      <c r="C7" s="39">
        <f>SUM(TE!$M$47:'TE'!$M$83)</f>
        <v>0</v>
      </c>
      <c r="D7" s="39">
        <f>SUM(TE!$N$47:'TE'!$N$83)</f>
        <v>0</v>
      </c>
      <c r="E7" s="39">
        <f>SUM(TE!$O$47:'TE'!$O$83)</f>
        <v>0</v>
      </c>
      <c r="F7" s="39">
        <f>SUM(TE!$P$47:'TE'!$P$83)</f>
        <v>0</v>
      </c>
      <c r="G7" s="39">
        <f>SUM(TE!$Q$47:'TE'!$Q$83)</f>
        <v>4439346.0776818171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-120280.48493174042</v>
      </c>
      <c r="L7" s="39">
        <f>SUM(TE!$V$47:'TE'!$V$83)</f>
        <v>0</v>
      </c>
      <c r="M7" s="39">
        <f t="shared" si="0"/>
        <v>4319065.5927500771</v>
      </c>
      <c r="AD7" s="14" t="s">
        <v>484</v>
      </c>
    </row>
    <row r="8" spans="1:33" x14ac:dyDescent="0.2">
      <c r="A8" s="14" t="s">
        <v>1106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1884926.356390785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1884926.356390785</v>
      </c>
      <c r="AD8" s="14" t="s">
        <v>485</v>
      </c>
    </row>
    <row r="9" spans="1:33" x14ac:dyDescent="0.2">
      <c r="A9" s="14" t="s">
        <v>1107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677099.72655542381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-18345.468461373792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39">
        <f t="shared" si="0"/>
        <v>658754.25809404999</v>
      </c>
      <c r="AD9" s="14" t="s">
        <v>486</v>
      </c>
    </row>
    <row r="10" spans="1:33" x14ac:dyDescent="0.2">
      <c r="A10" s="14" t="s">
        <v>1104</v>
      </c>
      <c r="B10" s="39">
        <f>SUMIF(TE!$A$47:'TE'!$A$83,$A$2,TE!$X$47:'TE'!$X$83)</f>
        <v>0</v>
      </c>
      <c r="C10" s="39">
        <f>SUMIF(TE!$A$47:'TE'!$A$83,$A$2,TE!$Y$47:'TE'!$Y$83)</f>
        <v>0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1884926.356390785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1884926.356390785</v>
      </c>
      <c r="AD10" s="14" t="s">
        <v>47</v>
      </c>
    </row>
    <row r="11" spans="1:33" x14ac:dyDescent="0.2">
      <c r="A11" s="14" t="s">
        <v>1105</v>
      </c>
      <c r="B11" s="39">
        <f>SUMIF(TE!$A$47:'TE'!$A$83,$A$2,TE!$L$47:'TE'!$L$83)</f>
        <v>0</v>
      </c>
      <c r="C11" s="39">
        <f>SUMIF(TE!$A$47:'TE'!$A$83,$A$2,TE!$M$47:'TE'!$M$83)</f>
        <v>0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0</v>
      </c>
      <c r="G11" s="39">
        <f>SUMIF(TE!$A$47:'TE'!$A$83,$A$2,TE!$Q$47:'TE'!$Q$83)</f>
        <v>677099.72655542381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-18345.468461373792</v>
      </c>
      <c r="L11" s="39">
        <f>SUMIF(TE!$A$47:'TE'!$A$83,$A$2,TE!$V$47:'TE'!$V$83)</f>
        <v>0</v>
      </c>
      <c r="M11" s="39">
        <f t="shared" si="0"/>
        <v>658754.25809404999</v>
      </c>
    </row>
    <row r="13" spans="1:33" x14ac:dyDescent="0.2">
      <c r="A13" s="14" t="s">
        <v>1109</v>
      </c>
      <c r="B13" s="58">
        <f t="shared" ref="B13:M13" si="1">IF($M$6&lt;&gt;0,(B$7-B$6)/$M$6,0)</f>
        <v>0</v>
      </c>
      <c r="C13" s="58">
        <f t="shared" si="1"/>
        <v>0</v>
      </c>
      <c r="D13" s="58">
        <f t="shared" si="1"/>
        <v>0</v>
      </c>
      <c r="E13" s="58">
        <f t="shared" si="1"/>
        <v>0</v>
      </c>
      <c r="F13" s="58">
        <f t="shared" si="1"/>
        <v>0</v>
      </c>
      <c r="G13" s="58">
        <f t="shared" si="1"/>
        <v>-0.64061529235892123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-9.7372374569845224E-3</v>
      </c>
      <c r="L13" s="58">
        <f t="shared" si="1"/>
        <v>0</v>
      </c>
      <c r="M13" s="58">
        <f t="shared" si="1"/>
        <v>-0.65035252981590574</v>
      </c>
    </row>
    <row r="14" spans="1:33" x14ac:dyDescent="0.2">
      <c r="A14" s="14" t="s">
        <v>1110</v>
      </c>
      <c r="B14" s="58">
        <f t="shared" ref="B14:M14" si="2">IF($M$10&lt;&gt;0,(B$9-B$8)/$M$10,0)</f>
        <v>0</v>
      </c>
      <c r="C14" s="58">
        <f t="shared" si="2"/>
        <v>0</v>
      </c>
      <c r="D14" s="58">
        <f t="shared" si="2"/>
        <v>0</v>
      </c>
      <c r="E14" s="58">
        <f t="shared" si="2"/>
        <v>0</v>
      </c>
      <c r="F14" s="58">
        <f t="shared" si="2"/>
        <v>0</v>
      </c>
      <c r="G14" s="58">
        <f t="shared" si="2"/>
        <v>-0.64078186701579187</v>
      </c>
      <c r="H14" s="58">
        <f t="shared" si="2"/>
        <v>0</v>
      </c>
      <c r="I14" s="58">
        <f t="shared" si="2"/>
        <v>0</v>
      </c>
      <c r="J14" s="58">
        <f t="shared" si="2"/>
        <v>0</v>
      </c>
      <c r="K14" s="58">
        <f t="shared" si="2"/>
        <v>-9.7327242516260879E-3</v>
      </c>
      <c r="L14" s="58">
        <f t="shared" si="2"/>
        <v>0</v>
      </c>
      <c r="M14" s="58">
        <f t="shared" si="2"/>
        <v>-0.65051459126741806</v>
      </c>
    </row>
    <row r="15" spans="1:33" x14ac:dyDescent="0.2">
      <c r="A15" s="14" t="s">
        <v>1111</v>
      </c>
      <c r="B15" s="58">
        <f t="shared" ref="B15:M15" si="3">IF($M$8&lt;&gt;0,(B$9-B$8)/$M$8,0)</f>
        <v>0</v>
      </c>
      <c r="C15" s="58">
        <f t="shared" si="3"/>
        <v>0</v>
      </c>
      <c r="D15" s="58">
        <f t="shared" si="3"/>
        <v>0</v>
      </c>
      <c r="E15" s="58">
        <f t="shared" si="3"/>
        <v>0</v>
      </c>
      <c r="F15" s="58">
        <f t="shared" si="3"/>
        <v>0</v>
      </c>
      <c r="G15" s="58">
        <f t="shared" si="3"/>
        <v>-0.64078186701579187</v>
      </c>
      <c r="H15" s="58">
        <f t="shared" si="3"/>
        <v>0</v>
      </c>
      <c r="I15" s="58">
        <f t="shared" si="3"/>
        <v>0</v>
      </c>
      <c r="J15" s="58">
        <f t="shared" si="3"/>
        <v>0</v>
      </c>
      <c r="K15" s="58">
        <f t="shared" si="3"/>
        <v>-9.7327242516260879E-3</v>
      </c>
      <c r="L15" s="58">
        <f t="shared" si="3"/>
        <v>0</v>
      </c>
      <c r="M15" s="58">
        <f t="shared" si="3"/>
        <v>-0.65051459126741806</v>
      </c>
    </row>
  </sheetData>
  <dataValidations count="4">
    <dataValidation type="list" allowBlank="1" showInputMessage="1" showErrorMessage="1" sqref="A2 G2" xr:uid="{01663F34-B7A1-42CA-8E14-7548468D9FC5}">
      <formula1>AA1:AA5</formula1>
    </dataValidation>
    <dataValidation type="list" allowBlank="1" showInputMessage="1" showErrorMessage="1" sqref="B2 C2" xr:uid="{42129D81-7E3E-4EBB-9FF8-2887EABB8ADB}">
      <formula1>AB1:AB4</formula1>
    </dataValidation>
    <dataValidation type="list" allowBlank="1" showInputMessage="1" showErrorMessage="1" sqref="D2" xr:uid="{60E86E99-BA3A-4745-86A4-C601753C5C4A}">
      <formula1>AD1:AD10</formula1>
    </dataValidation>
    <dataValidation type="list" allowBlank="1" showInputMessage="1" showErrorMessage="1" sqref="E2 F2" xr:uid="{3300BC4E-E5C3-4B9F-9BD8-D45FA09DECD9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8823-1957-444A-86E3-F4676CDB064C}">
  <dimension ref="B1:U15"/>
  <sheetViews>
    <sheetView showGridLines="0" workbookViewId="0">
      <selection activeCell="U1" sqref="U1"/>
    </sheetView>
  </sheetViews>
  <sheetFormatPr defaultRowHeight="14.4" x14ac:dyDescent="0.3"/>
  <sheetData>
    <row r="1" spans="2:21" x14ac:dyDescent="0.3">
      <c r="B1" s="51" t="s">
        <v>723</v>
      </c>
      <c r="C1" s="51" t="s">
        <v>724</v>
      </c>
      <c r="D1" s="51" t="s">
        <v>725</v>
      </c>
      <c r="E1" s="51" t="s">
        <v>2</v>
      </c>
      <c r="F1" s="51" t="s">
        <v>726</v>
      </c>
      <c r="G1" s="51" t="s">
        <v>635</v>
      </c>
      <c r="H1" s="51" t="s">
        <v>3</v>
      </c>
      <c r="I1" s="51" t="s">
        <v>727</v>
      </c>
      <c r="J1" s="51" t="s">
        <v>5</v>
      </c>
      <c r="K1" s="51" t="s">
        <v>1</v>
      </c>
      <c r="L1" s="51" t="s">
        <v>728</v>
      </c>
      <c r="M1" s="51" t="s">
        <v>729</v>
      </c>
      <c r="N1" s="51" t="s">
        <v>730</v>
      </c>
      <c r="O1" s="51" t="s">
        <v>731</v>
      </c>
      <c r="P1" s="51" t="s">
        <v>732</v>
      </c>
      <c r="Q1" s="51" t="s">
        <v>733</v>
      </c>
      <c r="R1" s="51" t="s">
        <v>734</v>
      </c>
      <c r="S1" s="51" t="s">
        <v>735</v>
      </c>
      <c r="T1" s="51" t="s">
        <v>736</v>
      </c>
      <c r="U1" s="51" t="s">
        <v>737</v>
      </c>
    </row>
    <row r="2" spans="2:21" x14ac:dyDescent="0.3">
      <c r="B2" s="50" t="s">
        <v>706</v>
      </c>
      <c r="C2" s="50">
        <v>8373</v>
      </c>
      <c r="D2" s="50">
        <v>5365</v>
      </c>
      <c r="E2" s="50" t="s">
        <v>23</v>
      </c>
      <c r="F2" s="50">
        <v>1</v>
      </c>
      <c r="G2" s="50" t="s">
        <v>707</v>
      </c>
      <c r="H2" s="50" t="s">
        <v>48</v>
      </c>
      <c r="I2" s="50" t="s">
        <v>49</v>
      </c>
      <c r="J2" s="50" t="s">
        <v>708</v>
      </c>
      <c r="K2" s="50" t="s">
        <v>37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3">
      <c r="B3" s="50" t="s">
        <v>709</v>
      </c>
      <c r="C3" s="50">
        <v>8374</v>
      </c>
      <c r="D3" s="50">
        <v>5365</v>
      </c>
      <c r="E3" s="50" t="s">
        <v>33</v>
      </c>
      <c r="F3" s="50">
        <v>1</v>
      </c>
      <c r="G3" s="50" t="s">
        <v>707</v>
      </c>
      <c r="H3" s="50" t="s">
        <v>48</v>
      </c>
      <c r="I3" s="50" t="s">
        <v>49</v>
      </c>
      <c r="J3" s="50" t="s">
        <v>708</v>
      </c>
      <c r="K3" s="50" t="s">
        <v>37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3">
      <c r="B4" s="50" t="s">
        <v>710</v>
      </c>
      <c r="C4" s="50">
        <v>8375</v>
      </c>
      <c r="D4" s="50">
        <v>5365</v>
      </c>
      <c r="E4" s="50" t="s">
        <v>470</v>
      </c>
      <c r="F4" s="50">
        <v>1</v>
      </c>
      <c r="G4" s="50" t="s">
        <v>707</v>
      </c>
      <c r="H4" s="50" t="s">
        <v>48</v>
      </c>
      <c r="I4" s="50" t="s">
        <v>49</v>
      </c>
      <c r="J4" s="50" t="s">
        <v>708</v>
      </c>
      <c r="K4" s="50" t="s">
        <v>39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3">
      <c r="B5" s="50" t="s">
        <v>711</v>
      </c>
      <c r="C5" s="50">
        <v>8376</v>
      </c>
      <c r="D5" s="50">
        <v>5365</v>
      </c>
      <c r="E5" s="50" t="s">
        <v>40</v>
      </c>
      <c r="F5" s="50">
        <v>1</v>
      </c>
      <c r="G5" s="50" t="s">
        <v>707</v>
      </c>
      <c r="H5" s="50" t="s">
        <v>48</v>
      </c>
      <c r="I5" s="50" t="s">
        <v>49</v>
      </c>
      <c r="J5" s="50" t="s">
        <v>708</v>
      </c>
      <c r="K5" s="50" t="s">
        <v>39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3">
      <c r="B6" s="50" t="s">
        <v>712</v>
      </c>
      <c r="C6" s="50">
        <v>8377</v>
      </c>
      <c r="D6" s="50">
        <v>5365</v>
      </c>
      <c r="E6" s="50" t="s">
        <v>23</v>
      </c>
      <c r="F6" s="50">
        <v>1</v>
      </c>
      <c r="G6" s="50" t="s">
        <v>707</v>
      </c>
      <c r="H6" s="50" t="s">
        <v>48</v>
      </c>
      <c r="I6" s="50" t="s">
        <v>49</v>
      </c>
      <c r="J6" s="50" t="s">
        <v>708</v>
      </c>
      <c r="K6" s="50" t="s">
        <v>39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3">
      <c r="B7" s="50" t="s">
        <v>713</v>
      </c>
      <c r="C7" s="50">
        <v>8378</v>
      </c>
      <c r="D7" s="50">
        <v>5365</v>
      </c>
      <c r="E7" s="50" t="s">
        <v>23</v>
      </c>
      <c r="F7" s="50">
        <v>1</v>
      </c>
      <c r="G7" s="50" t="s">
        <v>707</v>
      </c>
      <c r="H7" s="50" t="s">
        <v>43</v>
      </c>
      <c r="I7" s="50" t="s">
        <v>484</v>
      </c>
      <c r="J7" s="50" t="s">
        <v>708</v>
      </c>
      <c r="K7" s="50" t="s">
        <v>42</v>
      </c>
      <c r="L7" s="50">
        <v>0.3</v>
      </c>
      <c r="M7" s="50">
        <v>0.24</v>
      </c>
      <c r="N7" s="50">
        <v>0.19800000000000001</v>
      </c>
      <c r="O7" s="50">
        <v>0.12</v>
      </c>
      <c r="P7" s="50">
        <v>5.9999999999999984E-2</v>
      </c>
      <c r="Q7" s="50">
        <v>0</v>
      </c>
      <c r="R7" s="50"/>
      <c r="S7" s="50"/>
      <c r="T7" s="50"/>
      <c r="U7" s="50">
        <v>3</v>
      </c>
    </row>
    <row r="8" spans="2:21" x14ac:dyDescent="0.3">
      <c r="B8" s="50" t="s">
        <v>714</v>
      </c>
      <c r="C8" s="50">
        <v>8379</v>
      </c>
      <c r="D8" s="50">
        <v>5365</v>
      </c>
      <c r="E8" s="50" t="s">
        <v>33</v>
      </c>
      <c r="F8" s="50">
        <v>1</v>
      </c>
      <c r="G8" s="50" t="s">
        <v>707</v>
      </c>
      <c r="H8" s="50" t="s">
        <v>43</v>
      </c>
      <c r="I8" s="50" t="s">
        <v>484</v>
      </c>
      <c r="J8" s="50" t="s">
        <v>708</v>
      </c>
      <c r="K8" s="50" t="s">
        <v>42</v>
      </c>
      <c r="L8" s="50">
        <v>0.3</v>
      </c>
      <c r="M8" s="50">
        <v>0.24</v>
      </c>
      <c r="N8" s="50">
        <v>0.19800000000000001</v>
      </c>
      <c r="O8" s="50">
        <v>0.12</v>
      </c>
      <c r="P8" s="50">
        <v>5.9999999999999984E-2</v>
      </c>
      <c r="Q8" s="50">
        <v>0</v>
      </c>
      <c r="R8" s="50"/>
      <c r="S8" s="50"/>
      <c r="T8" s="50"/>
      <c r="U8" s="50">
        <v>3</v>
      </c>
    </row>
    <row r="9" spans="2:21" x14ac:dyDescent="0.3">
      <c r="B9" s="50" t="s">
        <v>715</v>
      </c>
      <c r="C9" s="50">
        <v>8380</v>
      </c>
      <c r="D9" s="50">
        <v>5365</v>
      </c>
      <c r="E9" s="50" t="s">
        <v>23</v>
      </c>
      <c r="F9" s="50">
        <v>1</v>
      </c>
      <c r="G9" s="50" t="s">
        <v>707</v>
      </c>
      <c r="H9" s="50" t="s">
        <v>43</v>
      </c>
      <c r="I9" s="50" t="s">
        <v>25</v>
      </c>
      <c r="J9" s="50" t="s">
        <v>43</v>
      </c>
      <c r="K9" s="50" t="s">
        <v>42</v>
      </c>
      <c r="L9" s="50">
        <v>0.35</v>
      </c>
      <c r="M9" s="50">
        <v>0.28000000000000003</v>
      </c>
      <c r="N9" s="50">
        <v>0.21</v>
      </c>
      <c r="O9" s="50">
        <v>0.14000000000000001</v>
      </c>
      <c r="P9" s="50">
        <v>7.0000000000000007E-2</v>
      </c>
      <c r="Q9" s="50">
        <v>0</v>
      </c>
      <c r="R9" s="50"/>
      <c r="S9" s="50"/>
      <c r="T9" s="50"/>
      <c r="U9" s="50">
        <v>3</v>
      </c>
    </row>
    <row r="10" spans="2:21" x14ac:dyDescent="0.3">
      <c r="B10" s="50" t="s">
        <v>716</v>
      </c>
      <c r="C10" s="50">
        <v>8381</v>
      </c>
      <c r="D10" s="50">
        <v>5365</v>
      </c>
      <c r="E10" s="50" t="s">
        <v>33</v>
      </c>
      <c r="F10" s="50">
        <v>1</v>
      </c>
      <c r="G10" s="50" t="s">
        <v>707</v>
      </c>
      <c r="H10" s="50" t="s">
        <v>43</v>
      </c>
      <c r="I10" s="50" t="s">
        <v>25</v>
      </c>
      <c r="J10" s="50" t="s">
        <v>43</v>
      </c>
      <c r="K10" s="50" t="s">
        <v>42</v>
      </c>
      <c r="L10" s="50">
        <v>0.35</v>
      </c>
      <c r="M10" s="50">
        <v>0.28000000000000003</v>
      </c>
      <c r="N10" s="50">
        <v>0.21</v>
      </c>
      <c r="O10" s="50">
        <v>0.14000000000000001</v>
      </c>
      <c r="P10" s="50">
        <v>7.0000000000000007E-2</v>
      </c>
      <c r="Q10" s="50">
        <v>0</v>
      </c>
      <c r="R10" s="50"/>
      <c r="S10" s="50"/>
      <c r="T10" s="50"/>
      <c r="U10" s="50">
        <v>3</v>
      </c>
    </row>
    <row r="11" spans="2:21" x14ac:dyDescent="0.3">
      <c r="B11" s="50" t="s">
        <v>717</v>
      </c>
      <c r="C11" s="50">
        <v>8382</v>
      </c>
      <c r="D11" s="50">
        <v>5365</v>
      </c>
      <c r="E11" s="50" t="s">
        <v>470</v>
      </c>
      <c r="F11" s="50">
        <v>1</v>
      </c>
      <c r="G11" s="50" t="s">
        <v>707</v>
      </c>
      <c r="H11" s="50" t="s">
        <v>43</v>
      </c>
      <c r="I11" s="50" t="s">
        <v>25</v>
      </c>
      <c r="J11" s="50" t="s">
        <v>718</v>
      </c>
      <c r="K11" s="50" t="s">
        <v>39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3">
      <c r="B12" s="50" t="s">
        <v>719</v>
      </c>
      <c r="C12" s="50">
        <v>8383</v>
      </c>
      <c r="D12" s="50">
        <v>5365</v>
      </c>
      <c r="E12" s="50" t="s">
        <v>40</v>
      </c>
      <c r="F12" s="50">
        <v>1</v>
      </c>
      <c r="G12" s="50" t="s">
        <v>707</v>
      </c>
      <c r="H12" s="50" t="s">
        <v>43</v>
      </c>
      <c r="I12" s="50" t="s">
        <v>25</v>
      </c>
      <c r="J12" s="50" t="s">
        <v>718</v>
      </c>
      <c r="K12" s="50" t="s">
        <v>39</v>
      </c>
      <c r="L12" s="50">
        <v>0.1</v>
      </c>
      <c r="M12" s="50">
        <v>0.08</v>
      </c>
      <c r="N12" s="50">
        <v>0.06</v>
      </c>
      <c r="O12" s="50">
        <v>0.04</v>
      </c>
      <c r="P12" s="50">
        <v>0.02</v>
      </c>
      <c r="Q12" s="50">
        <v>0</v>
      </c>
      <c r="R12" s="50"/>
      <c r="S12" s="50"/>
      <c r="T12" s="50"/>
      <c r="U12" s="50">
        <v>3</v>
      </c>
    </row>
    <row r="13" spans="2:21" x14ac:dyDescent="0.3">
      <c r="B13" s="50" t="s">
        <v>720</v>
      </c>
      <c r="C13" s="50">
        <v>8384</v>
      </c>
      <c r="D13" s="50">
        <v>5365</v>
      </c>
      <c r="E13" s="50" t="s">
        <v>23</v>
      </c>
      <c r="F13" s="50">
        <v>1</v>
      </c>
      <c r="G13" s="50" t="s">
        <v>707</v>
      </c>
      <c r="H13" s="50" t="s">
        <v>43</v>
      </c>
      <c r="I13" s="50" t="s">
        <v>25</v>
      </c>
      <c r="J13" s="50" t="s">
        <v>718</v>
      </c>
      <c r="K13" s="50" t="s">
        <v>39</v>
      </c>
      <c r="L13" s="50">
        <v>0.1</v>
      </c>
      <c r="M13" s="50">
        <v>0.08</v>
      </c>
      <c r="N13" s="50">
        <v>0.06</v>
      </c>
      <c r="O13" s="50">
        <v>0.04</v>
      </c>
      <c r="P13" s="50">
        <v>0.02</v>
      </c>
      <c r="Q13" s="50">
        <v>0</v>
      </c>
      <c r="R13" s="50"/>
      <c r="S13" s="50"/>
      <c r="T13" s="50"/>
      <c r="U13" s="50">
        <v>3</v>
      </c>
    </row>
    <row r="14" spans="2:21" x14ac:dyDescent="0.3">
      <c r="B14" s="50" t="s">
        <v>721</v>
      </c>
      <c r="C14" s="50">
        <v>8385</v>
      </c>
      <c r="D14" s="50">
        <v>5365</v>
      </c>
      <c r="E14" s="50" t="s">
        <v>23</v>
      </c>
      <c r="F14" s="50">
        <v>1</v>
      </c>
      <c r="G14" s="50" t="s">
        <v>707</v>
      </c>
      <c r="H14" s="50" t="s">
        <v>43</v>
      </c>
      <c r="I14" s="50" t="s">
        <v>485</v>
      </c>
      <c r="J14" s="50" t="s">
        <v>708</v>
      </c>
      <c r="K14" s="50" t="s">
        <v>42</v>
      </c>
      <c r="L14" s="50">
        <v>0.4</v>
      </c>
      <c r="M14" s="50">
        <v>0.32000000000000006</v>
      </c>
      <c r="N14" s="50">
        <v>0.24</v>
      </c>
      <c r="O14" s="50">
        <v>0.16000000000000003</v>
      </c>
      <c r="P14" s="50">
        <v>7.9999999999999988E-2</v>
      </c>
      <c r="Q14" s="50">
        <v>0</v>
      </c>
      <c r="R14" s="50"/>
      <c r="S14" s="50"/>
      <c r="T14" s="50"/>
      <c r="U14" s="50">
        <v>3</v>
      </c>
    </row>
    <row r="15" spans="2:21" x14ac:dyDescent="0.3">
      <c r="B15" s="50" t="s">
        <v>722</v>
      </c>
      <c r="C15" s="50">
        <v>8386</v>
      </c>
      <c r="D15" s="50">
        <v>5365</v>
      </c>
      <c r="E15" s="50" t="s">
        <v>33</v>
      </c>
      <c r="F15" s="50">
        <v>1</v>
      </c>
      <c r="G15" s="50" t="s">
        <v>707</v>
      </c>
      <c r="H15" s="50" t="s">
        <v>43</v>
      </c>
      <c r="I15" s="50" t="s">
        <v>485</v>
      </c>
      <c r="J15" s="50" t="s">
        <v>708</v>
      </c>
      <c r="K15" s="50" t="s">
        <v>42</v>
      </c>
      <c r="L15" s="50">
        <v>0.4</v>
      </c>
      <c r="M15" s="50">
        <v>0.32000000000000006</v>
      </c>
      <c r="N15" s="50">
        <v>0.24</v>
      </c>
      <c r="O15" s="50">
        <v>0.16000000000000003</v>
      </c>
      <c r="P15" s="50">
        <v>7.9999999999999988E-2</v>
      </c>
      <c r="Q15" s="50">
        <v>0</v>
      </c>
      <c r="R15" s="50"/>
      <c r="S15" s="50"/>
      <c r="T15" s="50"/>
      <c r="U15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7C56-08C6-4CDF-A4A1-CA24F9299DEF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2" t="s">
        <v>1126</v>
      </c>
      <c r="B1" s="72" t="s">
        <v>22</v>
      </c>
      <c r="C1" s="72" t="s">
        <v>1125</v>
      </c>
      <c r="D1" s="72" t="s">
        <v>1124</v>
      </c>
      <c r="E1" s="72" t="s">
        <v>37</v>
      </c>
      <c r="F1" s="72" t="s">
        <v>1123</v>
      </c>
      <c r="G1" s="72" t="s">
        <v>1122</v>
      </c>
      <c r="H1" s="72" t="s">
        <v>628</v>
      </c>
      <c r="I1" s="72" t="s">
        <v>39</v>
      </c>
      <c r="J1" s="72" t="s">
        <v>627</v>
      </c>
      <c r="K1" s="72" t="s">
        <v>626</v>
      </c>
      <c r="L1" s="72" t="s">
        <v>625</v>
      </c>
    </row>
    <row r="2" spans="1:12" x14ac:dyDescent="0.2">
      <c r="A2" s="68" t="s">
        <v>1121</v>
      </c>
      <c r="B2" s="74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593.52066568100804</v>
      </c>
      <c r="C2" s="74">
        <f t="shared" si="0"/>
        <v>552.13529984855359</v>
      </c>
      <c r="D2" s="74">
        <f t="shared" si="0"/>
        <v>546.18770236365003</v>
      </c>
      <c r="E2" s="74">
        <f t="shared" si="0"/>
        <v>593.52066568100804</v>
      </c>
      <c r="F2" s="74">
        <f t="shared" si="0"/>
        <v>326.37441198408663</v>
      </c>
      <c r="G2" s="74">
        <f t="shared" si="0"/>
        <v>356.11239940860474</v>
      </c>
      <c r="H2" s="74">
        <f t="shared" si="0"/>
        <v>0</v>
      </c>
      <c r="I2" s="74">
        <f t="shared" si="0"/>
        <v>725.65543934259517</v>
      </c>
      <c r="J2" s="74">
        <f t="shared" si="0"/>
        <v>0</v>
      </c>
      <c r="K2" s="74">
        <f t="shared" si="0"/>
        <v>0</v>
      </c>
      <c r="L2" s="74">
        <f t="shared" si="0"/>
        <v>0</v>
      </c>
    </row>
    <row r="3" spans="1:12" ht="10.8" thickBot="1" x14ac:dyDescent="0.25">
      <c r="A3" s="66" t="s">
        <v>1120</v>
      </c>
      <c r="B3" s="73">
        <v>23.95</v>
      </c>
      <c r="C3" s="73">
        <v>22.28</v>
      </c>
      <c r="D3" s="73">
        <v>22.04</v>
      </c>
      <c r="E3" s="73">
        <v>23.95</v>
      </c>
      <c r="F3" s="73">
        <v>13.17</v>
      </c>
      <c r="G3" s="73">
        <v>14.37</v>
      </c>
      <c r="H3" s="73">
        <v>0</v>
      </c>
      <c r="I3" s="73">
        <f>'TUSD BE'!$AC$6</f>
        <v>29.281958956414613</v>
      </c>
      <c r="J3" s="73">
        <v>0</v>
      </c>
      <c r="K3" s="73">
        <v>0</v>
      </c>
      <c r="L3" s="73">
        <v>0</v>
      </c>
    </row>
    <row r="5" spans="1:12" ht="10.8" thickBot="1" x14ac:dyDescent="0.25">
      <c r="A5" s="72" t="s">
        <v>1119</v>
      </c>
      <c r="B5" s="72" t="s">
        <v>1118</v>
      </c>
    </row>
    <row r="6" spans="1:12" x14ac:dyDescent="0.2">
      <c r="A6" s="68" t="s">
        <v>1117</v>
      </c>
      <c r="B6" s="71">
        <v>9.9699999999999997E-2</v>
      </c>
    </row>
    <row r="7" spans="1:12" x14ac:dyDescent="0.2">
      <c r="A7" s="70" t="s">
        <v>1116</v>
      </c>
      <c r="B7" s="69">
        <v>0</v>
      </c>
    </row>
    <row r="8" spans="1:12" x14ac:dyDescent="0.2">
      <c r="A8" s="68" t="s">
        <v>1115</v>
      </c>
      <c r="B8" s="67">
        <v>17281803.850000001</v>
      </c>
    </row>
    <row r="9" spans="1:12" x14ac:dyDescent="0.2">
      <c r="A9" s="70" t="s">
        <v>1114</v>
      </c>
      <c r="B9" s="69">
        <v>0.04</v>
      </c>
    </row>
    <row r="10" spans="1:12" x14ac:dyDescent="0.2">
      <c r="A10" s="68" t="s">
        <v>1113</v>
      </c>
      <c r="B10" s="67">
        <v>13359047.6</v>
      </c>
    </row>
    <row r="11" spans="1:12" ht="10.8" thickBot="1" x14ac:dyDescent="0.25">
      <c r="A11" s="66" t="s">
        <v>1112</v>
      </c>
      <c r="B11" s="65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42CB-FAFB-4937-9BA1-1D0770375AB9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8" t="s">
        <v>1166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3">
      <c r="L2" s="119" t="s">
        <v>493</v>
      </c>
      <c r="M2" s="119"/>
      <c r="N2" s="119"/>
      <c r="O2" s="119"/>
      <c r="P2" s="119"/>
      <c r="Q2" s="119"/>
      <c r="R2" s="119"/>
      <c r="S2" s="120"/>
      <c r="T2" s="119" t="s">
        <v>502</v>
      </c>
      <c r="U2" s="119"/>
      <c r="V2" s="119"/>
      <c r="W2" s="119"/>
      <c r="X2" s="119"/>
      <c r="Y2" s="119"/>
      <c r="Z2" s="120"/>
      <c r="AA2" s="121" t="s">
        <v>510</v>
      </c>
      <c r="AB2" s="119" t="s">
        <v>25</v>
      </c>
      <c r="AC2" s="119"/>
      <c r="AD2" s="120"/>
      <c r="AE2" s="119" t="s">
        <v>1165</v>
      </c>
      <c r="AF2" s="119"/>
      <c r="AG2" s="119"/>
      <c r="AH2" s="120"/>
      <c r="AI2" s="119" t="s">
        <v>493</v>
      </c>
      <c r="AJ2" s="119"/>
      <c r="AK2" s="119"/>
      <c r="AL2" s="119"/>
      <c r="AM2" s="120"/>
      <c r="AN2" s="121" t="s">
        <v>524</v>
      </c>
      <c r="AO2" s="119" t="s">
        <v>502</v>
      </c>
      <c r="AP2" s="119"/>
      <c r="AQ2" s="119"/>
      <c r="AR2" s="119"/>
      <c r="AS2" s="120"/>
      <c r="AT2" s="122" t="s">
        <v>1165</v>
      </c>
    </row>
    <row r="3" spans="2:46" ht="12" customHeight="1" x14ac:dyDescent="0.3">
      <c r="B3" s="109" t="s">
        <v>457</v>
      </c>
      <c r="C3" s="110" t="s">
        <v>458</v>
      </c>
      <c r="D3" s="110" t="s">
        <v>459</v>
      </c>
      <c r="E3" s="110" t="s">
        <v>460</v>
      </c>
      <c r="F3" s="110" t="s">
        <v>461</v>
      </c>
      <c r="G3" s="110" t="s">
        <v>463</v>
      </c>
      <c r="H3" s="110" t="s">
        <v>464</v>
      </c>
      <c r="I3" s="110" t="s">
        <v>768</v>
      </c>
      <c r="J3" s="110" t="s">
        <v>1127</v>
      </c>
      <c r="K3" s="110" t="s">
        <v>1128</v>
      </c>
      <c r="L3" s="110" t="s">
        <v>1129</v>
      </c>
      <c r="M3" s="110" t="s">
        <v>1130</v>
      </c>
      <c r="N3" s="110" t="s">
        <v>1131</v>
      </c>
      <c r="O3" s="110" t="s">
        <v>1132</v>
      </c>
      <c r="P3" s="110" t="s">
        <v>1133</v>
      </c>
      <c r="Q3" s="110" t="s">
        <v>1134</v>
      </c>
      <c r="R3" s="110" t="s">
        <v>1135</v>
      </c>
      <c r="S3" s="110" t="s">
        <v>1136</v>
      </c>
      <c r="T3" s="110" t="s">
        <v>1137</v>
      </c>
      <c r="U3" s="110" t="s">
        <v>1138</v>
      </c>
      <c r="V3" s="110" t="s">
        <v>1139</v>
      </c>
      <c r="W3" s="110" t="s">
        <v>1140</v>
      </c>
      <c r="X3" s="110" t="s">
        <v>1141</v>
      </c>
      <c r="Y3" s="110" t="s">
        <v>1142</v>
      </c>
      <c r="Z3" s="110" t="s">
        <v>1143</v>
      </c>
      <c r="AA3" s="110" t="s">
        <v>1144</v>
      </c>
      <c r="AB3" s="110" t="s">
        <v>1145</v>
      </c>
      <c r="AC3" s="110" t="s">
        <v>1146</v>
      </c>
      <c r="AD3" s="110" t="s">
        <v>1147</v>
      </c>
      <c r="AE3" s="110" t="s">
        <v>1148</v>
      </c>
      <c r="AF3" s="110" t="s">
        <v>1149</v>
      </c>
      <c r="AG3" s="110" t="s">
        <v>1150</v>
      </c>
      <c r="AH3" s="110" t="s">
        <v>1151</v>
      </c>
      <c r="AI3" s="110" t="s">
        <v>1152</v>
      </c>
      <c r="AJ3" s="110" t="s">
        <v>1153</v>
      </c>
      <c r="AK3" s="110" t="s">
        <v>1154</v>
      </c>
      <c r="AL3" s="110" t="s">
        <v>1155</v>
      </c>
      <c r="AM3" s="110" t="s">
        <v>1156</v>
      </c>
      <c r="AN3" s="110" t="s">
        <v>1157</v>
      </c>
      <c r="AO3" s="110" t="s">
        <v>1158</v>
      </c>
      <c r="AP3" s="110" t="s">
        <v>1159</v>
      </c>
      <c r="AQ3" s="110" t="s">
        <v>1160</v>
      </c>
      <c r="AR3" s="110" t="s">
        <v>1161</v>
      </c>
      <c r="AS3" s="110" t="s">
        <v>1162</v>
      </c>
      <c r="AT3" s="111" t="s">
        <v>1163</v>
      </c>
    </row>
    <row r="4" spans="2:46" ht="12" customHeight="1" x14ac:dyDescent="0.3">
      <c r="B4" s="112" t="s">
        <v>39</v>
      </c>
      <c r="C4" s="113" t="s">
        <v>470</v>
      </c>
      <c r="D4" s="113" t="s">
        <v>25</v>
      </c>
      <c r="E4" s="113" t="s">
        <v>25</v>
      </c>
      <c r="F4" s="113" t="s">
        <v>475</v>
      </c>
      <c r="G4" s="113" t="s">
        <v>34</v>
      </c>
      <c r="H4" s="113" t="s">
        <v>467</v>
      </c>
      <c r="I4" s="113" t="s">
        <v>25</v>
      </c>
      <c r="J4" s="113">
        <v>3.94</v>
      </c>
      <c r="K4" s="113">
        <v>0</v>
      </c>
      <c r="L4" s="113">
        <v>0</v>
      </c>
      <c r="M4" s="113">
        <v>1.0201944089472299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-9.3537026824313599E-2</v>
      </c>
      <c r="AC4" s="113">
        <v>0</v>
      </c>
      <c r="AD4" s="113">
        <v>0</v>
      </c>
      <c r="AE4" s="113">
        <v>3.0178295721147701</v>
      </c>
      <c r="AF4" s="113">
        <v>0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3">
      <c r="B5" s="112" t="s">
        <v>39</v>
      </c>
      <c r="C5" s="113" t="s">
        <v>470</v>
      </c>
      <c r="D5" s="113" t="s">
        <v>25</v>
      </c>
      <c r="E5" s="113" t="s">
        <v>25</v>
      </c>
      <c r="F5" s="113" t="s">
        <v>475</v>
      </c>
      <c r="G5" s="113" t="s">
        <v>34</v>
      </c>
      <c r="H5" s="113" t="s">
        <v>471</v>
      </c>
      <c r="I5" s="113" t="s">
        <v>25</v>
      </c>
      <c r="J5" s="113">
        <v>145.79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43.046121480539398</v>
      </c>
      <c r="Y5" s="113">
        <v>0</v>
      </c>
      <c r="Z5" s="113">
        <v>0</v>
      </c>
      <c r="AA5" s="113">
        <v>104.357035986018</v>
      </c>
      <c r="AB5" s="113">
        <v>-1.6180969284311999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3">
      <c r="B6" s="112" t="s">
        <v>39</v>
      </c>
      <c r="C6" s="113" t="s">
        <v>470</v>
      </c>
      <c r="D6" s="113" t="s">
        <v>25</v>
      </c>
      <c r="E6" s="113" t="s">
        <v>25</v>
      </c>
      <c r="F6" s="113" t="s">
        <v>475</v>
      </c>
      <c r="G6" s="113" t="s">
        <v>35</v>
      </c>
      <c r="H6" s="113" t="s">
        <v>467</v>
      </c>
      <c r="I6" s="113" t="s">
        <v>25</v>
      </c>
      <c r="J6" s="113">
        <v>3.94</v>
      </c>
      <c r="K6" s="113">
        <v>0</v>
      </c>
      <c r="L6" s="113">
        <v>0</v>
      </c>
      <c r="M6" s="113">
        <v>1.0201944089472299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-9.3537026824313599E-2</v>
      </c>
      <c r="AC6" s="113">
        <v>0</v>
      </c>
      <c r="AD6" s="113">
        <v>0</v>
      </c>
      <c r="AE6" s="113">
        <v>3.0178295721147701</v>
      </c>
      <c r="AF6" s="113">
        <v>0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3">
      <c r="B7" s="112" t="s">
        <v>39</v>
      </c>
      <c r="C7" s="113" t="s">
        <v>470</v>
      </c>
      <c r="D7" s="113" t="s">
        <v>25</v>
      </c>
      <c r="E7" s="113" t="s">
        <v>25</v>
      </c>
      <c r="F7" s="113" t="s">
        <v>475</v>
      </c>
      <c r="G7" s="113" t="s">
        <v>35</v>
      </c>
      <c r="H7" s="113" t="s">
        <v>471</v>
      </c>
      <c r="I7" s="113" t="s">
        <v>25</v>
      </c>
      <c r="J7" s="113">
        <v>46.05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17.398688525177398</v>
      </c>
      <c r="Y7" s="113">
        <v>0</v>
      </c>
      <c r="Z7" s="113">
        <v>0</v>
      </c>
      <c r="AA7" s="113">
        <v>29.160848816842801</v>
      </c>
      <c r="AB7" s="113">
        <v>-0.50978442892569897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3">
      <c r="B8" s="112" t="s">
        <v>39</v>
      </c>
      <c r="C8" s="113" t="s">
        <v>470</v>
      </c>
      <c r="D8" s="113" t="s">
        <v>25</v>
      </c>
      <c r="E8" s="113" t="s">
        <v>25</v>
      </c>
      <c r="F8" s="113" t="s">
        <v>25</v>
      </c>
      <c r="G8" s="113" t="s">
        <v>34</v>
      </c>
      <c r="H8" s="113" t="s">
        <v>467</v>
      </c>
      <c r="I8" s="113" t="s">
        <v>25</v>
      </c>
      <c r="J8" s="113">
        <v>91.42</v>
      </c>
      <c r="K8" s="113">
        <v>77.959999999999994</v>
      </c>
      <c r="L8" s="113">
        <v>0</v>
      </c>
      <c r="M8" s="113">
        <v>1.0201944089472299</v>
      </c>
      <c r="N8" s="113">
        <v>0</v>
      </c>
      <c r="O8" s="113">
        <v>0</v>
      </c>
      <c r="P8" s="113">
        <v>0</v>
      </c>
      <c r="Q8" s="113">
        <v>74.470118946313804</v>
      </c>
      <c r="R8" s="113">
        <v>14.0171714358864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-1.1039111191031401</v>
      </c>
      <c r="AC8" s="113">
        <v>0</v>
      </c>
      <c r="AD8" s="113">
        <v>0</v>
      </c>
      <c r="AE8" s="113">
        <v>3.0178295721147701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80.129405498437293</v>
      </c>
      <c r="AO8" s="113">
        <v>0</v>
      </c>
      <c r="AP8" s="113">
        <v>0</v>
      </c>
      <c r="AQ8" s="113">
        <v>0</v>
      </c>
      <c r="AR8" s="113">
        <v>-2.1710413159942199</v>
      </c>
      <c r="AS8" s="113">
        <v>0</v>
      </c>
      <c r="AT8" s="114">
        <v>0</v>
      </c>
    </row>
    <row r="9" spans="2:46" ht="12" customHeight="1" x14ac:dyDescent="0.3">
      <c r="B9" s="112" t="s">
        <v>39</v>
      </c>
      <c r="C9" s="113" t="s">
        <v>470</v>
      </c>
      <c r="D9" s="113" t="s">
        <v>25</v>
      </c>
      <c r="E9" s="113" t="s">
        <v>25</v>
      </c>
      <c r="F9" s="113" t="s">
        <v>25</v>
      </c>
      <c r="G9" s="113" t="s">
        <v>34</v>
      </c>
      <c r="H9" s="113" t="s">
        <v>471</v>
      </c>
      <c r="I9" s="113" t="s">
        <v>25</v>
      </c>
      <c r="J9" s="113">
        <v>145.79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43.046121480539398</v>
      </c>
      <c r="Y9" s="113">
        <v>0</v>
      </c>
      <c r="Z9" s="113">
        <v>0</v>
      </c>
      <c r="AA9" s="113">
        <v>104.357035986018</v>
      </c>
      <c r="AB9" s="113">
        <v>-1.6180969284311999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3">
      <c r="B10" s="112" t="s">
        <v>39</v>
      </c>
      <c r="C10" s="113" t="s">
        <v>470</v>
      </c>
      <c r="D10" s="113" t="s">
        <v>25</v>
      </c>
      <c r="E10" s="113" t="s">
        <v>25</v>
      </c>
      <c r="F10" s="113" t="s">
        <v>25</v>
      </c>
      <c r="G10" s="113" t="s">
        <v>35</v>
      </c>
      <c r="H10" s="113" t="s">
        <v>467</v>
      </c>
      <c r="I10" s="113" t="s">
        <v>25</v>
      </c>
      <c r="J10" s="113">
        <v>91.42</v>
      </c>
      <c r="K10" s="113">
        <v>77.959999999999994</v>
      </c>
      <c r="L10" s="113">
        <v>0</v>
      </c>
      <c r="M10" s="113">
        <v>1.0201944089472299</v>
      </c>
      <c r="N10" s="113">
        <v>0</v>
      </c>
      <c r="O10" s="113">
        <v>0</v>
      </c>
      <c r="P10" s="113">
        <v>0</v>
      </c>
      <c r="Q10" s="113">
        <v>74.470118946313804</v>
      </c>
      <c r="R10" s="113">
        <v>14.0171714358864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-1.1039111191031401</v>
      </c>
      <c r="AC10" s="113">
        <v>0</v>
      </c>
      <c r="AD10" s="113">
        <v>0</v>
      </c>
      <c r="AE10" s="113">
        <v>3.0178295721147701</v>
      </c>
      <c r="AF10" s="113">
        <v>0</v>
      </c>
      <c r="AG10" s="113">
        <v>0</v>
      </c>
      <c r="AH10" s="113">
        <v>0</v>
      </c>
      <c r="AI10" s="113">
        <v>0</v>
      </c>
      <c r="AJ10" s="113">
        <v>0</v>
      </c>
      <c r="AK10" s="113">
        <v>0</v>
      </c>
      <c r="AL10" s="113">
        <v>0</v>
      </c>
      <c r="AM10" s="113">
        <v>0</v>
      </c>
      <c r="AN10" s="113">
        <v>80.129405498437293</v>
      </c>
      <c r="AO10" s="113">
        <v>0</v>
      </c>
      <c r="AP10" s="113">
        <v>0</v>
      </c>
      <c r="AQ10" s="113">
        <v>0</v>
      </c>
      <c r="AR10" s="113">
        <v>-2.1710413159942199</v>
      </c>
      <c r="AS10" s="113">
        <v>0</v>
      </c>
      <c r="AT10" s="114">
        <v>0</v>
      </c>
    </row>
    <row r="11" spans="2:46" ht="12" customHeight="1" x14ac:dyDescent="0.3">
      <c r="B11" s="112" t="s">
        <v>39</v>
      </c>
      <c r="C11" s="113" t="s">
        <v>470</v>
      </c>
      <c r="D11" s="113" t="s">
        <v>25</v>
      </c>
      <c r="E11" s="113" t="s">
        <v>25</v>
      </c>
      <c r="F11" s="113" t="s">
        <v>25</v>
      </c>
      <c r="G11" s="113" t="s">
        <v>35</v>
      </c>
      <c r="H11" s="113" t="s">
        <v>471</v>
      </c>
      <c r="I11" s="113" t="s">
        <v>25</v>
      </c>
      <c r="J11" s="113">
        <v>46.05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17.398688525177398</v>
      </c>
      <c r="Y11" s="113">
        <v>0</v>
      </c>
      <c r="Z11" s="113">
        <v>0</v>
      </c>
      <c r="AA11" s="113">
        <v>29.160848816842801</v>
      </c>
      <c r="AB11" s="113">
        <v>-0.50978442892569897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3">
      <c r="B12" s="112" t="s">
        <v>39</v>
      </c>
      <c r="C12" s="113" t="s">
        <v>476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471</v>
      </c>
      <c r="I12" s="113" t="s">
        <v>25</v>
      </c>
      <c r="J12" s="113">
        <v>13.06</v>
      </c>
      <c r="K12" s="113">
        <v>0</v>
      </c>
      <c r="L12" s="113">
        <v>0</v>
      </c>
      <c r="M12" s="113">
        <v>1.0520797590881001E-2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13.192432646357499</v>
      </c>
      <c r="AB12" s="113">
        <v>-0.14627314900792901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3">
      <c r="B13" s="112" t="s">
        <v>39</v>
      </c>
      <c r="C13" s="113" t="s">
        <v>40</v>
      </c>
      <c r="D13" s="113" t="s">
        <v>25</v>
      </c>
      <c r="E13" s="113" t="s">
        <v>25</v>
      </c>
      <c r="F13" s="113" t="s">
        <v>475</v>
      </c>
      <c r="G13" s="113" t="s">
        <v>34</v>
      </c>
      <c r="H13" s="113" t="s">
        <v>467</v>
      </c>
      <c r="I13" s="113" t="s">
        <v>25</v>
      </c>
      <c r="J13" s="113">
        <v>3510.48</v>
      </c>
      <c r="K13" s="113">
        <v>0</v>
      </c>
      <c r="L13" s="113">
        <v>0</v>
      </c>
      <c r="M13" s="113">
        <v>1.0201944089472299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1035.6719259614199</v>
      </c>
      <c r="Y13" s="113">
        <v>0</v>
      </c>
      <c r="Z13" s="113">
        <v>0</v>
      </c>
      <c r="AA13" s="113">
        <v>2509.7868267612698</v>
      </c>
      <c r="AB13" s="113">
        <v>-39.013198640513501</v>
      </c>
      <c r="AC13" s="113">
        <v>0</v>
      </c>
      <c r="AD13" s="113">
        <v>0</v>
      </c>
      <c r="AE13" s="113">
        <v>3.0178295721147701</v>
      </c>
      <c r="AF13" s="113">
        <v>0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3">
      <c r="B14" s="112" t="s">
        <v>39</v>
      </c>
      <c r="C14" s="113" t="s">
        <v>40</v>
      </c>
      <c r="D14" s="113" t="s">
        <v>25</v>
      </c>
      <c r="E14" s="113" t="s">
        <v>25</v>
      </c>
      <c r="F14" s="113" t="s">
        <v>475</v>
      </c>
      <c r="G14" s="113" t="s">
        <v>25</v>
      </c>
      <c r="H14" s="113" t="s">
        <v>471</v>
      </c>
      <c r="I14" s="113" t="s">
        <v>25</v>
      </c>
      <c r="J14" s="113">
        <v>46.05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17.398688525177398</v>
      </c>
      <c r="Y14" s="113">
        <v>0</v>
      </c>
      <c r="Z14" s="113">
        <v>0</v>
      </c>
      <c r="AA14" s="113">
        <v>29.160848816842801</v>
      </c>
      <c r="AB14" s="113">
        <v>-0.50978442892569897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3">
      <c r="B15" s="112" t="s">
        <v>39</v>
      </c>
      <c r="C15" s="113" t="s">
        <v>40</v>
      </c>
      <c r="D15" s="113" t="s">
        <v>25</v>
      </c>
      <c r="E15" s="113" t="s">
        <v>25</v>
      </c>
      <c r="F15" s="113" t="s">
        <v>475</v>
      </c>
      <c r="G15" s="113" t="s">
        <v>35</v>
      </c>
      <c r="H15" s="113" t="s">
        <v>467</v>
      </c>
      <c r="I15" s="113" t="s">
        <v>25</v>
      </c>
      <c r="J15" s="113">
        <v>3.94</v>
      </c>
      <c r="K15" s="113">
        <v>0</v>
      </c>
      <c r="L15" s="113">
        <v>0</v>
      </c>
      <c r="M15" s="113">
        <v>1.0201944089472299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-9.3537026824313599E-2</v>
      </c>
      <c r="AC15" s="113">
        <v>0</v>
      </c>
      <c r="AD15" s="113">
        <v>0</v>
      </c>
      <c r="AE15" s="113">
        <v>3.0178295721147701</v>
      </c>
      <c r="AF15" s="113">
        <v>0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3">
      <c r="B16" s="112" t="s">
        <v>39</v>
      </c>
      <c r="C16" s="113" t="s">
        <v>40</v>
      </c>
      <c r="D16" s="113" t="s">
        <v>25</v>
      </c>
      <c r="E16" s="113" t="s">
        <v>25</v>
      </c>
      <c r="F16" s="113" t="s">
        <v>25</v>
      </c>
      <c r="G16" s="113" t="s">
        <v>34</v>
      </c>
      <c r="H16" s="113" t="s">
        <v>467</v>
      </c>
      <c r="I16" s="113" t="s">
        <v>25</v>
      </c>
      <c r="J16" s="113">
        <v>3597.96</v>
      </c>
      <c r="K16" s="113">
        <v>77.959999999999994</v>
      </c>
      <c r="L16" s="113">
        <v>0</v>
      </c>
      <c r="M16" s="113">
        <v>1.0201944089472299</v>
      </c>
      <c r="N16" s="113">
        <v>0</v>
      </c>
      <c r="O16" s="113">
        <v>0</v>
      </c>
      <c r="P16" s="113">
        <v>0</v>
      </c>
      <c r="Q16" s="113">
        <v>74.470118946313804</v>
      </c>
      <c r="R16" s="113">
        <v>14.0171714358864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1035.6719259614199</v>
      </c>
      <c r="Y16" s="113">
        <v>0</v>
      </c>
      <c r="Z16" s="113">
        <v>0</v>
      </c>
      <c r="AA16" s="113">
        <v>2509.7868267612698</v>
      </c>
      <c r="AB16" s="113">
        <v>-40.023572732792303</v>
      </c>
      <c r="AC16" s="113">
        <v>0</v>
      </c>
      <c r="AD16" s="113">
        <v>0</v>
      </c>
      <c r="AE16" s="113">
        <v>3.0178295721147701</v>
      </c>
      <c r="AF16" s="113">
        <v>0</v>
      </c>
      <c r="AG16" s="113">
        <v>0</v>
      </c>
      <c r="AH16" s="113">
        <v>0</v>
      </c>
      <c r="AI16" s="113">
        <v>0</v>
      </c>
      <c r="AJ16" s="113">
        <v>0</v>
      </c>
      <c r="AK16" s="113">
        <v>0</v>
      </c>
      <c r="AL16" s="113">
        <v>0</v>
      </c>
      <c r="AM16" s="113">
        <v>0</v>
      </c>
      <c r="AN16" s="113">
        <v>80.129405498437293</v>
      </c>
      <c r="AO16" s="113">
        <v>0</v>
      </c>
      <c r="AP16" s="113">
        <v>0</v>
      </c>
      <c r="AQ16" s="113">
        <v>0</v>
      </c>
      <c r="AR16" s="113">
        <v>-2.1710413159942199</v>
      </c>
      <c r="AS16" s="113">
        <v>0</v>
      </c>
      <c r="AT16" s="114">
        <v>0</v>
      </c>
    </row>
    <row r="17" spans="2:46" ht="12" customHeight="1" x14ac:dyDescent="0.3">
      <c r="B17" s="112" t="s">
        <v>39</v>
      </c>
      <c r="C17" s="113" t="s">
        <v>40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471</v>
      </c>
      <c r="I17" s="113" t="s">
        <v>25</v>
      </c>
      <c r="J17" s="113">
        <v>46.05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17.398688525177398</v>
      </c>
      <c r="Y17" s="113">
        <v>0</v>
      </c>
      <c r="Z17" s="113">
        <v>0</v>
      </c>
      <c r="AA17" s="113">
        <v>29.160848816842801</v>
      </c>
      <c r="AB17" s="113">
        <v>-0.50978442892569897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3">
      <c r="B18" s="112" t="s">
        <v>39</v>
      </c>
      <c r="C18" s="113" t="s">
        <v>40</v>
      </c>
      <c r="D18" s="113" t="s">
        <v>25</v>
      </c>
      <c r="E18" s="113" t="s">
        <v>25</v>
      </c>
      <c r="F18" s="113" t="s">
        <v>25</v>
      </c>
      <c r="G18" s="113" t="s">
        <v>35</v>
      </c>
      <c r="H18" s="113" t="s">
        <v>467</v>
      </c>
      <c r="I18" s="113" t="s">
        <v>25</v>
      </c>
      <c r="J18" s="113">
        <v>91.42</v>
      </c>
      <c r="K18" s="113">
        <v>77.959999999999994</v>
      </c>
      <c r="L18" s="113">
        <v>0</v>
      </c>
      <c r="M18" s="113">
        <v>1.0201944089472299</v>
      </c>
      <c r="N18" s="113">
        <v>0</v>
      </c>
      <c r="O18" s="113">
        <v>0</v>
      </c>
      <c r="P18" s="113">
        <v>0</v>
      </c>
      <c r="Q18" s="113">
        <v>74.470118946313804</v>
      </c>
      <c r="R18" s="113">
        <v>14.0171714358864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-1.1039111191031401</v>
      </c>
      <c r="AC18" s="113">
        <v>0</v>
      </c>
      <c r="AD18" s="113">
        <v>0</v>
      </c>
      <c r="AE18" s="113">
        <v>3.0178295721147701</v>
      </c>
      <c r="AF18" s="113">
        <v>0</v>
      </c>
      <c r="AG18" s="113">
        <v>0</v>
      </c>
      <c r="AH18" s="113">
        <v>0</v>
      </c>
      <c r="AI18" s="113">
        <v>0</v>
      </c>
      <c r="AJ18" s="113">
        <v>0</v>
      </c>
      <c r="AK18" s="113">
        <v>0</v>
      </c>
      <c r="AL18" s="113">
        <v>0</v>
      </c>
      <c r="AM18" s="113">
        <v>0</v>
      </c>
      <c r="AN18" s="113">
        <v>80.129405498437293</v>
      </c>
      <c r="AO18" s="113">
        <v>0</v>
      </c>
      <c r="AP18" s="113">
        <v>0</v>
      </c>
      <c r="AQ18" s="113">
        <v>0</v>
      </c>
      <c r="AR18" s="113">
        <v>-2.1710413159942199</v>
      </c>
      <c r="AS18" s="113">
        <v>0</v>
      </c>
      <c r="AT18" s="114">
        <v>0</v>
      </c>
    </row>
    <row r="19" spans="2:46" ht="12" customHeight="1" x14ac:dyDescent="0.3">
      <c r="B19" s="112" t="s">
        <v>477</v>
      </c>
      <c r="C19" s="113" t="s">
        <v>476</v>
      </c>
      <c r="D19" s="113" t="s">
        <v>25</v>
      </c>
      <c r="E19" s="113" t="s">
        <v>25</v>
      </c>
      <c r="F19" s="113" t="s">
        <v>478</v>
      </c>
      <c r="G19" s="113" t="s">
        <v>25</v>
      </c>
      <c r="H19" s="113" t="s">
        <v>471</v>
      </c>
      <c r="I19" s="113" t="s">
        <v>25</v>
      </c>
      <c r="J19" s="113">
        <v>13.47</v>
      </c>
      <c r="K19" s="113">
        <v>0</v>
      </c>
      <c r="L19" s="113">
        <v>0</v>
      </c>
      <c r="M19" s="113">
        <v>1.08157732242702E-2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13.6077951077497</v>
      </c>
      <c r="AB19" s="113">
        <v>-0.15087812640270001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3">
      <c r="B20" s="112" t="s">
        <v>477</v>
      </c>
      <c r="C20" s="113" t="s">
        <v>476</v>
      </c>
      <c r="D20" s="113" t="s">
        <v>25</v>
      </c>
      <c r="E20" s="113" t="s">
        <v>25</v>
      </c>
      <c r="F20" s="113" t="s">
        <v>479</v>
      </c>
      <c r="G20" s="113" t="s">
        <v>25</v>
      </c>
      <c r="H20" s="113" t="s">
        <v>471</v>
      </c>
      <c r="I20" s="113" t="s">
        <v>25</v>
      </c>
      <c r="J20" s="113">
        <v>27.39</v>
      </c>
      <c r="K20" s="113">
        <v>0</v>
      </c>
      <c r="L20" s="113">
        <v>0</v>
      </c>
      <c r="M20" s="113">
        <v>1.08157732242702E-2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27.6857110721234</v>
      </c>
      <c r="AB20" s="113">
        <v>-0.30683966863123902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3">
      <c r="B21" s="112" t="s">
        <v>22</v>
      </c>
      <c r="C21" s="113" t="s">
        <v>33</v>
      </c>
      <c r="D21" s="113" t="s">
        <v>24</v>
      </c>
      <c r="E21" s="113" t="s">
        <v>24</v>
      </c>
      <c r="F21" s="113" t="s">
        <v>25</v>
      </c>
      <c r="G21" s="113" t="s">
        <v>34</v>
      </c>
      <c r="H21" s="113" t="s">
        <v>467</v>
      </c>
      <c r="I21" s="113" t="s">
        <v>25</v>
      </c>
      <c r="J21" s="113">
        <v>1645.63</v>
      </c>
      <c r="K21" s="113">
        <v>77.959999999999994</v>
      </c>
      <c r="L21" s="113">
        <v>0</v>
      </c>
      <c r="M21" s="113">
        <v>1.7991708917199001</v>
      </c>
      <c r="N21" s="113">
        <v>0</v>
      </c>
      <c r="O21" s="113">
        <v>0</v>
      </c>
      <c r="P21" s="113">
        <v>0</v>
      </c>
      <c r="Q21" s="113">
        <v>88.654903507516394</v>
      </c>
      <c r="R21" s="113">
        <v>14.0171714358864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379.166455747844</v>
      </c>
      <c r="Y21" s="113">
        <v>0</v>
      </c>
      <c r="Z21" s="113">
        <v>0</v>
      </c>
      <c r="AA21" s="113">
        <v>1172.6454690108801</v>
      </c>
      <c r="AB21" s="113">
        <v>-18.465308039426802</v>
      </c>
      <c r="AC21" s="113">
        <v>0</v>
      </c>
      <c r="AD21" s="113">
        <v>0</v>
      </c>
      <c r="AE21" s="113">
        <v>7.8163852110994902</v>
      </c>
      <c r="AF21" s="113">
        <v>0</v>
      </c>
      <c r="AG21" s="113">
        <v>0</v>
      </c>
      <c r="AH21" s="113">
        <v>0</v>
      </c>
      <c r="AI21" s="113">
        <v>0</v>
      </c>
      <c r="AJ21" s="113">
        <v>0</v>
      </c>
      <c r="AK21" s="113">
        <v>0</v>
      </c>
      <c r="AL21" s="113">
        <v>0</v>
      </c>
      <c r="AM21" s="113">
        <v>0</v>
      </c>
      <c r="AN21" s="113">
        <v>80.129405498437293</v>
      </c>
      <c r="AO21" s="113">
        <v>0</v>
      </c>
      <c r="AP21" s="113">
        <v>0</v>
      </c>
      <c r="AQ21" s="113">
        <v>0</v>
      </c>
      <c r="AR21" s="113">
        <v>-2.1710413159942199</v>
      </c>
      <c r="AS21" s="113">
        <v>0</v>
      </c>
      <c r="AT21" s="114">
        <v>0</v>
      </c>
    </row>
    <row r="22" spans="2:46" ht="12" customHeight="1" x14ac:dyDescent="0.3">
      <c r="B22" s="112" t="s">
        <v>22</v>
      </c>
      <c r="C22" s="113" t="s">
        <v>33</v>
      </c>
      <c r="D22" s="113" t="s">
        <v>24</v>
      </c>
      <c r="E22" s="113" t="s">
        <v>24</v>
      </c>
      <c r="F22" s="113" t="s">
        <v>25</v>
      </c>
      <c r="G22" s="113" t="s">
        <v>36</v>
      </c>
      <c r="H22" s="113" t="s">
        <v>467</v>
      </c>
      <c r="I22" s="113" t="s">
        <v>25</v>
      </c>
      <c r="J22" s="113">
        <v>1031.73</v>
      </c>
      <c r="K22" s="113">
        <v>77.959999999999994</v>
      </c>
      <c r="L22" s="113">
        <v>0</v>
      </c>
      <c r="M22" s="113">
        <v>1.7991708917199001</v>
      </c>
      <c r="N22" s="113">
        <v>0</v>
      </c>
      <c r="O22" s="113">
        <v>0</v>
      </c>
      <c r="P22" s="113">
        <v>0</v>
      </c>
      <c r="Q22" s="113">
        <v>88.654903507516394</v>
      </c>
      <c r="R22" s="113">
        <v>14.0171714358864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227.49991618997601</v>
      </c>
      <c r="Y22" s="113">
        <v>0</v>
      </c>
      <c r="Z22" s="113">
        <v>0</v>
      </c>
      <c r="AA22" s="113">
        <v>703.58772659673104</v>
      </c>
      <c r="AB22" s="113">
        <v>-11.6411482106524</v>
      </c>
      <c r="AC22" s="113">
        <v>0</v>
      </c>
      <c r="AD22" s="113">
        <v>0</v>
      </c>
      <c r="AE22" s="113">
        <v>7.8163852110994902</v>
      </c>
      <c r="AF22" s="113">
        <v>0</v>
      </c>
      <c r="AG22" s="113">
        <v>0</v>
      </c>
      <c r="AH22" s="113">
        <v>0</v>
      </c>
      <c r="AI22" s="113">
        <v>0</v>
      </c>
      <c r="AJ22" s="113">
        <v>0</v>
      </c>
      <c r="AK22" s="113">
        <v>0</v>
      </c>
      <c r="AL22" s="113">
        <v>0</v>
      </c>
      <c r="AM22" s="113">
        <v>0</v>
      </c>
      <c r="AN22" s="113">
        <v>80.129405498437293</v>
      </c>
      <c r="AO22" s="113">
        <v>0</v>
      </c>
      <c r="AP22" s="113">
        <v>0</v>
      </c>
      <c r="AQ22" s="113">
        <v>0</v>
      </c>
      <c r="AR22" s="113">
        <v>-2.1710413159942199</v>
      </c>
      <c r="AS22" s="113">
        <v>0</v>
      </c>
      <c r="AT22" s="114">
        <v>0</v>
      </c>
    </row>
    <row r="23" spans="2:46" ht="12" customHeight="1" x14ac:dyDescent="0.3">
      <c r="B23" s="112" t="s">
        <v>22</v>
      </c>
      <c r="C23" s="113" t="s">
        <v>33</v>
      </c>
      <c r="D23" s="113" t="s">
        <v>24</v>
      </c>
      <c r="E23" s="113" t="s">
        <v>24</v>
      </c>
      <c r="F23" s="113" t="s">
        <v>25</v>
      </c>
      <c r="G23" s="113" t="s">
        <v>35</v>
      </c>
      <c r="H23" s="113" t="s">
        <v>467</v>
      </c>
      <c r="I23" s="113" t="s">
        <v>25</v>
      </c>
      <c r="J23" s="113">
        <v>417.9</v>
      </c>
      <c r="K23" s="113">
        <v>77.959999999999994</v>
      </c>
      <c r="L23" s="113">
        <v>0</v>
      </c>
      <c r="M23" s="113">
        <v>1.7991708917199001</v>
      </c>
      <c r="N23" s="113">
        <v>0</v>
      </c>
      <c r="O23" s="113">
        <v>0</v>
      </c>
      <c r="P23" s="113">
        <v>0</v>
      </c>
      <c r="Q23" s="113">
        <v>88.654903507516394</v>
      </c>
      <c r="R23" s="113">
        <v>14.0171714358864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75.902617488497796</v>
      </c>
      <c r="Y23" s="113">
        <v>0</v>
      </c>
      <c r="Z23" s="113">
        <v>0</v>
      </c>
      <c r="AA23" s="113">
        <v>234.528982504624</v>
      </c>
      <c r="AB23" s="113">
        <v>-4.8177203959563997</v>
      </c>
      <c r="AC23" s="113">
        <v>0</v>
      </c>
      <c r="AD23" s="113">
        <v>0</v>
      </c>
      <c r="AE23" s="113">
        <v>7.8163852110994902</v>
      </c>
      <c r="AF23" s="113">
        <v>0</v>
      </c>
      <c r="AG23" s="113">
        <v>0</v>
      </c>
      <c r="AH23" s="113">
        <v>0</v>
      </c>
      <c r="AI23" s="113">
        <v>0</v>
      </c>
      <c r="AJ23" s="113">
        <v>0</v>
      </c>
      <c r="AK23" s="113">
        <v>0</v>
      </c>
      <c r="AL23" s="113">
        <v>0</v>
      </c>
      <c r="AM23" s="113">
        <v>0</v>
      </c>
      <c r="AN23" s="113">
        <v>80.129405498437293</v>
      </c>
      <c r="AO23" s="113">
        <v>0</v>
      </c>
      <c r="AP23" s="113">
        <v>0</v>
      </c>
      <c r="AQ23" s="113">
        <v>0</v>
      </c>
      <c r="AR23" s="113">
        <v>-2.1710413159942199</v>
      </c>
      <c r="AS23" s="113">
        <v>0</v>
      </c>
      <c r="AT23" s="114">
        <v>0</v>
      </c>
    </row>
    <row r="24" spans="2:46" ht="12" customHeight="1" x14ac:dyDescent="0.3">
      <c r="B24" s="112" t="s">
        <v>22</v>
      </c>
      <c r="C24" s="113" t="s">
        <v>23</v>
      </c>
      <c r="D24" s="113" t="s">
        <v>24</v>
      </c>
      <c r="E24" s="113" t="s">
        <v>1164</v>
      </c>
      <c r="F24" s="113" t="s">
        <v>25</v>
      </c>
      <c r="G24" s="113" t="s">
        <v>25</v>
      </c>
      <c r="H24" s="113" t="s">
        <v>467</v>
      </c>
      <c r="I24" s="113" t="s">
        <v>25</v>
      </c>
      <c r="J24" s="113">
        <v>577.75</v>
      </c>
      <c r="K24" s="113">
        <v>77.959999999999994</v>
      </c>
      <c r="L24" s="113">
        <v>0</v>
      </c>
      <c r="M24" s="113">
        <v>1.7991708917199001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140.367884998135</v>
      </c>
      <c r="Y24" s="113">
        <v>0</v>
      </c>
      <c r="Z24" s="113">
        <v>0</v>
      </c>
      <c r="AA24" s="113">
        <v>434.313318044482</v>
      </c>
      <c r="AB24" s="113">
        <v>-6.5505233102572298</v>
      </c>
      <c r="AC24" s="113">
        <v>0</v>
      </c>
      <c r="AD24" s="113">
        <v>0</v>
      </c>
      <c r="AE24" s="113">
        <v>7.8163852110994902</v>
      </c>
      <c r="AF24" s="113">
        <v>0</v>
      </c>
      <c r="AG24" s="113">
        <v>0</v>
      </c>
      <c r="AH24" s="113">
        <v>0</v>
      </c>
      <c r="AI24" s="113">
        <v>0</v>
      </c>
      <c r="AJ24" s="113">
        <v>0</v>
      </c>
      <c r="AK24" s="113">
        <v>0</v>
      </c>
      <c r="AL24" s="113">
        <v>0</v>
      </c>
      <c r="AM24" s="113">
        <v>0</v>
      </c>
      <c r="AN24" s="113">
        <v>80.129405498437293</v>
      </c>
      <c r="AO24" s="113">
        <v>0</v>
      </c>
      <c r="AP24" s="113">
        <v>0</v>
      </c>
      <c r="AQ24" s="113">
        <v>0</v>
      </c>
      <c r="AR24" s="113">
        <v>-2.1710413159942199</v>
      </c>
      <c r="AS24" s="113">
        <v>0</v>
      </c>
      <c r="AT24" s="114">
        <v>0</v>
      </c>
    </row>
    <row r="25" spans="2:46" ht="12" customHeight="1" x14ac:dyDescent="0.3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467</v>
      </c>
      <c r="I25" s="113" t="s">
        <v>25</v>
      </c>
      <c r="J25" s="113">
        <v>679.25</v>
      </c>
      <c r="K25" s="113">
        <v>77.959999999999994</v>
      </c>
      <c r="L25" s="113">
        <v>0</v>
      </c>
      <c r="M25" s="113">
        <v>1.7991708917199001</v>
      </c>
      <c r="N25" s="113">
        <v>0</v>
      </c>
      <c r="O25" s="113">
        <v>0</v>
      </c>
      <c r="P25" s="113">
        <v>0</v>
      </c>
      <c r="Q25" s="113">
        <v>88.654903507516394</v>
      </c>
      <c r="R25" s="113">
        <v>14.0171714358864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140.367884998135</v>
      </c>
      <c r="Y25" s="113">
        <v>0</v>
      </c>
      <c r="Z25" s="113">
        <v>0</v>
      </c>
      <c r="AA25" s="113">
        <v>434.313318044482</v>
      </c>
      <c r="AB25" s="113">
        <v>-7.72288017885597</v>
      </c>
      <c r="AC25" s="113">
        <v>0</v>
      </c>
      <c r="AD25" s="113">
        <v>0</v>
      </c>
      <c r="AE25" s="113">
        <v>7.8163852110994902</v>
      </c>
      <c r="AF25" s="113">
        <v>0</v>
      </c>
      <c r="AG25" s="113">
        <v>0</v>
      </c>
      <c r="AH25" s="113">
        <v>0</v>
      </c>
      <c r="AI25" s="113">
        <v>0</v>
      </c>
      <c r="AJ25" s="113">
        <v>0</v>
      </c>
      <c r="AK25" s="113">
        <v>0</v>
      </c>
      <c r="AL25" s="113">
        <v>0</v>
      </c>
      <c r="AM25" s="113">
        <v>0</v>
      </c>
      <c r="AN25" s="113">
        <v>80.129405498437293</v>
      </c>
      <c r="AO25" s="113">
        <v>0</v>
      </c>
      <c r="AP25" s="113">
        <v>0</v>
      </c>
      <c r="AQ25" s="113">
        <v>0</v>
      </c>
      <c r="AR25" s="113">
        <v>-2.1710413159942199</v>
      </c>
      <c r="AS25" s="113">
        <v>0</v>
      </c>
      <c r="AT25" s="114">
        <v>0</v>
      </c>
    </row>
    <row r="26" spans="2:46" ht="12" customHeight="1" x14ac:dyDescent="0.3">
      <c r="B26" s="112" t="s">
        <v>22</v>
      </c>
      <c r="C26" s="113" t="s">
        <v>483</v>
      </c>
      <c r="D26" s="113" t="s">
        <v>24</v>
      </c>
      <c r="E26" s="113" t="s">
        <v>1164</v>
      </c>
      <c r="F26" s="113" t="s">
        <v>25</v>
      </c>
      <c r="G26" s="113" t="s">
        <v>25</v>
      </c>
      <c r="H26" s="113" t="s">
        <v>467</v>
      </c>
      <c r="I26" s="113" t="s">
        <v>25</v>
      </c>
      <c r="J26" s="113">
        <v>577.75</v>
      </c>
      <c r="K26" s="113">
        <v>77.959999999999994</v>
      </c>
      <c r="L26" s="113">
        <v>0</v>
      </c>
      <c r="M26" s="113">
        <v>1.7991708917199001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140.367884998135</v>
      </c>
      <c r="Y26" s="113">
        <v>0</v>
      </c>
      <c r="Z26" s="113">
        <v>0</v>
      </c>
      <c r="AA26" s="113">
        <v>434.313318044482</v>
      </c>
      <c r="AB26" s="113">
        <v>-6.5505233102572298</v>
      </c>
      <c r="AC26" s="113">
        <v>0</v>
      </c>
      <c r="AD26" s="113">
        <v>0</v>
      </c>
      <c r="AE26" s="113">
        <v>7.8163852110994902</v>
      </c>
      <c r="AF26" s="113">
        <v>0</v>
      </c>
      <c r="AG26" s="113">
        <v>0</v>
      </c>
      <c r="AH26" s="113">
        <v>0</v>
      </c>
      <c r="AI26" s="113">
        <v>0</v>
      </c>
      <c r="AJ26" s="113">
        <v>0</v>
      </c>
      <c r="AK26" s="113">
        <v>0</v>
      </c>
      <c r="AL26" s="113">
        <v>0</v>
      </c>
      <c r="AM26" s="113">
        <v>0</v>
      </c>
      <c r="AN26" s="113">
        <v>80.129405498437293</v>
      </c>
      <c r="AO26" s="113">
        <v>0</v>
      </c>
      <c r="AP26" s="113">
        <v>0</v>
      </c>
      <c r="AQ26" s="113">
        <v>0</v>
      </c>
      <c r="AR26" s="113">
        <v>-2.1710413159942199</v>
      </c>
      <c r="AS26" s="113">
        <v>0</v>
      </c>
      <c r="AT26" s="114">
        <v>0</v>
      </c>
    </row>
    <row r="27" spans="2:46" ht="12" customHeight="1" x14ac:dyDescent="0.3">
      <c r="B27" s="112" t="s">
        <v>22</v>
      </c>
      <c r="C27" s="113" t="s">
        <v>483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467</v>
      </c>
      <c r="I27" s="113" t="s">
        <v>25</v>
      </c>
      <c r="J27" s="113">
        <v>679.25</v>
      </c>
      <c r="K27" s="113">
        <v>77.959999999999994</v>
      </c>
      <c r="L27" s="113">
        <v>0</v>
      </c>
      <c r="M27" s="113">
        <v>1.7991708917199001</v>
      </c>
      <c r="N27" s="113">
        <v>0</v>
      </c>
      <c r="O27" s="113">
        <v>0</v>
      </c>
      <c r="P27" s="113">
        <v>0</v>
      </c>
      <c r="Q27" s="113">
        <v>88.654903507516394</v>
      </c>
      <c r="R27" s="113">
        <v>14.0171714358864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140.367884998135</v>
      </c>
      <c r="Y27" s="113">
        <v>0</v>
      </c>
      <c r="Z27" s="113">
        <v>0</v>
      </c>
      <c r="AA27" s="113">
        <v>434.313318044482</v>
      </c>
      <c r="AB27" s="113">
        <v>-7.72288017885597</v>
      </c>
      <c r="AC27" s="113">
        <v>0</v>
      </c>
      <c r="AD27" s="113">
        <v>0</v>
      </c>
      <c r="AE27" s="113">
        <v>7.8163852110994902</v>
      </c>
      <c r="AF27" s="113">
        <v>0</v>
      </c>
      <c r="AG27" s="113">
        <v>0</v>
      </c>
      <c r="AH27" s="113">
        <v>0</v>
      </c>
      <c r="AI27" s="113">
        <v>0</v>
      </c>
      <c r="AJ27" s="113">
        <v>0</v>
      </c>
      <c r="AK27" s="113">
        <v>0</v>
      </c>
      <c r="AL27" s="113">
        <v>0</v>
      </c>
      <c r="AM27" s="113">
        <v>0</v>
      </c>
      <c r="AN27" s="113">
        <v>80.129405498437293</v>
      </c>
      <c r="AO27" s="113">
        <v>0</v>
      </c>
      <c r="AP27" s="113">
        <v>0</v>
      </c>
      <c r="AQ27" s="113">
        <v>0</v>
      </c>
      <c r="AR27" s="113">
        <v>-2.1710413159942199</v>
      </c>
      <c r="AS27" s="113">
        <v>0</v>
      </c>
      <c r="AT27" s="114">
        <v>0</v>
      </c>
    </row>
    <row r="28" spans="2:46" ht="12" customHeight="1" x14ac:dyDescent="0.3">
      <c r="B28" s="112" t="s">
        <v>42</v>
      </c>
      <c r="C28" s="113" t="s">
        <v>33</v>
      </c>
      <c r="D28" s="113" t="s">
        <v>43</v>
      </c>
      <c r="E28" s="113" t="s">
        <v>484</v>
      </c>
      <c r="F28" s="113" t="s">
        <v>25</v>
      </c>
      <c r="G28" s="113" t="s">
        <v>34</v>
      </c>
      <c r="H28" s="113" t="s">
        <v>467</v>
      </c>
      <c r="I28" s="113" t="s">
        <v>25</v>
      </c>
      <c r="J28" s="113">
        <v>1680.32</v>
      </c>
      <c r="K28" s="113">
        <v>73.28</v>
      </c>
      <c r="L28" s="113">
        <v>0</v>
      </c>
      <c r="M28" s="113">
        <v>1.6912206382167101</v>
      </c>
      <c r="N28" s="113">
        <v>0</v>
      </c>
      <c r="O28" s="113">
        <v>0</v>
      </c>
      <c r="P28" s="113">
        <v>0</v>
      </c>
      <c r="Q28" s="113">
        <v>83.335609297065503</v>
      </c>
      <c r="R28" s="113">
        <v>13.176141149733199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389.25627608230297</v>
      </c>
      <c r="Y28" s="113">
        <v>0</v>
      </c>
      <c r="Z28" s="113">
        <v>0</v>
      </c>
      <c r="AA28" s="113">
        <v>1204.3505798500701</v>
      </c>
      <c r="AB28" s="113">
        <v>-18.840544558373001</v>
      </c>
      <c r="AC28" s="113">
        <v>0</v>
      </c>
      <c r="AD28" s="113">
        <v>0</v>
      </c>
      <c r="AE28" s="113">
        <v>7.3474020984335198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75.321641168531002</v>
      </c>
      <c r="AO28" s="113">
        <v>0</v>
      </c>
      <c r="AP28" s="113">
        <v>0</v>
      </c>
      <c r="AQ28" s="113">
        <v>0</v>
      </c>
      <c r="AR28" s="113">
        <v>-2.0407788370345701</v>
      </c>
      <c r="AS28" s="113">
        <v>0</v>
      </c>
      <c r="AT28" s="114">
        <v>0</v>
      </c>
    </row>
    <row r="29" spans="2:46" ht="12" customHeight="1" x14ac:dyDescent="0.3">
      <c r="B29" s="112" t="s">
        <v>42</v>
      </c>
      <c r="C29" s="113" t="s">
        <v>33</v>
      </c>
      <c r="D29" s="113" t="s">
        <v>43</v>
      </c>
      <c r="E29" s="113" t="s">
        <v>484</v>
      </c>
      <c r="F29" s="113" t="s">
        <v>25</v>
      </c>
      <c r="G29" s="113" t="s">
        <v>36</v>
      </c>
      <c r="H29" s="113" t="s">
        <v>467</v>
      </c>
      <c r="I29" s="113" t="s">
        <v>25</v>
      </c>
      <c r="J29" s="113">
        <v>1049.8599999999999</v>
      </c>
      <c r="K29" s="113">
        <v>73.28</v>
      </c>
      <c r="L29" s="113">
        <v>0</v>
      </c>
      <c r="M29" s="113">
        <v>1.6912206382167101</v>
      </c>
      <c r="N29" s="113">
        <v>0</v>
      </c>
      <c r="O29" s="113">
        <v>0</v>
      </c>
      <c r="P29" s="113">
        <v>0</v>
      </c>
      <c r="Q29" s="113">
        <v>83.335609297065503</v>
      </c>
      <c r="R29" s="113">
        <v>13.176141149733199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233.527710998983</v>
      </c>
      <c r="Y29" s="113">
        <v>0</v>
      </c>
      <c r="Z29" s="113">
        <v>0</v>
      </c>
      <c r="AA29" s="113">
        <v>722.61013867064798</v>
      </c>
      <c r="AB29" s="113">
        <v>-11.8322853080897</v>
      </c>
      <c r="AC29" s="113">
        <v>0</v>
      </c>
      <c r="AD29" s="113">
        <v>0</v>
      </c>
      <c r="AE29" s="113">
        <v>7.3474020984335198</v>
      </c>
      <c r="AF29" s="113">
        <v>0</v>
      </c>
      <c r="AG29" s="113">
        <v>0</v>
      </c>
      <c r="AH29" s="113">
        <v>0</v>
      </c>
      <c r="AI29" s="113">
        <v>0</v>
      </c>
      <c r="AJ29" s="113">
        <v>0</v>
      </c>
      <c r="AK29" s="113">
        <v>0</v>
      </c>
      <c r="AL29" s="113">
        <v>0</v>
      </c>
      <c r="AM29" s="113">
        <v>0</v>
      </c>
      <c r="AN29" s="113">
        <v>75.321641168531002</v>
      </c>
      <c r="AO29" s="113">
        <v>0</v>
      </c>
      <c r="AP29" s="113">
        <v>0</v>
      </c>
      <c r="AQ29" s="113">
        <v>0</v>
      </c>
      <c r="AR29" s="113">
        <v>-2.0407788370345701</v>
      </c>
      <c r="AS29" s="113">
        <v>0</v>
      </c>
      <c r="AT29" s="114">
        <v>0</v>
      </c>
    </row>
    <row r="30" spans="2:46" ht="12" customHeight="1" x14ac:dyDescent="0.3">
      <c r="B30" s="112" t="s">
        <v>42</v>
      </c>
      <c r="C30" s="113" t="s">
        <v>33</v>
      </c>
      <c r="D30" s="113" t="s">
        <v>43</v>
      </c>
      <c r="E30" s="113" t="s">
        <v>484</v>
      </c>
      <c r="F30" s="113" t="s">
        <v>25</v>
      </c>
      <c r="G30" s="113" t="s">
        <v>35</v>
      </c>
      <c r="H30" s="113" t="s">
        <v>467</v>
      </c>
      <c r="I30" s="113" t="s">
        <v>25</v>
      </c>
      <c r="J30" s="113">
        <v>419.4</v>
      </c>
      <c r="K30" s="113">
        <v>73.28</v>
      </c>
      <c r="L30" s="113">
        <v>0</v>
      </c>
      <c r="M30" s="113">
        <v>1.6912206382167101</v>
      </c>
      <c r="N30" s="113">
        <v>0</v>
      </c>
      <c r="O30" s="113">
        <v>0</v>
      </c>
      <c r="P30" s="113">
        <v>0</v>
      </c>
      <c r="Q30" s="113">
        <v>83.335609297065503</v>
      </c>
      <c r="R30" s="113">
        <v>13.176141149733199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77.799145915661995</v>
      </c>
      <c r="Y30" s="113">
        <v>0</v>
      </c>
      <c r="Z30" s="113">
        <v>0</v>
      </c>
      <c r="AA30" s="113">
        <v>240.87001135031699</v>
      </c>
      <c r="AB30" s="113">
        <v>-4.8240295348799398</v>
      </c>
      <c r="AC30" s="113">
        <v>0</v>
      </c>
      <c r="AD30" s="113">
        <v>0</v>
      </c>
      <c r="AE30" s="113">
        <v>7.3474020984335198</v>
      </c>
      <c r="AF30" s="113">
        <v>0</v>
      </c>
      <c r="AG30" s="113">
        <v>0</v>
      </c>
      <c r="AH30" s="113">
        <v>0</v>
      </c>
      <c r="AI30" s="113">
        <v>0</v>
      </c>
      <c r="AJ30" s="113">
        <v>0</v>
      </c>
      <c r="AK30" s="113">
        <v>0</v>
      </c>
      <c r="AL30" s="113">
        <v>0</v>
      </c>
      <c r="AM30" s="113">
        <v>0</v>
      </c>
      <c r="AN30" s="113">
        <v>75.321641168531002</v>
      </c>
      <c r="AO30" s="113">
        <v>0</v>
      </c>
      <c r="AP30" s="113">
        <v>0</v>
      </c>
      <c r="AQ30" s="113">
        <v>0</v>
      </c>
      <c r="AR30" s="113">
        <v>-2.0407788370345701</v>
      </c>
      <c r="AS30" s="113">
        <v>0</v>
      </c>
      <c r="AT30" s="114">
        <v>0</v>
      </c>
    </row>
    <row r="31" spans="2:46" ht="12" customHeight="1" x14ac:dyDescent="0.3">
      <c r="B31" s="112" t="s">
        <v>42</v>
      </c>
      <c r="C31" s="113" t="s">
        <v>33</v>
      </c>
      <c r="D31" s="113" t="s">
        <v>43</v>
      </c>
      <c r="E31" s="113" t="s">
        <v>25</v>
      </c>
      <c r="F31" s="113" t="s">
        <v>25</v>
      </c>
      <c r="G31" s="113" t="s">
        <v>34</v>
      </c>
      <c r="H31" s="113" t="s">
        <v>467</v>
      </c>
      <c r="I31" s="113" t="s">
        <v>25</v>
      </c>
      <c r="J31" s="113">
        <v>1662.44</v>
      </c>
      <c r="K31" s="113">
        <v>72.5</v>
      </c>
      <c r="L31" s="113">
        <v>0</v>
      </c>
      <c r="M31" s="113">
        <v>1.6732289292995099</v>
      </c>
      <c r="N31" s="113">
        <v>0</v>
      </c>
      <c r="O31" s="113">
        <v>0</v>
      </c>
      <c r="P31" s="113">
        <v>0</v>
      </c>
      <c r="Q31" s="113">
        <v>82.449060261990297</v>
      </c>
      <c r="R31" s="113">
        <v>13.0359694353743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385.11525186866203</v>
      </c>
      <c r="Y31" s="113">
        <v>0</v>
      </c>
      <c r="Z31" s="113">
        <v>0</v>
      </c>
      <c r="AA31" s="113">
        <v>1191.5383396389</v>
      </c>
      <c r="AB31" s="113">
        <v>-18.640113233283898</v>
      </c>
      <c r="AC31" s="113">
        <v>0</v>
      </c>
      <c r="AD31" s="113">
        <v>0</v>
      </c>
      <c r="AE31" s="113">
        <v>7.2692382463225202</v>
      </c>
      <c r="AF31" s="113">
        <v>0</v>
      </c>
      <c r="AG31" s="113">
        <v>0</v>
      </c>
      <c r="AH31" s="113">
        <v>0</v>
      </c>
      <c r="AI31" s="113">
        <v>0</v>
      </c>
      <c r="AJ31" s="113">
        <v>0</v>
      </c>
      <c r="AK31" s="113">
        <v>0</v>
      </c>
      <c r="AL31" s="113">
        <v>0</v>
      </c>
      <c r="AM31" s="113">
        <v>0</v>
      </c>
      <c r="AN31" s="113">
        <v>74.520347113546606</v>
      </c>
      <c r="AO31" s="113">
        <v>0</v>
      </c>
      <c r="AP31" s="113">
        <v>0</v>
      </c>
      <c r="AQ31" s="113">
        <v>0</v>
      </c>
      <c r="AR31" s="113">
        <v>-2.0190684238746202</v>
      </c>
      <c r="AS31" s="113">
        <v>0</v>
      </c>
      <c r="AT31" s="114">
        <v>0</v>
      </c>
    </row>
    <row r="32" spans="2:46" ht="12" customHeight="1" x14ac:dyDescent="0.3">
      <c r="B32" s="112" t="s">
        <v>42</v>
      </c>
      <c r="C32" s="113" t="s">
        <v>33</v>
      </c>
      <c r="D32" s="113" t="s">
        <v>43</v>
      </c>
      <c r="E32" s="113" t="s">
        <v>25</v>
      </c>
      <c r="F32" s="113" t="s">
        <v>25</v>
      </c>
      <c r="G32" s="113" t="s">
        <v>36</v>
      </c>
      <c r="H32" s="113" t="s">
        <v>467</v>
      </c>
      <c r="I32" s="113" t="s">
        <v>25</v>
      </c>
      <c r="J32" s="113">
        <v>1038.69</v>
      </c>
      <c r="K32" s="113">
        <v>72.5</v>
      </c>
      <c r="L32" s="113">
        <v>0</v>
      </c>
      <c r="M32" s="113">
        <v>1.6732289292995099</v>
      </c>
      <c r="N32" s="113">
        <v>0</v>
      </c>
      <c r="O32" s="113">
        <v>0</v>
      </c>
      <c r="P32" s="113">
        <v>0</v>
      </c>
      <c r="Q32" s="113">
        <v>82.449060261990297</v>
      </c>
      <c r="R32" s="113">
        <v>13.0359694353743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231.04337364793</v>
      </c>
      <c r="Y32" s="113">
        <v>0</v>
      </c>
      <c r="Z32" s="113">
        <v>0</v>
      </c>
      <c r="AA32" s="113">
        <v>714.92279676989699</v>
      </c>
      <c r="AB32" s="113">
        <v>-11.706409932471701</v>
      </c>
      <c r="AC32" s="113">
        <v>0</v>
      </c>
      <c r="AD32" s="113">
        <v>0</v>
      </c>
      <c r="AE32" s="113">
        <v>7.2692382463225202</v>
      </c>
      <c r="AF32" s="113">
        <v>0</v>
      </c>
      <c r="AG32" s="113">
        <v>0</v>
      </c>
      <c r="AH32" s="113">
        <v>0</v>
      </c>
      <c r="AI32" s="113">
        <v>0</v>
      </c>
      <c r="AJ32" s="113">
        <v>0</v>
      </c>
      <c r="AK32" s="113">
        <v>0</v>
      </c>
      <c r="AL32" s="113">
        <v>0</v>
      </c>
      <c r="AM32" s="113">
        <v>0</v>
      </c>
      <c r="AN32" s="113">
        <v>74.520347113546606</v>
      </c>
      <c r="AO32" s="113">
        <v>0</v>
      </c>
      <c r="AP32" s="113">
        <v>0</v>
      </c>
      <c r="AQ32" s="113">
        <v>0</v>
      </c>
      <c r="AR32" s="113">
        <v>-2.0190684238746202</v>
      </c>
      <c r="AS32" s="113">
        <v>0</v>
      </c>
      <c r="AT32" s="114">
        <v>0</v>
      </c>
    </row>
    <row r="33" spans="2:46" ht="12" customHeight="1" x14ac:dyDescent="0.3">
      <c r="B33" s="112" t="s">
        <v>42</v>
      </c>
      <c r="C33" s="113" t="s">
        <v>33</v>
      </c>
      <c r="D33" s="113" t="s">
        <v>43</v>
      </c>
      <c r="E33" s="113" t="s">
        <v>25</v>
      </c>
      <c r="F33" s="113" t="s">
        <v>25</v>
      </c>
      <c r="G33" s="113" t="s">
        <v>35</v>
      </c>
      <c r="H33" s="113" t="s">
        <v>467</v>
      </c>
      <c r="I33" s="113" t="s">
        <v>25</v>
      </c>
      <c r="J33" s="113">
        <v>414.93</v>
      </c>
      <c r="K33" s="113">
        <v>72.5</v>
      </c>
      <c r="L33" s="113">
        <v>0</v>
      </c>
      <c r="M33" s="113">
        <v>1.6732289292995099</v>
      </c>
      <c r="N33" s="113">
        <v>0</v>
      </c>
      <c r="O33" s="113">
        <v>0</v>
      </c>
      <c r="P33" s="113">
        <v>0</v>
      </c>
      <c r="Q33" s="113">
        <v>82.449060261990297</v>
      </c>
      <c r="R33" s="113">
        <v>13.0359694353743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76.971495427197496</v>
      </c>
      <c r="Y33" s="113">
        <v>0</v>
      </c>
      <c r="Z33" s="113">
        <v>0</v>
      </c>
      <c r="AA33" s="113">
        <v>238.307564421058</v>
      </c>
      <c r="AB33" s="113">
        <v>-4.7727100717429201</v>
      </c>
      <c r="AC33" s="113">
        <v>0</v>
      </c>
      <c r="AD33" s="113">
        <v>0</v>
      </c>
      <c r="AE33" s="113">
        <v>7.2692382463225202</v>
      </c>
      <c r="AF33" s="113">
        <v>0</v>
      </c>
      <c r="AG33" s="113">
        <v>0</v>
      </c>
      <c r="AH33" s="113">
        <v>0</v>
      </c>
      <c r="AI33" s="113">
        <v>0</v>
      </c>
      <c r="AJ33" s="113">
        <v>0</v>
      </c>
      <c r="AK33" s="113">
        <v>0</v>
      </c>
      <c r="AL33" s="113">
        <v>0</v>
      </c>
      <c r="AM33" s="113">
        <v>0</v>
      </c>
      <c r="AN33" s="113">
        <v>74.520347113546606</v>
      </c>
      <c r="AO33" s="113">
        <v>0</v>
      </c>
      <c r="AP33" s="113">
        <v>0</v>
      </c>
      <c r="AQ33" s="113">
        <v>0</v>
      </c>
      <c r="AR33" s="113">
        <v>-2.0190684238746202</v>
      </c>
      <c r="AS33" s="113">
        <v>0</v>
      </c>
      <c r="AT33" s="114">
        <v>0</v>
      </c>
    </row>
    <row r="34" spans="2:46" ht="12" customHeight="1" x14ac:dyDescent="0.3">
      <c r="B34" s="112" t="s">
        <v>42</v>
      </c>
      <c r="C34" s="113" t="s">
        <v>33</v>
      </c>
      <c r="D34" s="113" t="s">
        <v>43</v>
      </c>
      <c r="E34" s="113" t="s">
        <v>485</v>
      </c>
      <c r="F34" s="113" t="s">
        <v>25</v>
      </c>
      <c r="G34" s="113" t="s">
        <v>34</v>
      </c>
      <c r="H34" s="113" t="s">
        <v>467</v>
      </c>
      <c r="I34" s="113" t="s">
        <v>25</v>
      </c>
      <c r="J34" s="113">
        <v>1644.57</v>
      </c>
      <c r="K34" s="113">
        <v>71.72</v>
      </c>
      <c r="L34" s="113">
        <v>0</v>
      </c>
      <c r="M34" s="113">
        <v>1.65523722038231</v>
      </c>
      <c r="N34" s="113">
        <v>0</v>
      </c>
      <c r="O34" s="113">
        <v>0</v>
      </c>
      <c r="P34" s="113">
        <v>0</v>
      </c>
      <c r="Q34" s="113">
        <v>81.562511226915106</v>
      </c>
      <c r="R34" s="113">
        <v>12.8957977210154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380.97422765502</v>
      </c>
      <c r="Y34" s="113">
        <v>0</v>
      </c>
      <c r="Z34" s="113">
        <v>0</v>
      </c>
      <c r="AA34" s="113">
        <v>1178.7260994277301</v>
      </c>
      <c r="AB34" s="113">
        <v>-18.439681908194899</v>
      </c>
      <c r="AC34" s="113">
        <v>0</v>
      </c>
      <c r="AD34" s="113">
        <v>0</v>
      </c>
      <c r="AE34" s="113">
        <v>7.1910743942115296</v>
      </c>
      <c r="AF34" s="113">
        <v>0</v>
      </c>
      <c r="AG34" s="113">
        <v>0</v>
      </c>
      <c r="AH34" s="113">
        <v>0</v>
      </c>
      <c r="AI34" s="113">
        <v>0</v>
      </c>
      <c r="AJ34" s="113">
        <v>0</v>
      </c>
      <c r="AK34" s="113">
        <v>0</v>
      </c>
      <c r="AL34" s="113">
        <v>0</v>
      </c>
      <c r="AM34" s="113">
        <v>0</v>
      </c>
      <c r="AN34" s="113">
        <v>73.719053058562295</v>
      </c>
      <c r="AO34" s="113">
        <v>0</v>
      </c>
      <c r="AP34" s="113">
        <v>0</v>
      </c>
      <c r="AQ34" s="113">
        <v>0</v>
      </c>
      <c r="AR34" s="113">
        <v>-1.99735801071468</v>
      </c>
      <c r="AS34" s="113">
        <v>0</v>
      </c>
      <c r="AT34" s="114">
        <v>0</v>
      </c>
    </row>
    <row r="35" spans="2:46" ht="12" customHeight="1" x14ac:dyDescent="0.3">
      <c r="B35" s="112" t="s">
        <v>42</v>
      </c>
      <c r="C35" s="113" t="s">
        <v>33</v>
      </c>
      <c r="D35" s="113" t="s">
        <v>43</v>
      </c>
      <c r="E35" s="113" t="s">
        <v>485</v>
      </c>
      <c r="F35" s="113" t="s">
        <v>25</v>
      </c>
      <c r="G35" s="113" t="s">
        <v>36</v>
      </c>
      <c r="H35" s="113" t="s">
        <v>467</v>
      </c>
      <c r="I35" s="113" t="s">
        <v>25</v>
      </c>
      <c r="J35" s="113">
        <v>1027.52</v>
      </c>
      <c r="K35" s="113">
        <v>71.72</v>
      </c>
      <c r="L35" s="113">
        <v>0</v>
      </c>
      <c r="M35" s="113">
        <v>1.65523722038231</v>
      </c>
      <c r="N35" s="113">
        <v>0</v>
      </c>
      <c r="O35" s="113">
        <v>0</v>
      </c>
      <c r="P35" s="113">
        <v>0</v>
      </c>
      <c r="Q35" s="113">
        <v>81.562511226915106</v>
      </c>
      <c r="R35" s="113">
        <v>12.8957977210154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228.559036296877</v>
      </c>
      <c r="Y35" s="113">
        <v>0</v>
      </c>
      <c r="Z35" s="113">
        <v>0</v>
      </c>
      <c r="AA35" s="113">
        <v>707.23545486914497</v>
      </c>
      <c r="AB35" s="113">
        <v>-11.580534556853801</v>
      </c>
      <c r="AC35" s="113">
        <v>0</v>
      </c>
      <c r="AD35" s="113">
        <v>0</v>
      </c>
      <c r="AE35" s="113">
        <v>7.1910743942115296</v>
      </c>
      <c r="AF35" s="113">
        <v>0</v>
      </c>
      <c r="AG35" s="113">
        <v>0</v>
      </c>
      <c r="AH35" s="113">
        <v>0</v>
      </c>
      <c r="AI35" s="113">
        <v>0</v>
      </c>
      <c r="AJ35" s="113">
        <v>0</v>
      </c>
      <c r="AK35" s="113">
        <v>0</v>
      </c>
      <c r="AL35" s="113">
        <v>0</v>
      </c>
      <c r="AM35" s="113">
        <v>0</v>
      </c>
      <c r="AN35" s="113">
        <v>73.719053058562295</v>
      </c>
      <c r="AO35" s="113">
        <v>0</v>
      </c>
      <c r="AP35" s="113">
        <v>0</v>
      </c>
      <c r="AQ35" s="113">
        <v>0</v>
      </c>
      <c r="AR35" s="113">
        <v>-1.99735801071468</v>
      </c>
      <c r="AS35" s="113">
        <v>0</v>
      </c>
      <c r="AT35" s="114">
        <v>0</v>
      </c>
    </row>
    <row r="36" spans="2:46" ht="12" customHeight="1" x14ac:dyDescent="0.3">
      <c r="B36" s="112" t="s">
        <v>42</v>
      </c>
      <c r="C36" s="113" t="s">
        <v>33</v>
      </c>
      <c r="D36" s="113" t="s">
        <v>43</v>
      </c>
      <c r="E36" s="113" t="s">
        <v>485</v>
      </c>
      <c r="F36" s="113" t="s">
        <v>25</v>
      </c>
      <c r="G36" s="113" t="s">
        <v>35</v>
      </c>
      <c r="H36" s="113" t="s">
        <v>467</v>
      </c>
      <c r="I36" s="113" t="s">
        <v>25</v>
      </c>
      <c r="J36" s="113">
        <v>410.47</v>
      </c>
      <c r="K36" s="113">
        <v>71.72</v>
      </c>
      <c r="L36" s="113">
        <v>0</v>
      </c>
      <c r="M36" s="113">
        <v>1.65523722038231</v>
      </c>
      <c r="N36" s="113">
        <v>0</v>
      </c>
      <c r="O36" s="113">
        <v>0</v>
      </c>
      <c r="P36" s="113">
        <v>0</v>
      </c>
      <c r="Q36" s="113">
        <v>81.562511226915106</v>
      </c>
      <c r="R36" s="113">
        <v>12.8957977210154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76.143844938732997</v>
      </c>
      <c r="Y36" s="113">
        <v>0</v>
      </c>
      <c r="Z36" s="113">
        <v>0</v>
      </c>
      <c r="AA36" s="113">
        <v>235.74511749179899</v>
      </c>
      <c r="AB36" s="113">
        <v>-4.7213906086059003</v>
      </c>
      <c r="AC36" s="113">
        <v>0</v>
      </c>
      <c r="AD36" s="113">
        <v>0</v>
      </c>
      <c r="AE36" s="113">
        <v>7.1910743942115296</v>
      </c>
      <c r="AF36" s="113">
        <v>0</v>
      </c>
      <c r="AG36" s="113">
        <v>0</v>
      </c>
      <c r="AH36" s="113">
        <v>0</v>
      </c>
      <c r="AI36" s="113">
        <v>0</v>
      </c>
      <c r="AJ36" s="113">
        <v>0</v>
      </c>
      <c r="AK36" s="113">
        <v>0</v>
      </c>
      <c r="AL36" s="113">
        <v>0</v>
      </c>
      <c r="AM36" s="113">
        <v>0</v>
      </c>
      <c r="AN36" s="113">
        <v>73.719053058562295</v>
      </c>
      <c r="AO36" s="113">
        <v>0</v>
      </c>
      <c r="AP36" s="113">
        <v>0</v>
      </c>
      <c r="AQ36" s="113">
        <v>0</v>
      </c>
      <c r="AR36" s="113">
        <v>-1.99735801071468</v>
      </c>
      <c r="AS36" s="113">
        <v>0</v>
      </c>
      <c r="AT36" s="114">
        <v>0</v>
      </c>
    </row>
    <row r="37" spans="2:46" ht="12" customHeight="1" x14ac:dyDescent="0.3">
      <c r="B37" s="112" t="s">
        <v>42</v>
      </c>
      <c r="C37" s="113" t="s">
        <v>23</v>
      </c>
      <c r="D37" s="113" t="s">
        <v>43</v>
      </c>
      <c r="E37" s="113" t="s">
        <v>484</v>
      </c>
      <c r="F37" s="113" t="s">
        <v>25</v>
      </c>
      <c r="G37" s="113" t="s">
        <v>25</v>
      </c>
      <c r="H37" s="113" t="s">
        <v>467</v>
      </c>
      <c r="I37" s="113" t="s">
        <v>25</v>
      </c>
      <c r="J37" s="113">
        <v>638.49</v>
      </c>
      <c r="K37" s="113">
        <v>73.28</v>
      </c>
      <c r="L37" s="113">
        <v>0</v>
      </c>
      <c r="M37" s="113">
        <v>1.6912206382167101</v>
      </c>
      <c r="N37" s="113">
        <v>0</v>
      </c>
      <c r="O37" s="113">
        <v>0</v>
      </c>
      <c r="P37" s="113">
        <v>0</v>
      </c>
      <c r="Q37" s="113">
        <v>83.335609297065503</v>
      </c>
      <c r="R37" s="113">
        <v>13.176141149733199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131.945811898247</v>
      </c>
      <c r="Y37" s="113">
        <v>0</v>
      </c>
      <c r="Z37" s="113">
        <v>0</v>
      </c>
      <c r="AA37" s="113">
        <v>408.25451896181397</v>
      </c>
      <c r="AB37" s="113">
        <v>-7.2595073681246101</v>
      </c>
      <c r="AC37" s="113">
        <v>0</v>
      </c>
      <c r="AD37" s="113">
        <v>0</v>
      </c>
      <c r="AE37" s="113">
        <v>7.3474020984335198</v>
      </c>
      <c r="AF37" s="113">
        <v>0</v>
      </c>
      <c r="AG37" s="113">
        <v>0</v>
      </c>
      <c r="AH37" s="113">
        <v>0</v>
      </c>
      <c r="AI37" s="113">
        <v>0</v>
      </c>
      <c r="AJ37" s="113">
        <v>0</v>
      </c>
      <c r="AK37" s="113">
        <v>0</v>
      </c>
      <c r="AL37" s="113">
        <v>0</v>
      </c>
      <c r="AM37" s="113">
        <v>0</v>
      </c>
      <c r="AN37" s="113">
        <v>75.321641168531002</v>
      </c>
      <c r="AO37" s="113">
        <v>0</v>
      </c>
      <c r="AP37" s="113">
        <v>0</v>
      </c>
      <c r="AQ37" s="113">
        <v>0</v>
      </c>
      <c r="AR37" s="113">
        <v>-2.0407788370345701</v>
      </c>
      <c r="AS37" s="113">
        <v>0</v>
      </c>
      <c r="AT37" s="114">
        <v>0</v>
      </c>
    </row>
    <row r="38" spans="2:46" ht="12" customHeight="1" x14ac:dyDescent="0.3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467</v>
      </c>
      <c r="I38" s="113" t="s">
        <v>25</v>
      </c>
      <c r="J38" s="113">
        <v>631.70000000000005</v>
      </c>
      <c r="K38" s="113">
        <v>72.5</v>
      </c>
      <c r="L38" s="113">
        <v>0</v>
      </c>
      <c r="M38" s="113">
        <v>1.6732289292995099</v>
      </c>
      <c r="N38" s="113">
        <v>0</v>
      </c>
      <c r="O38" s="113">
        <v>0</v>
      </c>
      <c r="P38" s="113">
        <v>0</v>
      </c>
      <c r="Q38" s="113">
        <v>82.449060261990297</v>
      </c>
      <c r="R38" s="113">
        <v>13.0359694353743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130.54213304826499</v>
      </c>
      <c r="Y38" s="113">
        <v>0</v>
      </c>
      <c r="Z38" s="113">
        <v>0</v>
      </c>
      <c r="AA38" s="113">
        <v>403.91138578136901</v>
      </c>
      <c r="AB38" s="113">
        <v>-7.1822785663360502</v>
      </c>
      <c r="AC38" s="113">
        <v>0</v>
      </c>
      <c r="AD38" s="113">
        <v>0</v>
      </c>
      <c r="AE38" s="113">
        <v>7.2692382463225202</v>
      </c>
      <c r="AF38" s="113">
        <v>0</v>
      </c>
      <c r="AG38" s="113">
        <v>0</v>
      </c>
      <c r="AH38" s="113">
        <v>0</v>
      </c>
      <c r="AI38" s="113">
        <v>0</v>
      </c>
      <c r="AJ38" s="113">
        <v>0</v>
      </c>
      <c r="AK38" s="113">
        <v>0</v>
      </c>
      <c r="AL38" s="113">
        <v>0</v>
      </c>
      <c r="AM38" s="113">
        <v>0</v>
      </c>
      <c r="AN38" s="113">
        <v>74.520347113546606</v>
      </c>
      <c r="AO38" s="113">
        <v>0</v>
      </c>
      <c r="AP38" s="113">
        <v>0</v>
      </c>
      <c r="AQ38" s="113">
        <v>0</v>
      </c>
      <c r="AR38" s="113">
        <v>-2.0190684238746202</v>
      </c>
      <c r="AS38" s="113">
        <v>0</v>
      </c>
      <c r="AT38" s="114">
        <v>0</v>
      </c>
    </row>
    <row r="39" spans="2:46" ht="12" customHeight="1" x14ac:dyDescent="0.3">
      <c r="B39" s="112" t="s">
        <v>42</v>
      </c>
      <c r="C39" s="113" t="s">
        <v>23</v>
      </c>
      <c r="D39" s="113" t="s">
        <v>43</v>
      </c>
      <c r="E39" s="113" t="s">
        <v>485</v>
      </c>
      <c r="F39" s="113" t="s">
        <v>25</v>
      </c>
      <c r="G39" s="113" t="s">
        <v>25</v>
      </c>
      <c r="H39" s="113" t="s">
        <v>467</v>
      </c>
      <c r="I39" s="113" t="s">
        <v>25</v>
      </c>
      <c r="J39" s="113">
        <v>624.91</v>
      </c>
      <c r="K39" s="113">
        <v>71.72</v>
      </c>
      <c r="L39" s="113">
        <v>0</v>
      </c>
      <c r="M39" s="113">
        <v>1.65523722038231</v>
      </c>
      <c r="N39" s="113">
        <v>0</v>
      </c>
      <c r="O39" s="113">
        <v>0</v>
      </c>
      <c r="P39" s="113">
        <v>0</v>
      </c>
      <c r="Q39" s="113">
        <v>81.562511226915106</v>
      </c>
      <c r="R39" s="113">
        <v>12.8957977210154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129.13845419828399</v>
      </c>
      <c r="Y39" s="113">
        <v>0</v>
      </c>
      <c r="Z39" s="113">
        <v>0</v>
      </c>
      <c r="AA39" s="113">
        <v>399.56825260092398</v>
      </c>
      <c r="AB39" s="113">
        <v>-7.1050497645474904</v>
      </c>
      <c r="AC39" s="113">
        <v>0</v>
      </c>
      <c r="AD39" s="113">
        <v>0</v>
      </c>
      <c r="AE39" s="113">
        <v>7.1910743942115296</v>
      </c>
      <c r="AF39" s="113">
        <v>0</v>
      </c>
      <c r="AG39" s="113">
        <v>0</v>
      </c>
      <c r="AH39" s="113">
        <v>0</v>
      </c>
      <c r="AI39" s="113">
        <v>0</v>
      </c>
      <c r="AJ39" s="113">
        <v>0</v>
      </c>
      <c r="AK39" s="113">
        <v>0</v>
      </c>
      <c r="AL39" s="113">
        <v>0</v>
      </c>
      <c r="AM39" s="113">
        <v>0</v>
      </c>
      <c r="AN39" s="113">
        <v>73.719053058562295</v>
      </c>
      <c r="AO39" s="113">
        <v>0</v>
      </c>
      <c r="AP39" s="113">
        <v>0</v>
      </c>
      <c r="AQ39" s="113">
        <v>0</v>
      </c>
      <c r="AR39" s="113">
        <v>-1.99735801071468</v>
      </c>
      <c r="AS39" s="113">
        <v>0</v>
      </c>
      <c r="AT39" s="114">
        <v>0</v>
      </c>
    </row>
    <row r="40" spans="2:46" ht="12" customHeight="1" x14ac:dyDescent="0.3">
      <c r="B40" s="112" t="s">
        <v>42</v>
      </c>
      <c r="C40" s="113" t="s">
        <v>483</v>
      </c>
      <c r="D40" s="113" t="s">
        <v>43</v>
      </c>
      <c r="E40" s="113" t="s">
        <v>484</v>
      </c>
      <c r="F40" s="113" t="s">
        <v>25</v>
      </c>
      <c r="G40" s="113" t="s">
        <v>25</v>
      </c>
      <c r="H40" s="113" t="s">
        <v>467</v>
      </c>
      <c r="I40" s="113" t="s">
        <v>25</v>
      </c>
      <c r="J40" s="113">
        <v>638.49</v>
      </c>
      <c r="K40" s="113">
        <v>73.28</v>
      </c>
      <c r="L40" s="113">
        <v>0</v>
      </c>
      <c r="M40" s="113">
        <v>1.6912206382167101</v>
      </c>
      <c r="N40" s="113">
        <v>0</v>
      </c>
      <c r="O40" s="113">
        <v>0</v>
      </c>
      <c r="P40" s="113">
        <v>0</v>
      </c>
      <c r="Q40" s="113">
        <v>83.335609297065503</v>
      </c>
      <c r="R40" s="113">
        <v>13.176141149733199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131.945811898247</v>
      </c>
      <c r="Y40" s="113">
        <v>0</v>
      </c>
      <c r="Z40" s="113">
        <v>0</v>
      </c>
      <c r="AA40" s="113">
        <v>408.25451896181397</v>
      </c>
      <c r="AB40" s="113">
        <v>-7.2595073681246101</v>
      </c>
      <c r="AC40" s="113">
        <v>0</v>
      </c>
      <c r="AD40" s="113">
        <v>0</v>
      </c>
      <c r="AE40" s="113">
        <v>7.3474020984335198</v>
      </c>
      <c r="AF40" s="113">
        <v>0</v>
      </c>
      <c r="AG40" s="113">
        <v>0</v>
      </c>
      <c r="AH40" s="113">
        <v>0</v>
      </c>
      <c r="AI40" s="113">
        <v>0</v>
      </c>
      <c r="AJ40" s="113">
        <v>0</v>
      </c>
      <c r="AK40" s="113">
        <v>0</v>
      </c>
      <c r="AL40" s="113">
        <v>0</v>
      </c>
      <c r="AM40" s="113">
        <v>0</v>
      </c>
      <c r="AN40" s="113">
        <v>75.321641168531002</v>
      </c>
      <c r="AO40" s="113">
        <v>0</v>
      </c>
      <c r="AP40" s="113">
        <v>0</v>
      </c>
      <c r="AQ40" s="113">
        <v>0</v>
      </c>
      <c r="AR40" s="113">
        <v>-2.0407788370345701</v>
      </c>
      <c r="AS40" s="113">
        <v>0</v>
      </c>
      <c r="AT40" s="114">
        <v>0</v>
      </c>
    </row>
    <row r="41" spans="2:46" ht="12" customHeight="1" x14ac:dyDescent="0.3">
      <c r="B41" s="112" t="s">
        <v>42</v>
      </c>
      <c r="C41" s="113" t="s">
        <v>483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467</v>
      </c>
      <c r="I41" s="113" t="s">
        <v>25</v>
      </c>
      <c r="J41" s="113">
        <v>631.70000000000005</v>
      </c>
      <c r="K41" s="113">
        <v>72.5</v>
      </c>
      <c r="L41" s="113">
        <v>0</v>
      </c>
      <c r="M41" s="113">
        <v>1.6732289292995099</v>
      </c>
      <c r="N41" s="113">
        <v>0</v>
      </c>
      <c r="O41" s="113">
        <v>0</v>
      </c>
      <c r="P41" s="113">
        <v>0</v>
      </c>
      <c r="Q41" s="113">
        <v>82.449060261990297</v>
      </c>
      <c r="R41" s="113">
        <v>13.0359694353743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130.54213304826499</v>
      </c>
      <c r="Y41" s="113">
        <v>0</v>
      </c>
      <c r="Z41" s="113">
        <v>0</v>
      </c>
      <c r="AA41" s="113">
        <v>403.91138578136901</v>
      </c>
      <c r="AB41" s="113">
        <v>-7.1822785663360502</v>
      </c>
      <c r="AC41" s="113">
        <v>0</v>
      </c>
      <c r="AD41" s="113">
        <v>0</v>
      </c>
      <c r="AE41" s="113">
        <v>7.2692382463225202</v>
      </c>
      <c r="AF41" s="113">
        <v>0</v>
      </c>
      <c r="AG41" s="113">
        <v>0</v>
      </c>
      <c r="AH41" s="113">
        <v>0</v>
      </c>
      <c r="AI41" s="113">
        <v>0</v>
      </c>
      <c r="AJ41" s="113">
        <v>0</v>
      </c>
      <c r="AK41" s="113">
        <v>0</v>
      </c>
      <c r="AL41" s="113">
        <v>0</v>
      </c>
      <c r="AM41" s="113">
        <v>0</v>
      </c>
      <c r="AN41" s="113">
        <v>74.520347113546606</v>
      </c>
      <c r="AO41" s="113">
        <v>0</v>
      </c>
      <c r="AP41" s="113">
        <v>0</v>
      </c>
      <c r="AQ41" s="113">
        <v>0</v>
      </c>
      <c r="AR41" s="113">
        <v>-2.0190684238746202</v>
      </c>
      <c r="AS41" s="113">
        <v>0</v>
      </c>
      <c r="AT41" s="114">
        <v>0</v>
      </c>
    </row>
    <row r="42" spans="2:46" ht="12" customHeight="1" x14ac:dyDescent="0.3">
      <c r="B42" s="112" t="s">
        <v>42</v>
      </c>
      <c r="C42" s="113" t="s">
        <v>483</v>
      </c>
      <c r="D42" s="113" t="s">
        <v>43</v>
      </c>
      <c r="E42" s="113" t="s">
        <v>485</v>
      </c>
      <c r="F42" s="113" t="s">
        <v>25</v>
      </c>
      <c r="G42" s="113" t="s">
        <v>25</v>
      </c>
      <c r="H42" s="113" t="s">
        <v>467</v>
      </c>
      <c r="I42" s="113" t="s">
        <v>25</v>
      </c>
      <c r="J42" s="113">
        <v>624.91</v>
      </c>
      <c r="K42" s="113">
        <v>71.72</v>
      </c>
      <c r="L42" s="113">
        <v>0</v>
      </c>
      <c r="M42" s="113">
        <v>1.65523722038231</v>
      </c>
      <c r="N42" s="113">
        <v>0</v>
      </c>
      <c r="O42" s="113">
        <v>0</v>
      </c>
      <c r="P42" s="113">
        <v>0</v>
      </c>
      <c r="Q42" s="113">
        <v>81.562511226915106</v>
      </c>
      <c r="R42" s="113">
        <v>12.8957977210154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129.13845419828399</v>
      </c>
      <c r="Y42" s="113">
        <v>0</v>
      </c>
      <c r="Z42" s="113">
        <v>0</v>
      </c>
      <c r="AA42" s="113">
        <v>399.56825260092398</v>
      </c>
      <c r="AB42" s="113">
        <v>-7.1050497645474904</v>
      </c>
      <c r="AC42" s="113">
        <v>0</v>
      </c>
      <c r="AD42" s="113">
        <v>0</v>
      </c>
      <c r="AE42" s="113">
        <v>7.1910743942115296</v>
      </c>
      <c r="AF42" s="113">
        <v>0</v>
      </c>
      <c r="AG42" s="113">
        <v>0</v>
      </c>
      <c r="AH42" s="113">
        <v>0</v>
      </c>
      <c r="AI42" s="113">
        <v>0</v>
      </c>
      <c r="AJ42" s="113">
        <v>0</v>
      </c>
      <c r="AK42" s="113">
        <v>0</v>
      </c>
      <c r="AL42" s="113">
        <v>0</v>
      </c>
      <c r="AM42" s="113">
        <v>0</v>
      </c>
      <c r="AN42" s="113">
        <v>73.719053058562295</v>
      </c>
      <c r="AO42" s="113">
        <v>0</v>
      </c>
      <c r="AP42" s="113">
        <v>0</v>
      </c>
      <c r="AQ42" s="113">
        <v>0</v>
      </c>
      <c r="AR42" s="113">
        <v>-1.99735801071468</v>
      </c>
      <c r="AS42" s="113">
        <v>0</v>
      </c>
      <c r="AT42" s="114">
        <v>0</v>
      </c>
    </row>
    <row r="43" spans="2:46" ht="12" customHeight="1" x14ac:dyDescent="0.3">
      <c r="B43" s="112" t="s">
        <v>37</v>
      </c>
      <c r="C43" s="113" t="s">
        <v>33</v>
      </c>
      <c r="D43" s="113" t="s">
        <v>25</v>
      </c>
      <c r="E43" s="113" t="s">
        <v>25</v>
      </c>
      <c r="F43" s="113" t="s">
        <v>25</v>
      </c>
      <c r="G43" s="113" t="s">
        <v>34</v>
      </c>
      <c r="H43" s="113" t="s">
        <v>467</v>
      </c>
      <c r="I43" s="113" t="s">
        <v>25</v>
      </c>
      <c r="J43" s="113">
        <v>2071.85</v>
      </c>
      <c r="K43" s="113">
        <v>77.959999999999994</v>
      </c>
      <c r="L43" s="113">
        <v>0</v>
      </c>
      <c r="M43" s="113">
        <v>1.7991708917199001</v>
      </c>
      <c r="N43" s="113">
        <v>0</v>
      </c>
      <c r="O43" s="113">
        <v>0</v>
      </c>
      <c r="P43" s="113">
        <v>0</v>
      </c>
      <c r="Q43" s="113">
        <v>88.654903507516394</v>
      </c>
      <c r="R43" s="113">
        <v>14.0171714358864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484.39033200097901</v>
      </c>
      <c r="Y43" s="113">
        <v>0</v>
      </c>
      <c r="Z43" s="113">
        <v>0</v>
      </c>
      <c r="AA43" s="113">
        <v>1498.38023494914</v>
      </c>
      <c r="AB43" s="113">
        <v>-23.2032359844418</v>
      </c>
      <c r="AC43" s="113">
        <v>0</v>
      </c>
      <c r="AD43" s="113">
        <v>0</v>
      </c>
      <c r="AE43" s="113">
        <v>7.8163852110994902</v>
      </c>
      <c r="AF43" s="113">
        <v>0</v>
      </c>
      <c r="AG43" s="113">
        <v>0</v>
      </c>
      <c r="AH43" s="113">
        <v>0</v>
      </c>
      <c r="AI43" s="113">
        <v>0</v>
      </c>
      <c r="AJ43" s="113">
        <v>0</v>
      </c>
      <c r="AK43" s="113">
        <v>0</v>
      </c>
      <c r="AL43" s="113">
        <v>0</v>
      </c>
      <c r="AM43" s="113">
        <v>0</v>
      </c>
      <c r="AN43" s="113">
        <v>80.129405498437293</v>
      </c>
      <c r="AO43" s="113">
        <v>0</v>
      </c>
      <c r="AP43" s="113">
        <v>0</v>
      </c>
      <c r="AQ43" s="113">
        <v>0</v>
      </c>
      <c r="AR43" s="113">
        <v>-2.1710413159942199</v>
      </c>
      <c r="AS43" s="113">
        <v>0</v>
      </c>
      <c r="AT43" s="114">
        <v>0</v>
      </c>
    </row>
    <row r="44" spans="2:46" ht="12" customHeight="1" x14ac:dyDescent="0.3">
      <c r="B44" s="112" t="s">
        <v>37</v>
      </c>
      <c r="C44" s="113" t="s">
        <v>33</v>
      </c>
      <c r="D44" s="113" t="s">
        <v>25</v>
      </c>
      <c r="E44" s="113" t="s">
        <v>25</v>
      </c>
      <c r="F44" s="113" t="s">
        <v>25</v>
      </c>
      <c r="G44" s="113" t="s">
        <v>36</v>
      </c>
      <c r="H44" s="113" t="s">
        <v>467</v>
      </c>
      <c r="I44" s="113" t="s">
        <v>25</v>
      </c>
      <c r="J44" s="113">
        <v>1287.4100000000001</v>
      </c>
      <c r="K44" s="113">
        <v>77.959999999999994</v>
      </c>
      <c r="L44" s="113">
        <v>0</v>
      </c>
      <c r="M44" s="113">
        <v>1.7991708917199001</v>
      </c>
      <c r="N44" s="113">
        <v>0</v>
      </c>
      <c r="O44" s="113">
        <v>0</v>
      </c>
      <c r="P44" s="113">
        <v>0</v>
      </c>
      <c r="Q44" s="113">
        <v>88.654903507516394</v>
      </c>
      <c r="R44" s="113">
        <v>14.0171714358864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290.57865692103201</v>
      </c>
      <c r="Y44" s="113">
        <v>0</v>
      </c>
      <c r="Z44" s="113">
        <v>0</v>
      </c>
      <c r="AA44" s="113">
        <v>899.02811870997198</v>
      </c>
      <c r="AB44" s="113">
        <v>-14.4833032459465</v>
      </c>
      <c r="AC44" s="113">
        <v>0</v>
      </c>
      <c r="AD44" s="113">
        <v>0</v>
      </c>
      <c r="AE44" s="113">
        <v>7.8163852110994902</v>
      </c>
      <c r="AF44" s="113">
        <v>0</v>
      </c>
      <c r="AG44" s="113">
        <v>0</v>
      </c>
      <c r="AH44" s="113">
        <v>0</v>
      </c>
      <c r="AI44" s="113">
        <v>0</v>
      </c>
      <c r="AJ44" s="113">
        <v>0</v>
      </c>
      <c r="AK44" s="113">
        <v>0</v>
      </c>
      <c r="AL44" s="113">
        <v>0</v>
      </c>
      <c r="AM44" s="113">
        <v>0</v>
      </c>
      <c r="AN44" s="113">
        <v>80.129405498437293</v>
      </c>
      <c r="AO44" s="113">
        <v>0</v>
      </c>
      <c r="AP44" s="113">
        <v>0</v>
      </c>
      <c r="AQ44" s="113">
        <v>0</v>
      </c>
      <c r="AR44" s="113">
        <v>-2.1710413159942199</v>
      </c>
      <c r="AS44" s="113">
        <v>0</v>
      </c>
      <c r="AT44" s="114">
        <v>0</v>
      </c>
    </row>
    <row r="45" spans="2:46" ht="12" customHeight="1" x14ac:dyDescent="0.3">
      <c r="B45" s="112" t="s">
        <v>37</v>
      </c>
      <c r="C45" s="113" t="s">
        <v>33</v>
      </c>
      <c r="D45" s="113" t="s">
        <v>25</v>
      </c>
      <c r="E45" s="113" t="s">
        <v>25</v>
      </c>
      <c r="F45" s="113" t="s">
        <v>25</v>
      </c>
      <c r="G45" s="113" t="s">
        <v>35</v>
      </c>
      <c r="H45" s="113" t="s">
        <v>467</v>
      </c>
      <c r="I45" s="113" t="s">
        <v>25</v>
      </c>
      <c r="J45" s="113">
        <v>503.04</v>
      </c>
      <c r="K45" s="113">
        <v>77.959999999999994</v>
      </c>
      <c r="L45" s="113">
        <v>0</v>
      </c>
      <c r="M45" s="113">
        <v>1.7991708917199001</v>
      </c>
      <c r="N45" s="113">
        <v>0</v>
      </c>
      <c r="O45" s="113">
        <v>0</v>
      </c>
      <c r="P45" s="113">
        <v>0</v>
      </c>
      <c r="Q45" s="113">
        <v>88.654903507516394</v>
      </c>
      <c r="R45" s="113">
        <v>14.0171714358864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96.836436403822802</v>
      </c>
      <c r="Y45" s="113">
        <v>0</v>
      </c>
      <c r="Z45" s="113">
        <v>0</v>
      </c>
      <c r="AA45" s="113">
        <v>299.67622506590902</v>
      </c>
      <c r="AB45" s="113">
        <v>-5.7641183781351097</v>
      </c>
      <c r="AC45" s="113">
        <v>0</v>
      </c>
      <c r="AD45" s="113">
        <v>0</v>
      </c>
      <c r="AE45" s="113">
        <v>7.8163852110994902</v>
      </c>
      <c r="AF45" s="113">
        <v>0</v>
      </c>
      <c r="AG45" s="113">
        <v>0</v>
      </c>
      <c r="AH45" s="113">
        <v>0</v>
      </c>
      <c r="AI45" s="113">
        <v>0</v>
      </c>
      <c r="AJ45" s="113">
        <v>0</v>
      </c>
      <c r="AK45" s="113">
        <v>0</v>
      </c>
      <c r="AL45" s="113">
        <v>0</v>
      </c>
      <c r="AM45" s="113">
        <v>0</v>
      </c>
      <c r="AN45" s="113">
        <v>80.129405498437293</v>
      </c>
      <c r="AO45" s="113">
        <v>0</v>
      </c>
      <c r="AP45" s="113">
        <v>0</v>
      </c>
      <c r="AQ45" s="113">
        <v>0</v>
      </c>
      <c r="AR45" s="113">
        <v>-2.1710413159942199</v>
      </c>
      <c r="AS45" s="113">
        <v>0</v>
      </c>
      <c r="AT45" s="114">
        <v>0</v>
      </c>
    </row>
    <row r="46" spans="2:46" ht="12" customHeight="1" x14ac:dyDescent="0.3">
      <c r="B46" s="112" t="s">
        <v>37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467</v>
      </c>
      <c r="I46" s="113" t="s">
        <v>25</v>
      </c>
      <c r="J46" s="113">
        <v>679.25</v>
      </c>
      <c r="K46" s="113">
        <v>77.959999999999994</v>
      </c>
      <c r="L46" s="113">
        <v>0</v>
      </c>
      <c r="M46" s="113">
        <v>1.7991708917199001</v>
      </c>
      <c r="N46" s="113">
        <v>0</v>
      </c>
      <c r="O46" s="113">
        <v>0</v>
      </c>
      <c r="P46" s="113">
        <v>0</v>
      </c>
      <c r="Q46" s="113">
        <v>88.654903507516394</v>
      </c>
      <c r="R46" s="113">
        <v>14.0171714358864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140.367884998135</v>
      </c>
      <c r="Y46" s="113">
        <v>0</v>
      </c>
      <c r="Z46" s="113">
        <v>0</v>
      </c>
      <c r="AA46" s="113">
        <v>434.313318044482</v>
      </c>
      <c r="AB46" s="113">
        <v>-7.72288017885597</v>
      </c>
      <c r="AC46" s="113">
        <v>0</v>
      </c>
      <c r="AD46" s="113">
        <v>0</v>
      </c>
      <c r="AE46" s="113">
        <v>7.8163852110994902</v>
      </c>
      <c r="AF46" s="113">
        <v>0</v>
      </c>
      <c r="AG46" s="113">
        <v>0</v>
      </c>
      <c r="AH46" s="113">
        <v>0</v>
      </c>
      <c r="AI46" s="113">
        <v>0</v>
      </c>
      <c r="AJ46" s="113">
        <v>0</v>
      </c>
      <c r="AK46" s="113">
        <v>0</v>
      </c>
      <c r="AL46" s="113">
        <v>0</v>
      </c>
      <c r="AM46" s="113">
        <v>0</v>
      </c>
      <c r="AN46" s="113">
        <v>80.129405498437293</v>
      </c>
      <c r="AO46" s="113">
        <v>0</v>
      </c>
      <c r="AP46" s="113">
        <v>0</v>
      </c>
      <c r="AQ46" s="113">
        <v>0</v>
      </c>
      <c r="AR46" s="113">
        <v>-2.1710413159942199</v>
      </c>
      <c r="AS46" s="113">
        <v>0</v>
      </c>
      <c r="AT46" s="114">
        <v>0</v>
      </c>
    </row>
    <row r="47" spans="2:46" ht="12" customHeight="1" x14ac:dyDescent="0.3">
      <c r="B47" s="112" t="s">
        <v>37</v>
      </c>
      <c r="C47" s="113" t="s">
        <v>483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467</v>
      </c>
      <c r="I47" s="113" t="s">
        <v>25</v>
      </c>
      <c r="J47" s="113">
        <v>679.25</v>
      </c>
      <c r="K47" s="113">
        <v>77.959999999999994</v>
      </c>
      <c r="L47" s="113">
        <v>0</v>
      </c>
      <c r="M47" s="113">
        <v>1.7991708917199001</v>
      </c>
      <c r="N47" s="113">
        <v>0</v>
      </c>
      <c r="O47" s="113">
        <v>0</v>
      </c>
      <c r="P47" s="113">
        <v>0</v>
      </c>
      <c r="Q47" s="113">
        <v>88.654903507516394</v>
      </c>
      <c r="R47" s="113">
        <v>14.0171714358864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140.367884998135</v>
      </c>
      <c r="Y47" s="113">
        <v>0</v>
      </c>
      <c r="Z47" s="113">
        <v>0</v>
      </c>
      <c r="AA47" s="113">
        <v>434.313318044482</v>
      </c>
      <c r="AB47" s="113">
        <v>-7.72288017885597</v>
      </c>
      <c r="AC47" s="113">
        <v>0</v>
      </c>
      <c r="AD47" s="113">
        <v>0</v>
      </c>
      <c r="AE47" s="113">
        <v>7.8163852110994902</v>
      </c>
      <c r="AF47" s="113">
        <v>0</v>
      </c>
      <c r="AG47" s="113">
        <v>0</v>
      </c>
      <c r="AH47" s="113">
        <v>0</v>
      </c>
      <c r="AI47" s="113">
        <v>0</v>
      </c>
      <c r="AJ47" s="113">
        <v>0</v>
      </c>
      <c r="AK47" s="113">
        <v>0</v>
      </c>
      <c r="AL47" s="113">
        <v>0</v>
      </c>
      <c r="AM47" s="113">
        <v>0</v>
      </c>
      <c r="AN47" s="113">
        <v>80.129405498437293</v>
      </c>
      <c r="AO47" s="113">
        <v>0</v>
      </c>
      <c r="AP47" s="113">
        <v>0</v>
      </c>
      <c r="AQ47" s="113">
        <v>0</v>
      </c>
      <c r="AR47" s="113">
        <v>-2.1710413159942199</v>
      </c>
      <c r="AS47" s="113">
        <v>0</v>
      </c>
      <c r="AT47" s="114">
        <v>0</v>
      </c>
    </row>
    <row r="48" spans="2:46" ht="12" customHeight="1" x14ac:dyDescent="0.3">
      <c r="B48" s="112" t="s">
        <v>45</v>
      </c>
      <c r="C48" s="113" t="s">
        <v>23</v>
      </c>
      <c r="D48" s="113" t="s">
        <v>46</v>
      </c>
      <c r="E48" s="113" t="s">
        <v>486</v>
      </c>
      <c r="F48" s="113" t="s">
        <v>25</v>
      </c>
      <c r="G48" s="113" t="s">
        <v>25</v>
      </c>
      <c r="H48" s="113" t="s">
        <v>467</v>
      </c>
      <c r="I48" s="113" t="s">
        <v>25</v>
      </c>
      <c r="J48" s="113">
        <v>373.59</v>
      </c>
      <c r="K48" s="113">
        <v>42.88</v>
      </c>
      <c r="L48" s="113">
        <v>0</v>
      </c>
      <c r="M48" s="113">
        <v>0.98954399044594599</v>
      </c>
      <c r="N48" s="113">
        <v>0</v>
      </c>
      <c r="O48" s="113">
        <v>0</v>
      </c>
      <c r="P48" s="113">
        <v>0</v>
      </c>
      <c r="Q48" s="113">
        <v>48.760196929133997</v>
      </c>
      <c r="R48" s="113">
        <v>7.7094442897375002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77.202336748974105</v>
      </c>
      <c r="Y48" s="113">
        <v>0</v>
      </c>
      <c r="Z48" s="113">
        <v>0</v>
      </c>
      <c r="AA48" s="113">
        <v>238.872324924465</v>
      </c>
      <c r="AB48" s="113">
        <v>-4.2475840983707798</v>
      </c>
      <c r="AC48" s="113">
        <v>0</v>
      </c>
      <c r="AD48" s="113">
        <v>0</v>
      </c>
      <c r="AE48" s="113">
        <v>4.2990118661047196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44.071173024140499</v>
      </c>
      <c r="AO48" s="113">
        <v>0</v>
      </c>
      <c r="AP48" s="113">
        <v>0</v>
      </c>
      <c r="AQ48" s="113">
        <v>0</v>
      </c>
      <c r="AR48" s="113">
        <v>-1.1940727237968201</v>
      </c>
      <c r="AS48" s="113">
        <v>0</v>
      </c>
      <c r="AT48" s="114">
        <v>0</v>
      </c>
    </row>
    <row r="49" spans="2:46" ht="12" customHeight="1" x14ac:dyDescent="0.3">
      <c r="B49" s="115" t="s">
        <v>45</v>
      </c>
      <c r="C49" s="116" t="s">
        <v>23</v>
      </c>
      <c r="D49" s="116" t="s">
        <v>46</v>
      </c>
      <c r="E49" s="116" t="s">
        <v>47</v>
      </c>
      <c r="F49" s="116" t="s">
        <v>25</v>
      </c>
      <c r="G49" s="116" t="s">
        <v>25</v>
      </c>
      <c r="H49" s="116" t="s">
        <v>467</v>
      </c>
      <c r="I49" s="116" t="s">
        <v>25</v>
      </c>
      <c r="J49" s="116">
        <v>407.55</v>
      </c>
      <c r="K49" s="116">
        <v>46.78</v>
      </c>
      <c r="L49" s="116">
        <v>0</v>
      </c>
      <c r="M49" s="116">
        <v>1.07950253503194</v>
      </c>
      <c r="N49" s="116">
        <v>0</v>
      </c>
      <c r="O49" s="116">
        <v>0</v>
      </c>
      <c r="P49" s="116">
        <v>0</v>
      </c>
      <c r="Q49" s="116">
        <v>53.192942104509903</v>
      </c>
      <c r="R49" s="116">
        <v>8.4103028615318092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84.220730998880896</v>
      </c>
      <c r="Y49" s="116">
        <v>0</v>
      </c>
      <c r="Z49" s="116">
        <v>0</v>
      </c>
      <c r="AA49" s="116">
        <v>260.58799082668901</v>
      </c>
      <c r="AB49" s="116">
        <v>-4.6337281073135799</v>
      </c>
      <c r="AC49" s="116">
        <v>0</v>
      </c>
      <c r="AD49" s="116">
        <v>0</v>
      </c>
      <c r="AE49" s="116">
        <v>4.6898311266596897</v>
      </c>
      <c r="AF49" s="116">
        <v>0</v>
      </c>
      <c r="AG49" s="116">
        <v>0</v>
      </c>
      <c r="AH49" s="116">
        <v>0</v>
      </c>
      <c r="AI49" s="116">
        <v>0</v>
      </c>
      <c r="AJ49" s="116">
        <v>0</v>
      </c>
      <c r="AK49" s="116">
        <v>0</v>
      </c>
      <c r="AL49" s="116">
        <v>0</v>
      </c>
      <c r="AM49" s="116">
        <v>0</v>
      </c>
      <c r="AN49" s="116">
        <v>48.077643299062402</v>
      </c>
      <c r="AO49" s="116">
        <v>0</v>
      </c>
      <c r="AP49" s="116">
        <v>0</v>
      </c>
      <c r="AQ49" s="116">
        <v>0</v>
      </c>
      <c r="AR49" s="116">
        <v>-1.3026247895965299</v>
      </c>
      <c r="AS49" s="116">
        <v>0</v>
      </c>
      <c r="AT49" s="117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8CB3-B02C-4B0E-A461-CFC7D79A5A1C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8" t="s">
        <v>1166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3">
      <c r="L2" s="119" t="s">
        <v>493</v>
      </c>
      <c r="M2" s="119"/>
      <c r="N2" s="119"/>
      <c r="O2" s="119"/>
      <c r="P2" s="119"/>
      <c r="Q2" s="119"/>
      <c r="R2" s="119"/>
      <c r="S2" s="120"/>
      <c r="T2" s="119" t="s">
        <v>502</v>
      </c>
      <c r="U2" s="119"/>
      <c r="V2" s="119"/>
      <c r="W2" s="119"/>
      <c r="X2" s="119"/>
      <c r="Y2" s="119"/>
      <c r="Z2" s="120"/>
      <c r="AA2" s="121" t="s">
        <v>510</v>
      </c>
      <c r="AB2" s="119" t="s">
        <v>25</v>
      </c>
      <c r="AC2" s="119"/>
      <c r="AD2" s="120"/>
      <c r="AE2" s="119" t="s">
        <v>1165</v>
      </c>
      <c r="AF2" s="119"/>
      <c r="AG2" s="119"/>
      <c r="AH2" s="120"/>
      <c r="AI2" s="119" t="s">
        <v>493</v>
      </c>
      <c r="AJ2" s="119"/>
      <c r="AK2" s="119"/>
      <c r="AL2" s="119"/>
      <c r="AM2" s="120"/>
      <c r="AN2" s="121" t="s">
        <v>524</v>
      </c>
      <c r="AO2" s="119" t="s">
        <v>502</v>
      </c>
      <c r="AP2" s="119"/>
      <c r="AQ2" s="119"/>
      <c r="AR2" s="119"/>
      <c r="AS2" s="120"/>
      <c r="AT2" s="122" t="s">
        <v>1165</v>
      </c>
    </row>
    <row r="3" spans="2:46" ht="12" customHeight="1" x14ac:dyDescent="0.3">
      <c r="B3" s="109" t="s">
        <v>457</v>
      </c>
      <c r="C3" s="110" t="s">
        <v>458</v>
      </c>
      <c r="D3" s="110" t="s">
        <v>459</v>
      </c>
      <c r="E3" s="110" t="s">
        <v>460</v>
      </c>
      <c r="F3" s="110" t="s">
        <v>461</v>
      </c>
      <c r="G3" s="110" t="s">
        <v>463</v>
      </c>
      <c r="H3" s="110" t="s">
        <v>464</v>
      </c>
      <c r="I3" s="110" t="s">
        <v>768</v>
      </c>
      <c r="J3" s="110" t="s">
        <v>1127</v>
      </c>
      <c r="K3" s="110" t="s">
        <v>1128</v>
      </c>
      <c r="L3" s="110" t="s">
        <v>1129</v>
      </c>
      <c r="M3" s="110" t="s">
        <v>1130</v>
      </c>
      <c r="N3" s="110" t="s">
        <v>1131</v>
      </c>
      <c r="O3" s="110" t="s">
        <v>1132</v>
      </c>
      <c r="P3" s="110" t="s">
        <v>1133</v>
      </c>
      <c r="Q3" s="110" t="s">
        <v>1134</v>
      </c>
      <c r="R3" s="110" t="s">
        <v>1135</v>
      </c>
      <c r="S3" s="110" t="s">
        <v>1136</v>
      </c>
      <c r="T3" s="110" t="s">
        <v>1137</v>
      </c>
      <c r="U3" s="110" t="s">
        <v>1138</v>
      </c>
      <c r="V3" s="110" t="s">
        <v>1139</v>
      </c>
      <c r="W3" s="110" t="s">
        <v>1140</v>
      </c>
      <c r="X3" s="110" t="s">
        <v>1141</v>
      </c>
      <c r="Y3" s="110" t="s">
        <v>1142</v>
      </c>
      <c r="Z3" s="110" t="s">
        <v>1143</v>
      </c>
      <c r="AA3" s="110" t="s">
        <v>1144</v>
      </c>
      <c r="AB3" s="110" t="s">
        <v>1145</v>
      </c>
      <c r="AC3" s="110" t="s">
        <v>1146</v>
      </c>
      <c r="AD3" s="110" t="s">
        <v>1147</v>
      </c>
      <c r="AE3" s="110" t="s">
        <v>1148</v>
      </c>
      <c r="AF3" s="110" t="s">
        <v>1149</v>
      </c>
      <c r="AG3" s="110" t="s">
        <v>1150</v>
      </c>
      <c r="AH3" s="110" t="s">
        <v>1151</v>
      </c>
      <c r="AI3" s="110" t="s">
        <v>1152</v>
      </c>
      <c r="AJ3" s="110" t="s">
        <v>1153</v>
      </c>
      <c r="AK3" s="110" t="s">
        <v>1154</v>
      </c>
      <c r="AL3" s="110" t="s">
        <v>1155</v>
      </c>
      <c r="AM3" s="110" t="s">
        <v>1156</v>
      </c>
      <c r="AN3" s="110" t="s">
        <v>1157</v>
      </c>
      <c r="AO3" s="110" t="s">
        <v>1158</v>
      </c>
      <c r="AP3" s="110" t="s">
        <v>1159</v>
      </c>
      <c r="AQ3" s="110" t="s">
        <v>1160</v>
      </c>
      <c r="AR3" s="110" t="s">
        <v>1161</v>
      </c>
      <c r="AS3" s="110" t="s">
        <v>1162</v>
      </c>
      <c r="AT3" s="111" t="s">
        <v>1163</v>
      </c>
    </row>
    <row r="4" spans="2:46" ht="12" customHeight="1" x14ac:dyDescent="0.3">
      <c r="B4" s="112" t="s">
        <v>39</v>
      </c>
      <c r="C4" s="113" t="s">
        <v>470</v>
      </c>
      <c r="D4" s="113" t="s">
        <v>25</v>
      </c>
      <c r="E4" s="113" t="s">
        <v>25</v>
      </c>
      <c r="F4" s="113" t="s">
        <v>475</v>
      </c>
      <c r="G4" s="113" t="s">
        <v>34</v>
      </c>
      <c r="H4" s="113" t="s">
        <v>467</v>
      </c>
      <c r="I4" s="113" t="s">
        <v>25</v>
      </c>
      <c r="J4" s="113">
        <v>8.48</v>
      </c>
      <c r="K4" s="113">
        <v>0</v>
      </c>
      <c r="L4" s="113">
        <v>0</v>
      </c>
      <c r="M4" s="113">
        <v>1.0669601179568899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7.41125389007619</v>
      </c>
      <c r="AF4" s="113">
        <v>0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3">
      <c r="B5" s="112" t="s">
        <v>39</v>
      </c>
      <c r="C5" s="113" t="s">
        <v>470</v>
      </c>
      <c r="D5" s="113" t="s">
        <v>25</v>
      </c>
      <c r="E5" s="113" t="s">
        <v>25</v>
      </c>
      <c r="F5" s="113" t="s">
        <v>475</v>
      </c>
      <c r="G5" s="113" t="s">
        <v>34</v>
      </c>
      <c r="H5" s="113" t="s">
        <v>471</v>
      </c>
      <c r="I5" s="113" t="s">
        <v>25</v>
      </c>
      <c r="J5" s="113">
        <v>146.66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41.8741660566916</v>
      </c>
      <c r="Y5" s="113">
        <v>0</v>
      </c>
      <c r="Z5" s="113">
        <v>0</v>
      </c>
      <c r="AA5" s="113">
        <v>104.790449130914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3">
      <c r="B6" s="112" t="s">
        <v>39</v>
      </c>
      <c r="C6" s="113" t="s">
        <v>470</v>
      </c>
      <c r="D6" s="113" t="s">
        <v>25</v>
      </c>
      <c r="E6" s="113" t="s">
        <v>25</v>
      </c>
      <c r="F6" s="113" t="s">
        <v>475</v>
      </c>
      <c r="G6" s="113" t="s">
        <v>35</v>
      </c>
      <c r="H6" s="113" t="s">
        <v>467</v>
      </c>
      <c r="I6" s="113" t="s">
        <v>25</v>
      </c>
      <c r="J6" s="113">
        <v>8.48</v>
      </c>
      <c r="K6" s="113">
        <v>0</v>
      </c>
      <c r="L6" s="113">
        <v>0</v>
      </c>
      <c r="M6" s="113">
        <v>1.0669601179568899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7.41125389007619</v>
      </c>
      <c r="AF6" s="113">
        <v>0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3">
      <c r="B7" s="112" t="s">
        <v>39</v>
      </c>
      <c r="C7" s="113" t="s">
        <v>470</v>
      </c>
      <c r="D7" s="113" t="s">
        <v>25</v>
      </c>
      <c r="E7" s="113" t="s">
        <v>25</v>
      </c>
      <c r="F7" s="113" t="s">
        <v>475</v>
      </c>
      <c r="G7" s="113" t="s">
        <v>35</v>
      </c>
      <c r="H7" s="113" t="s">
        <v>471</v>
      </c>
      <c r="I7" s="113" t="s">
        <v>25</v>
      </c>
      <c r="J7" s="113">
        <v>46.21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16.924999219762501</v>
      </c>
      <c r="Y7" s="113">
        <v>0</v>
      </c>
      <c r="Z7" s="113">
        <v>0</v>
      </c>
      <c r="AA7" s="113">
        <v>29.281958956414599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3">
      <c r="B8" s="112" t="s">
        <v>39</v>
      </c>
      <c r="C8" s="113" t="s">
        <v>470</v>
      </c>
      <c r="D8" s="113" t="s">
        <v>25</v>
      </c>
      <c r="E8" s="113" t="s">
        <v>25</v>
      </c>
      <c r="F8" s="113" t="s">
        <v>25</v>
      </c>
      <c r="G8" s="113" t="s">
        <v>34</v>
      </c>
      <c r="H8" s="113" t="s">
        <v>467</v>
      </c>
      <c r="I8" s="113" t="s">
        <v>25</v>
      </c>
      <c r="J8" s="113">
        <v>100.06</v>
      </c>
      <c r="K8" s="113">
        <v>196.78</v>
      </c>
      <c r="L8" s="113">
        <v>0</v>
      </c>
      <c r="M8" s="113">
        <v>1.0669601179568899</v>
      </c>
      <c r="N8" s="113">
        <v>0</v>
      </c>
      <c r="O8" s="113">
        <v>0</v>
      </c>
      <c r="P8" s="113">
        <v>0</v>
      </c>
      <c r="Q8" s="113">
        <v>77.081286650621493</v>
      </c>
      <c r="R8" s="113">
        <v>14.4992143909767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7.41125389007619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196.78360027257401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0</v>
      </c>
    </row>
    <row r="9" spans="2:46" ht="12" customHeight="1" x14ac:dyDescent="0.3">
      <c r="B9" s="112" t="s">
        <v>39</v>
      </c>
      <c r="C9" s="113" t="s">
        <v>470</v>
      </c>
      <c r="D9" s="113" t="s">
        <v>25</v>
      </c>
      <c r="E9" s="113" t="s">
        <v>25</v>
      </c>
      <c r="F9" s="113" t="s">
        <v>25</v>
      </c>
      <c r="G9" s="113" t="s">
        <v>34</v>
      </c>
      <c r="H9" s="113" t="s">
        <v>471</v>
      </c>
      <c r="I9" s="113" t="s">
        <v>25</v>
      </c>
      <c r="J9" s="113">
        <v>146.66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41.8741660566916</v>
      </c>
      <c r="Y9" s="113">
        <v>0</v>
      </c>
      <c r="Z9" s="113">
        <v>0</v>
      </c>
      <c r="AA9" s="113">
        <v>104.790449130914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3">
      <c r="B10" s="112" t="s">
        <v>39</v>
      </c>
      <c r="C10" s="113" t="s">
        <v>470</v>
      </c>
      <c r="D10" s="113" t="s">
        <v>25</v>
      </c>
      <c r="E10" s="113" t="s">
        <v>25</v>
      </c>
      <c r="F10" s="113" t="s">
        <v>25</v>
      </c>
      <c r="G10" s="113" t="s">
        <v>35</v>
      </c>
      <c r="H10" s="113" t="s">
        <v>467</v>
      </c>
      <c r="I10" s="113" t="s">
        <v>25</v>
      </c>
      <c r="J10" s="113">
        <v>100.06</v>
      </c>
      <c r="K10" s="113">
        <v>196.78</v>
      </c>
      <c r="L10" s="113">
        <v>0</v>
      </c>
      <c r="M10" s="113">
        <v>1.0669601179568899</v>
      </c>
      <c r="N10" s="113">
        <v>0</v>
      </c>
      <c r="O10" s="113">
        <v>0</v>
      </c>
      <c r="P10" s="113">
        <v>0</v>
      </c>
      <c r="Q10" s="113">
        <v>77.081286650621493</v>
      </c>
      <c r="R10" s="113">
        <v>14.4992143909767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7.41125389007619</v>
      </c>
      <c r="AF10" s="113">
        <v>0</v>
      </c>
      <c r="AG10" s="113">
        <v>0</v>
      </c>
      <c r="AH10" s="113">
        <v>0</v>
      </c>
      <c r="AI10" s="113">
        <v>0</v>
      </c>
      <c r="AJ10" s="113">
        <v>0</v>
      </c>
      <c r="AK10" s="113">
        <v>0</v>
      </c>
      <c r="AL10" s="113">
        <v>0</v>
      </c>
      <c r="AM10" s="113">
        <v>0</v>
      </c>
      <c r="AN10" s="113">
        <v>196.78360027257401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0</v>
      </c>
    </row>
    <row r="11" spans="2:46" ht="12" customHeight="1" x14ac:dyDescent="0.3">
      <c r="B11" s="112" t="s">
        <v>39</v>
      </c>
      <c r="C11" s="113" t="s">
        <v>470</v>
      </c>
      <c r="D11" s="113" t="s">
        <v>25</v>
      </c>
      <c r="E11" s="113" t="s">
        <v>25</v>
      </c>
      <c r="F11" s="113" t="s">
        <v>25</v>
      </c>
      <c r="G11" s="113" t="s">
        <v>35</v>
      </c>
      <c r="H11" s="113" t="s">
        <v>471</v>
      </c>
      <c r="I11" s="113" t="s">
        <v>25</v>
      </c>
      <c r="J11" s="113">
        <v>46.21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16.924999219762501</v>
      </c>
      <c r="Y11" s="113">
        <v>0</v>
      </c>
      <c r="Z11" s="113">
        <v>0</v>
      </c>
      <c r="AA11" s="113">
        <v>29.281958956414599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3">
      <c r="B12" s="112" t="s">
        <v>39</v>
      </c>
      <c r="C12" s="113" t="s">
        <v>476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471</v>
      </c>
      <c r="I12" s="113" t="s">
        <v>25</v>
      </c>
      <c r="J12" s="113">
        <v>13.26</v>
      </c>
      <c r="K12" s="113">
        <v>0</v>
      </c>
      <c r="L12" s="113">
        <v>0</v>
      </c>
      <c r="M12" s="113">
        <v>1.10030709246394E-2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13.247223141967799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3">
      <c r="B13" s="112" t="s">
        <v>39</v>
      </c>
      <c r="C13" s="113" t="s">
        <v>40</v>
      </c>
      <c r="D13" s="113" t="s">
        <v>25</v>
      </c>
      <c r="E13" s="113" t="s">
        <v>25</v>
      </c>
      <c r="F13" s="113" t="s">
        <v>475</v>
      </c>
      <c r="G13" s="113" t="s">
        <v>34</v>
      </c>
      <c r="H13" s="113" t="s">
        <v>467</v>
      </c>
      <c r="I13" s="113" t="s">
        <v>25</v>
      </c>
      <c r="J13" s="113">
        <v>3536.16</v>
      </c>
      <c r="K13" s="113">
        <v>0</v>
      </c>
      <c r="L13" s="113">
        <v>0</v>
      </c>
      <c r="M13" s="113">
        <v>1.0669601179568899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1007.47516190438</v>
      </c>
      <c r="Y13" s="113">
        <v>0</v>
      </c>
      <c r="Z13" s="113">
        <v>0</v>
      </c>
      <c r="AA13" s="113">
        <v>2520.2104133582802</v>
      </c>
      <c r="AB13" s="113">
        <v>0</v>
      </c>
      <c r="AC13" s="113">
        <v>0</v>
      </c>
      <c r="AD13" s="113">
        <v>0</v>
      </c>
      <c r="AE13" s="113">
        <v>7.41125389007619</v>
      </c>
      <c r="AF13" s="113">
        <v>0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3">
      <c r="B14" s="112" t="s">
        <v>39</v>
      </c>
      <c r="C14" s="113" t="s">
        <v>40</v>
      </c>
      <c r="D14" s="113" t="s">
        <v>25</v>
      </c>
      <c r="E14" s="113" t="s">
        <v>25</v>
      </c>
      <c r="F14" s="113" t="s">
        <v>475</v>
      </c>
      <c r="G14" s="113" t="s">
        <v>25</v>
      </c>
      <c r="H14" s="113" t="s">
        <v>471</v>
      </c>
      <c r="I14" s="113" t="s">
        <v>25</v>
      </c>
      <c r="J14" s="113">
        <v>46.21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16.924999219762501</v>
      </c>
      <c r="Y14" s="113">
        <v>0</v>
      </c>
      <c r="Z14" s="113">
        <v>0</v>
      </c>
      <c r="AA14" s="113">
        <v>29.281958956414599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3">
      <c r="B15" s="112" t="s">
        <v>39</v>
      </c>
      <c r="C15" s="113" t="s">
        <v>40</v>
      </c>
      <c r="D15" s="113" t="s">
        <v>25</v>
      </c>
      <c r="E15" s="113" t="s">
        <v>25</v>
      </c>
      <c r="F15" s="113" t="s">
        <v>475</v>
      </c>
      <c r="G15" s="113" t="s">
        <v>35</v>
      </c>
      <c r="H15" s="113" t="s">
        <v>467</v>
      </c>
      <c r="I15" s="113" t="s">
        <v>25</v>
      </c>
      <c r="J15" s="113">
        <v>8.48</v>
      </c>
      <c r="K15" s="113">
        <v>0</v>
      </c>
      <c r="L15" s="113">
        <v>0</v>
      </c>
      <c r="M15" s="113">
        <v>1.0669601179568899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7.41125389007619</v>
      </c>
      <c r="AF15" s="113">
        <v>0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3">
      <c r="B16" s="112" t="s">
        <v>39</v>
      </c>
      <c r="C16" s="113" t="s">
        <v>40</v>
      </c>
      <c r="D16" s="113" t="s">
        <v>25</v>
      </c>
      <c r="E16" s="113" t="s">
        <v>25</v>
      </c>
      <c r="F16" s="113" t="s">
        <v>25</v>
      </c>
      <c r="G16" s="113" t="s">
        <v>34</v>
      </c>
      <c r="H16" s="113" t="s">
        <v>467</v>
      </c>
      <c r="I16" s="113" t="s">
        <v>25</v>
      </c>
      <c r="J16" s="113">
        <v>3627.74</v>
      </c>
      <c r="K16" s="113">
        <v>196.78</v>
      </c>
      <c r="L16" s="113">
        <v>0</v>
      </c>
      <c r="M16" s="113">
        <v>1.0669601179568899</v>
      </c>
      <c r="N16" s="113">
        <v>0</v>
      </c>
      <c r="O16" s="113">
        <v>0</v>
      </c>
      <c r="P16" s="113">
        <v>0</v>
      </c>
      <c r="Q16" s="113">
        <v>77.081286650621493</v>
      </c>
      <c r="R16" s="113">
        <v>14.4992143909767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1007.47516190438</v>
      </c>
      <c r="Y16" s="113">
        <v>0</v>
      </c>
      <c r="Z16" s="113">
        <v>0</v>
      </c>
      <c r="AA16" s="113">
        <v>2520.2104133582802</v>
      </c>
      <c r="AB16" s="113">
        <v>0</v>
      </c>
      <c r="AC16" s="113">
        <v>0</v>
      </c>
      <c r="AD16" s="113">
        <v>0</v>
      </c>
      <c r="AE16" s="113">
        <v>7.41125389007619</v>
      </c>
      <c r="AF16" s="113">
        <v>0</v>
      </c>
      <c r="AG16" s="113">
        <v>0</v>
      </c>
      <c r="AH16" s="113">
        <v>0</v>
      </c>
      <c r="AI16" s="113">
        <v>0</v>
      </c>
      <c r="AJ16" s="113">
        <v>0</v>
      </c>
      <c r="AK16" s="113">
        <v>0</v>
      </c>
      <c r="AL16" s="113">
        <v>0</v>
      </c>
      <c r="AM16" s="113">
        <v>0</v>
      </c>
      <c r="AN16" s="113">
        <v>196.78360027257401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0</v>
      </c>
    </row>
    <row r="17" spans="2:46" ht="12" customHeight="1" x14ac:dyDescent="0.3">
      <c r="B17" s="112" t="s">
        <v>39</v>
      </c>
      <c r="C17" s="113" t="s">
        <v>40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471</v>
      </c>
      <c r="I17" s="113" t="s">
        <v>25</v>
      </c>
      <c r="J17" s="113">
        <v>46.21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16.924999219762501</v>
      </c>
      <c r="Y17" s="113">
        <v>0</v>
      </c>
      <c r="Z17" s="113">
        <v>0</v>
      </c>
      <c r="AA17" s="113">
        <v>29.281958956414599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3">
      <c r="B18" s="112" t="s">
        <v>39</v>
      </c>
      <c r="C18" s="113" t="s">
        <v>40</v>
      </c>
      <c r="D18" s="113" t="s">
        <v>25</v>
      </c>
      <c r="E18" s="113" t="s">
        <v>25</v>
      </c>
      <c r="F18" s="113" t="s">
        <v>25</v>
      </c>
      <c r="G18" s="113" t="s">
        <v>35</v>
      </c>
      <c r="H18" s="113" t="s">
        <v>467</v>
      </c>
      <c r="I18" s="113" t="s">
        <v>25</v>
      </c>
      <c r="J18" s="113">
        <v>100.06</v>
      </c>
      <c r="K18" s="113">
        <v>196.78</v>
      </c>
      <c r="L18" s="113">
        <v>0</v>
      </c>
      <c r="M18" s="113">
        <v>1.0669601179568899</v>
      </c>
      <c r="N18" s="113">
        <v>0</v>
      </c>
      <c r="O18" s="113">
        <v>0</v>
      </c>
      <c r="P18" s="113">
        <v>0</v>
      </c>
      <c r="Q18" s="113">
        <v>77.081286650621493</v>
      </c>
      <c r="R18" s="113">
        <v>14.4992143909767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7.41125389007619</v>
      </c>
      <c r="AF18" s="113">
        <v>0</v>
      </c>
      <c r="AG18" s="113">
        <v>0</v>
      </c>
      <c r="AH18" s="113">
        <v>0</v>
      </c>
      <c r="AI18" s="113">
        <v>0</v>
      </c>
      <c r="AJ18" s="113">
        <v>0</v>
      </c>
      <c r="AK18" s="113">
        <v>0</v>
      </c>
      <c r="AL18" s="113">
        <v>0</v>
      </c>
      <c r="AM18" s="113">
        <v>0</v>
      </c>
      <c r="AN18" s="113">
        <v>196.78360027257401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0</v>
      </c>
    </row>
    <row r="19" spans="2:46" ht="12" customHeight="1" x14ac:dyDescent="0.3">
      <c r="B19" s="112" t="s">
        <v>477</v>
      </c>
      <c r="C19" s="113" t="s">
        <v>476</v>
      </c>
      <c r="D19" s="113" t="s">
        <v>25</v>
      </c>
      <c r="E19" s="113" t="s">
        <v>25</v>
      </c>
      <c r="F19" s="113" t="s">
        <v>478</v>
      </c>
      <c r="G19" s="113" t="s">
        <v>25</v>
      </c>
      <c r="H19" s="113" t="s">
        <v>471</v>
      </c>
      <c r="I19" s="113" t="s">
        <v>25</v>
      </c>
      <c r="J19" s="113">
        <v>13.68</v>
      </c>
      <c r="K19" s="113">
        <v>0</v>
      </c>
      <c r="L19" s="113">
        <v>0</v>
      </c>
      <c r="M19" s="113">
        <v>1.1311568240283501E-2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13.664310676796299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3">
      <c r="B20" s="112" t="s">
        <v>477</v>
      </c>
      <c r="C20" s="113" t="s">
        <v>476</v>
      </c>
      <c r="D20" s="113" t="s">
        <v>25</v>
      </c>
      <c r="E20" s="113" t="s">
        <v>25</v>
      </c>
      <c r="F20" s="113" t="s">
        <v>479</v>
      </c>
      <c r="G20" s="113" t="s">
        <v>25</v>
      </c>
      <c r="H20" s="113" t="s">
        <v>471</v>
      </c>
      <c r="I20" s="113" t="s">
        <v>25</v>
      </c>
      <c r="J20" s="113">
        <v>27.81</v>
      </c>
      <c r="K20" s="113">
        <v>0</v>
      </c>
      <c r="L20" s="113">
        <v>0</v>
      </c>
      <c r="M20" s="113">
        <v>1.1311568240283501E-2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27.800694704909599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3">
      <c r="B21" s="112" t="s">
        <v>22</v>
      </c>
      <c r="C21" s="113" t="s">
        <v>33</v>
      </c>
      <c r="D21" s="113" t="s">
        <v>24</v>
      </c>
      <c r="E21" s="113" t="s">
        <v>24</v>
      </c>
      <c r="F21" s="113" t="s">
        <v>25</v>
      </c>
      <c r="G21" s="113" t="s">
        <v>34</v>
      </c>
      <c r="H21" s="113" t="s">
        <v>467</v>
      </c>
      <c r="I21" s="113" t="s">
        <v>25</v>
      </c>
      <c r="J21" s="113">
        <v>1673.7</v>
      </c>
      <c r="K21" s="113">
        <v>196.78</v>
      </c>
      <c r="L21" s="113">
        <v>0</v>
      </c>
      <c r="M21" s="113">
        <v>1.88164488064095</v>
      </c>
      <c r="N21" s="113">
        <v>0</v>
      </c>
      <c r="O21" s="113">
        <v>0</v>
      </c>
      <c r="P21" s="113">
        <v>0</v>
      </c>
      <c r="Q21" s="113">
        <v>91.763436488835097</v>
      </c>
      <c r="R21" s="113">
        <v>14.4992143909767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368.843430837092</v>
      </c>
      <c r="Y21" s="113">
        <v>0</v>
      </c>
      <c r="Z21" s="113">
        <v>0</v>
      </c>
      <c r="AA21" s="113">
        <v>1177.51567211478</v>
      </c>
      <c r="AB21" s="113">
        <v>0</v>
      </c>
      <c r="AC21" s="113">
        <v>0</v>
      </c>
      <c r="AD21" s="113">
        <v>0</v>
      </c>
      <c r="AE21" s="113">
        <v>19.1956549956864</v>
      </c>
      <c r="AF21" s="113">
        <v>0</v>
      </c>
      <c r="AG21" s="113">
        <v>0</v>
      </c>
      <c r="AH21" s="113">
        <v>0</v>
      </c>
      <c r="AI21" s="113">
        <v>0</v>
      </c>
      <c r="AJ21" s="113">
        <v>0</v>
      </c>
      <c r="AK21" s="113">
        <v>0</v>
      </c>
      <c r="AL21" s="113">
        <v>0</v>
      </c>
      <c r="AM21" s="113">
        <v>0</v>
      </c>
      <c r="AN21" s="113">
        <v>196.78360027257401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0</v>
      </c>
    </row>
    <row r="22" spans="2:46" ht="12" customHeight="1" x14ac:dyDescent="0.3">
      <c r="B22" s="112" t="s">
        <v>22</v>
      </c>
      <c r="C22" s="113" t="s">
        <v>33</v>
      </c>
      <c r="D22" s="113" t="s">
        <v>24</v>
      </c>
      <c r="E22" s="113" t="s">
        <v>24</v>
      </c>
      <c r="F22" s="113" t="s">
        <v>25</v>
      </c>
      <c r="G22" s="113" t="s">
        <v>36</v>
      </c>
      <c r="H22" s="113" t="s">
        <v>467</v>
      </c>
      <c r="I22" s="113" t="s">
        <v>25</v>
      </c>
      <c r="J22" s="113">
        <v>1055.1600000000001</v>
      </c>
      <c r="K22" s="113">
        <v>196.78</v>
      </c>
      <c r="L22" s="113">
        <v>0</v>
      </c>
      <c r="M22" s="113">
        <v>1.88164488064095</v>
      </c>
      <c r="N22" s="113">
        <v>0</v>
      </c>
      <c r="O22" s="113">
        <v>0</v>
      </c>
      <c r="P22" s="113">
        <v>0</v>
      </c>
      <c r="Q22" s="113">
        <v>91.763436488835097</v>
      </c>
      <c r="R22" s="113">
        <v>14.4992143909767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221.306100079869</v>
      </c>
      <c r="Y22" s="113">
        <v>0</v>
      </c>
      <c r="Z22" s="113">
        <v>0</v>
      </c>
      <c r="AA22" s="113">
        <v>706.50985030802497</v>
      </c>
      <c r="AB22" s="113">
        <v>0</v>
      </c>
      <c r="AC22" s="113">
        <v>0</v>
      </c>
      <c r="AD22" s="113">
        <v>0</v>
      </c>
      <c r="AE22" s="113">
        <v>19.1956549956864</v>
      </c>
      <c r="AF22" s="113">
        <v>0</v>
      </c>
      <c r="AG22" s="113">
        <v>0</v>
      </c>
      <c r="AH22" s="113">
        <v>0</v>
      </c>
      <c r="AI22" s="113">
        <v>0</v>
      </c>
      <c r="AJ22" s="113">
        <v>0</v>
      </c>
      <c r="AK22" s="113">
        <v>0</v>
      </c>
      <c r="AL22" s="113">
        <v>0</v>
      </c>
      <c r="AM22" s="113">
        <v>0</v>
      </c>
      <c r="AN22" s="113">
        <v>196.78360027257401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0</v>
      </c>
    </row>
    <row r="23" spans="2:46" ht="12" customHeight="1" x14ac:dyDescent="0.3">
      <c r="B23" s="112" t="s">
        <v>22</v>
      </c>
      <c r="C23" s="113" t="s">
        <v>33</v>
      </c>
      <c r="D23" s="113" t="s">
        <v>24</v>
      </c>
      <c r="E23" s="113" t="s">
        <v>24</v>
      </c>
      <c r="F23" s="113" t="s">
        <v>25</v>
      </c>
      <c r="G23" s="113" t="s">
        <v>35</v>
      </c>
      <c r="H23" s="113" t="s">
        <v>467</v>
      </c>
      <c r="I23" s="113" t="s">
        <v>25</v>
      </c>
      <c r="J23" s="113">
        <v>436.68</v>
      </c>
      <c r="K23" s="113">
        <v>196.78</v>
      </c>
      <c r="L23" s="113">
        <v>0</v>
      </c>
      <c r="M23" s="113">
        <v>1.88164488064095</v>
      </c>
      <c r="N23" s="113">
        <v>0</v>
      </c>
      <c r="O23" s="113">
        <v>0</v>
      </c>
      <c r="P23" s="113">
        <v>0</v>
      </c>
      <c r="Q23" s="113">
        <v>91.763436488835097</v>
      </c>
      <c r="R23" s="113">
        <v>14.4992143909767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73.836125056883205</v>
      </c>
      <c r="Y23" s="113">
        <v>0</v>
      </c>
      <c r="Z23" s="113">
        <v>0</v>
      </c>
      <c r="AA23" s="113">
        <v>235.50302266316601</v>
      </c>
      <c r="AB23" s="113">
        <v>0</v>
      </c>
      <c r="AC23" s="113">
        <v>0</v>
      </c>
      <c r="AD23" s="113">
        <v>0</v>
      </c>
      <c r="AE23" s="113">
        <v>19.1956549956864</v>
      </c>
      <c r="AF23" s="113">
        <v>0</v>
      </c>
      <c r="AG23" s="113">
        <v>0</v>
      </c>
      <c r="AH23" s="113">
        <v>0</v>
      </c>
      <c r="AI23" s="113">
        <v>0</v>
      </c>
      <c r="AJ23" s="113">
        <v>0</v>
      </c>
      <c r="AK23" s="113">
        <v>0</v>
      </c>
      <c r="AL23" s="113">
        <v>0</v>
      </c>
      <c r="AM23" s="113">
        <v>0</v>
      </c>
      <c r="AN23" s="113">
        <v>196.78360027257401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0</v>
      </c>
    </row>
    <row r="24" spans="2:46" ht="12" customHeight="1" x14ac:dyDescent="0.3">
      <c r="B24" s="112" t="s">
        <v>22</v>
      </c>
      <c r="C24" s="113" t="s">
        <v>23</v>
      </c>
      <c r="D24" s="113" t="s">
        <v>24</v>
      </c>
      <c r="E24" s="113" t="s">
        <v>1164</v>
      </c>
      <c r="F24" s="113" t="s">
        <v>25</v>
      </c>
      <c r="G24" s="113" t="s">
        <v>25</v>
      </c>
      <c r="H24" s="113" t="s">
        <v>467</v>
      </c>
      <c r="I24" s="113" t="s">
        <v>25</v>
      </c>
      <c r="J24" s="113">
        <v>593.74</v>
      </c>
      <c r="K24" s="113">
        <v>196.78</v>
      </c>
      <c r="L24" s="113">
        <v>0</v>
      </c>
      <c r="M24" s="113">
        <v>1.88164488064095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136.546288568547</v>
      </c>
      <c r="Y24" s="113">
        <v>0</v>
      </c>
      <c r="Z24" s="113">
        <v>0</v>
      </c>
      <c r="AA24" s="113">
        <v>436.11709772513001</v>
      </c>
      <c r="AB24" s="113">
        <v>0</v>
      </c>
      <c r="AC24" s="113">
        <v>0</v>
      </c>
      <c r="AD24" s="113">
        <v>0</v>
      </c>
      <c r="AE24" s="113">
        <v>19.1956549956864</v>
      </c>
      <c r="AF24" s="113">
        <v>0</v>
      </c>
      <c r="AG24" s="113">
        <v>0</v>
      </c>
      <c r="AH24" s="113">
        <v>0</v>
      </c>
      <c r="AI24" s="113">
        <v>0</v>
      </c>
      <c r="AJ24" s="113">
        <v>0</v>
      </c>
      <c r="AK24" s="113">
        <v>0</v>
      </c>
      <c r="AL24" s="113">
        <v>0</v>
      </c>
      <c r="AM24" s="113">
        <v>0</v>
      </c>
      <c r="AN24" s="113">
        <v>196.78360027257401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0</v>
      </c>
    </row>
    <row r="25" spans="2:46" ht="12" customHeight="1" x14ac:dyDescent="0.3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467</v>
      </c>
      <c r="I25" s="113" t="s">
        <v>25</v>
      </c>
      <c r="J25" s="113">
        <v>700</v>
      </c>
      <c r="K25" s="113">
        <v>196.78</v>
      </c>
      <c r="L25" s="113">
        <v>0</v>
      </c>
      <c r="M25" s="113">
        <v>1.88164488064095</v>
      </c>
      <c r="N25" s="113">
        <v>0</v>
      </c>
      <c r="O25" s="113">
        <v>0</v>
      </c>
      <c r="P25" s="113">
        <v>0</v>
      </c>
      <c r="Q25" s="113">
        <v>91.763436488835097</v>
      </c>
      <c r="R25" s="113">
        <v>14.4992143909767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136.546288568547</v>
      </c>
      <c r="Y25" s="113">
        <v>0</v>
      </c>
      <c r="Z25" s="113">
        <v>0</v>
      </c>
      <c r="AA25" s="113">
        <v>436.11709772513001</v>
      </c>
      <c r="AB25" s="113">
        <v>0</v>
      </c>
      <c r="AC25" s="113">
        <v>0</v>
      </c>
      <c r="AD25" s="113">
        <v>0</v>
      </c>
      <c r="AE25" s="113">
        <v>19.1956549956864</v>
      </c>
      <c r="AF25" s="113">
        <v>0</v>
      </c>
      <c r="AG25" s="113">
        <v>0</v>
      </c>
      <c r="AH25" s="113">
        <v>0</v>
      </c>
      <c r="AI25" s="113">
        <v>0</v>
      </c>
      <c r="AJ25" s="113">
        <v>0</v>
      </c>
      <c r="AK25" s="113">
        <v>0</v>
      </c>
      <c r="AL25" s="113">
        <v>0</v>
      </c>
      <c r="AM25" s="113">
        <v>0</v>
      </c>
      <c r="AN25" s="113">
        <v>196.78360027257401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0</v>
      </c>
    </row>
    <row r="26" spans="2:46" ht="12" customHeight="1" x14ac:dyDescent="0.3">
      <c r="B26" s="112" t="s">
        <v>22</v>
      </c>
      <c r="C26" s="113" t="s">
        <v>483</v>
      </c>
      <c r="D26" s="113" t="s">
        <v>24</v>
      </c>
      <c r="E26" s="113" t="s">
        <v>1164</v>
      </c>
      <c r="F26" s="113" t="s">
        <v>25</v>
      </c>
      <c r="G26" s="113" t="s">
        <v>25</v>
      </c>
      <c r="H26" s="113" t="s">
        <v>467</v>
      </c>
      <c r="I26" s="113" t="s">
        <v>25</v>
      </c>
      <c r="J26" s="113">
        <v>593.74</v>
      </c>
      <c r="K26" s="113">
        <v>196.78</v>
      </c>
      <c r="L26" s="113">
        <v>0</v>
      </c>
      <c r="M26" s="113">
        <v>1.88164488064095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136.546288568547</v>
      </c>
      <c r="Y26" s="113">
        <v>0</v>
      </c>
      <c r="Z26" s="113">
        <v>0</v>
      </c>
      <c r="AA26" s="113">
        <v>436.11709772513001</v>
      </c>
      <c r="AB26" s="113">
        <v>0</v>
      </c>
      <c r="AC26" s="113">
        <v>0</v>
      </c>
      <c r="AD26" s="113">
        <v>0</v>
      </c>
      <c r="AE26" s="113">
        <v>19.1956549956864</v>
      </c>
      <c r="AF26" s="113">
        <v>0</v>
      </c>
      <c r="AG26" s="113">
        <v>0</v>
      </c>
      <c r="AH26" s="113">
        <v>0</v>
      </c>
      <c r="AI26" s="113">
        <v>0</v>
      </c>
      <c r="AJ26" s="113">
        <v>0</v>
      </c>
      <c r="AK26" s="113">
        <v>0</v>
      </c>
      <c r="AL26" s="113">
        <v>0</v>
      </c>
      <c r="AM26" s="113">
        <v>0</v>
      </c>
      <c r="AN26" s="113">
        <v>196.78360027257401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0</v>
      </c>
    </row>
    <row r="27" spans="2:46" ht="12" customHeight="1" x14ac:dyDescent="0.3">
      <c r="B27" s="112" t="s">
        <v>22</v>
      </c>
      <c r="C27" s="113" t="s">
        <v>483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467</v>
      </c>
      <c r="I27" s="113" t="s">
        <v>25</v>
      </c>
      <c r="J27" s="113">
        <v>700</v>
      </c>
      <c r="K27" s="113">
        <v>196.78</v>
      </c>
      <c r="L27" s="113">
        <v>0</v>
      </c>
      <c r="M27" s="113">
        <v>1.88164488064095</v>
      </c>
      <c r="N27" s="113">
        <v>0</v>
      </c>
      <c r="O27" s="113">
        <v>0</v>
      </c>
      <c r="P27" s="113">
        <v>0</v>
      </c>
      <c r="Q27" s="113">
        <v>91.763436488835097</v>
      </c>
      <c r="R27" s="113">
        <v>14.4992143909767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136.546288568547</v>
      </c>
      <c r="Y27" s="113">
        <v>0</v>
      </c>
      <c r="Z27" s="113">
        <v>0</v>
      </c>
      <c r="AA27" s="113">
        <v>436.11709772513001</v>
      </c>
      <c r="AB27" s="113">
        <v>0</v>
      </c>
      <c r="AC27" s="113">
        <v>0</v>
      </c>
      <c r="AD27" s="113">
        <v>0</v>
      </c>
      <c r="AE27" s="113">
        <v>19.1956549956864</v>
      </c>
      <c r="AF27" s="113">
        <v>0</v>
      </c>
      <c r="AG27" s="113">
        <v>0</v>
      </c>
      <c r="AH27" s="113">
        <v>0</v>
      </c>
      <c r="AI27" s="113">
        <v>0</v>
      </c>
      <c r="AJ27" s="113">
        <v>0</v>
      </c>
      <c r="AK27" s="113">
        <v>0</v>
      </c>
      <c r="AL27" s="113">
        <v>0</v>
      </c>
      <c r="AM27" s="113">
        <v>0</v>
      </c>
      <c r="AN27" s="113">
        <v>196.78360027257401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0</v>
      </c>
    </row>
    <row r="28" spans="2:46" ht="12" customHeight="1" x14ac:dyDescent="0.3">
      <c r="B28" s="112" t="s">
        <v>42</v>
      </c>
      <c r="C28" s="113" t="s">
        <v>33</v>
      </c>
      <c r="D28" s="113" t="s">
        <v>43</v>
      </c>
      <c r="E28" s="113" t="s">
        <v>484</v>
      </c>
      <c r="F28" s="113" t="s">
        <v>25</v>
      </c>
      <c r="G28" s="113" t="s">
        <v>34</v>
      </c>
      <c r="H28" s="113" t="s">
        <v>467</v>
      </c>
      <c r="I28" s="113" t="s">
        <v>25</v>
      </c>
      <c r="J28" s="113">
        <v>1707.71</v>
      </c>
      <c r="K28" s="113">
        <v>184.98</v>
      </c>
      <c r="L28" s="113">
        <v>0</v>
      </c>
      <c r="M28" s="113">
        <v>1.7687461878024899</v>
      </c>
      <c r="N28" s="113">
        <v>0</v>
      </c>
      <c r="O28" s="113">
        <v>0</v>
      </c>
      <c r="P28" s="113">
        <v>0</v>
      </c>
      <c r="Q28" s="113">
        <v>86.257630299504996</v>
      </c>
      <c r="R28" s="113">
        <v>13.6292615275181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378.65855000777799</v>
      </c>
      <c r="Y28" s="113">
        <v>0</v>
      </c>
      <c r="Z28" s="113">
        <v>0</v>
      </c>
      <c r="AA28" s="113">
        <v>1209.3524598617</v>
      </c>
      <c r="AB28" s="113">
        <v>0</v>
      </c>
      <c r="AC28" s="113">
        <v>0</v>
      </c>
      <c r="AD28" s="113">
        <v>0</v>
      </c>
      <c r="AE28" s="113">
        <v>18.043915695945302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184.97658425622001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0</v>
      </c>
    </row>
    <row r="29" spans="2:46" ht="12" customHeight="1" x14ac:dyDescent="0.3">
      <c r="B29" s="112" t="s">
        <v>42</v>
      </c>
      <c r="C29" s="113" t="s">
        <v>33</v>
      </c>
      <c r="D29" s="113" t="s">
        <v>43</v>
      </c>
      <c r="E29" s="113" t="s">
        <v>484</v>
      </c>
      <c r="F29" s="113" t="s">
        <v>25</v>
      </c>
      <c r="G29" s="113" t="s">
        <v>36</v>
      </c>
      <c r="H29" s="113" t="s">
        <v>467</v>
      </c>
      <c r="I29" s="113" t="s">
        <v>25</v>
      </c>
      <c r="J29" s="113">
        <v>1072.48</v>
      </c>
      <c r="K29" s="113">
        <v>184.98</v>
      </c>
      <c r="L29" s="113">
        <v>0</v>
      </c>
      <c r="M29" s="113">
        <v>1.7687461878024899</v>
      </c>
      <c r="N29" s="113">
        <v>0</v>
      </c>
      <c r="O29" s="113">
        <v>0</v>
      </c>
      <c r="P29" s="113">
        <v>0</v>
      </c>
      <c r="Q29" s="113">
        <v>86.257630299504996</v>
      </c>
      <c r="R29" s="113">
        <v>13.6292615275181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227.16978470711501</v>
      </c>
      <c r="Y29" s="113">
        <v>0</v>
      </c>
      <c r="Z29" s="113">
        <v>0</v>
      </c>
      <c r="AA29" s="113">
        <v>725.61126580861605</v>
      </c>
      <c r="AB29" s="113">
        <v>0</v>
      </c>
      <c r="AC29" s="113">
        <v>0</v>
      </c>
      <c r="AD29" s="113">
        <v>0</v>
      </c>
      <c r="AE29" s="113">
        <v>18.043915695945302</v>
      </c>
      <c r="AF29" s="113">
        <v>0</v>
      </c>
      <c r="AG29" s="113">
        <v>0</v>
      </c>
      <c r="AH29" s="113">
        <v>0</v>
      </c>
      <c r="AI29" s="113">
        <v>0</v>
      </c>
      <c r="AJ29" s="113">
        <v>0</v>
      </c>
      <c r="AK29" s="113">
        <v>0</v>
      </c>
      <c r="AL29" s="113">
        <v>0</v>
      </c>
      <c r="AM29" s="113">
        <v>0</v>
      </c>
      <c r="AN29" s="113">
        <v>184.97658425622001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0</v>
      </c>
    </row>
    <row r="30" spans="2:46" ht="12" customHeight="1" x14ac:dyDescent="0.3">
      <c r="B30" s="112" t="s">
        <v>42</v>
      </c>
      <c r="C30" s="113" t="s">
        <v>33</v>
      </c>
      <c r="D30" s="113" t="s">
        <v>43</v>
      </c>
      <c r="E30" s="113" t="s">
        <v>484</v>
      </c>
      <c r="F30" s="113" t="s">
        <v>25</v>
      </c>
      <c r="G30" s="113" t="s">
        <v>35</v>
      </c>
      <c r="H30" s="113" t="s">
        <v>467</v>
      </c>
      <c r="I30" s="113" t="s">
        <v>25</v>
      </c>
      <c r="J30" s="113">
        <v>437.25</v>
      </c>
      <c r="K30" s="113">
        <v>184.98</v>
      </c>
      <c r="L30" s="113">
        <v>0</v>
      </c>
      <c r="M30" s="113">
        <v>1.7687461878024899</v>
      </c>
      <c r="N30" s="113">
        <v>0</v>
      </c>
      <c r="O30" s="113">
        <v>0</v>
      </c>
      <c r="P30" s="113">
        <v>0</v>
      </c>
      <c r="Q30" s="113">
        <v>86.257630299504996</v>
      </c>
      <c r="R30" s="113">
        <v>13.6292615275181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75.681019406452194</v>
      </c>
      <c r="Y30" s="113">
        <v>0</v>
      </c>
      <c r="Z30" s="113">
        <v>0</v>
      </c>
      <c r="AA30" s="113">
        <v>241.870386918138</v>
      </c>
      <c r="AB30" s="113">
        <v>0</v>
      </c>
      <c r="AC30" s="113">
        <v>0</v>
      </c>
      <c r="AD30" s="113">
        <v>0</v>
      </c>
      <c r="AE30" s="113">
        <v>18.043915695945302</v>
      </c>
      <c r="AF30" s="113">
        <v>0</v>
      </c>
      <c r="AG30" s="113">
        <v>0</v>
      </c>
      <c r="AH30" s="113">
        <v>0</v>
      </c>
      <c r="AI30" s="113">
        <v>0</v>
      </c>
      <c r="AJ30" s="113">
        <v>0</v>
      </c>
      <c r="AK30" s="113">
        <v>0</v>
      </c>
      <c r="AL30" s="113">
        <v>0</v>
      </c>
      <c r="AM30" s="113">
        <v>0</v>
      </c>
      <c r="AN30" s="113">
        <v>184.97658425622001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0</v>
      </c>
    </row>
    <row r="31" spans="2:46" ht="12" customHeight="1" x14ac:dyDescent="0.3">
      <c r="B31" s="112" t="s">
        <v>42</v>
      </c>
      <c r="C31" s="113" t="s">
        <v>33</v>
      </c>
      <c r="D31" s="113" t="s">
        <v>43</v>
      </c>
      <c r="E31" s="113" t="s">
        <v>25</v>
      </c>
      <c r="F31" s="113" t="s">
        <v>25</v>
      </c>
      <c r="G31" s="113" t="s">
        <v>34</v>
      </c>
      <c r="H31" s="113" t="s">
        <v>467</v>
      </c>
      <c r="I31" s="113" t="s">
        <v>25</v>
      </c>
      <c r="J31" s="113">
        <v>1689.54</v>
      </c>
      <c r="K31" s="113">
        <v>183.01</v>
      </c>
      <c r="L31" s="113">
        <v>0</v>
      </c>
      <c r="M31" s="113">
        <v>1.74992973899608</v>
      </c>
      <c r="N31" s="113">
        <v>0</v>
      </c>
      <c r="O31" s="113">
        <v>0</v>
      </c>
      <c r="P31" s="113">
        <v>0</v>
      </c>
      <c r="Q31" s="113">
        <v>85.339995934616596</v>
      </c>
      <c r="R31" s="113">
        <v>13.4842693836083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374.63026756088698</v>
      </c>
      <c r="Y31" s="113">
        <v>0</v>
      </c>
      <c r="Z31" s="113">
        <v>0</v>
      </c>
      <c r="AA31" s="113">
        <v>1196.48700816104</v>
      </c>
      <c r="AB31" s="113">
        <v>0</v>
      </c>
      <c r="AC31" s="113">
        <v>0</v>
      </c>
      <c r="AD31" s="113">
        <v>0</v>
      </c>
      <c r="AE31" s="113">
        <v>17.851959145988399</v>
      </c>
      <c r="AF31" s="113">
        <v>0</v>
      </c>
      <c r="AG31" s="113">
        <v>0</v>
      </c>
      <c r="AH31" s="113">
        <v>0</v>
      </c>
      <c r="AI31" s="113">
        <v>0</v>
      </c>
      <c r="AJ31" s="113">
        <v>0</v>
      </c>
      <c r="AK31" s="113">
        <v>0</v>
      </c>
      <c r="AL31" s="113">
        <v>0</v>
      </c>
      <c r="AM31" s="113">
        <v>0</v>
      </c>
      <c r="AN31" s="113">
        <v>183.00874825349399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0</v>
      </c>
    </row>
    <row r="32" spans="2:46" ht="12" customHeight="1" x14ac:dyDescent="0.3">
      <c r="B32" s="112" t="s">
        <v>42</v>
      </c>
      <c r="C32" s="113" t="s">
        <v>33</v>
      </c>
      <c r="D32" s="113" t="s">
        <v>43</v>
      </c>
      <c r="E32" s="113" t="s">
        <v>25</v>
      </c>
      <c r="F32" s="113" t="s">
        <v>25</v>
      </c>
      <c r="G32" s="113" t="s">
        <v>36</v>
      </c>
      <c r="H32" s="113" t="s">
        <v>467</v>
      </c>
      <c r="I32" s="113" t="s">
        <v>25</v>
      </c>
      <c r="J32" s="113">
        <v>1061.07</v>
      </c>
      <c r="K32" s="113">
        <v>183.01</v>
      </c>
      <c r="L32" s="113">
        <v>0</v>
      </c>
      <c r="M32" s="113">
        <v>1.74992973899608</v>
      </c>
      <c r="N32" s="113">
        <v>0</v>
      </c>
      <c r="O32" s="113">
        <v>0</v>
      </c>
      <c r="P32" s="113">
        <v>0</v>
      </c>
      <c r="Q32" s="113">
        <v>85.339995934616596</v>
      </c>
      <c r="R32" s="113">
        <v>13.4842693836083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224.75308486980501</v>
      </c>
      <c r="Y32" s="113">
        <v>0</v>
      </c>
      <c r="Z32" s="113">
        <v>0</v>
      </c>
      <c r="AA32" s="113">
        <v>717.89199702341796</v>
      </c>
      <c r="AB32" s="113">
        <v>0</v>
      </c>
      <c r="AC32" s="113">
        <v>0</v>
      </c>
      <c r="AD32" s="113">
        <v>0</v>
      </c>
      <c r="AE32" s="113">
        <v>17.851959145988399</v>
      </c>
      <c r="AF32" s="113">
        <v>0</v>
      </c>
      <c r="AG32" s="113">
        <v>0</v>
      </c>
      <c r="AH32" s="113">
        <v>0</v>
      </c>
      <c r="AI32" s="113">
        <v>0</v>
      </c>
      <c r="AJ32" s="113">
        <v>0</v>
      </c>
      <c r="AK32" s="113">
        <v>0</v>
      </c>
      <c r="AL32" s="113">
        <v>0</v>
      </c>
      <c r="AM32" s="113">
        <v>0</v>
      </c>
      <c r="AN32" s="113">
        <v>183.00874825349399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0</v>
      </c>
    </row>
    <row r="33" spans="2:46" ht="12" customHeight="1" x14ac:dyDescent="0.3">
      <c r="B33" s="112" t="s">
        <v>42</v>
      </c>
      <c r="C33" s="113" t="s">
        <v>33</v>
      </c>
      <c r="D33" s="113" t="s">
        <v>43</v>
      </c>
      <c r="E33" s="113" t="s">
        <v>25</v>
      </c>
      <c r="F33" s="113" t="s">
        <v>25</v>
      </c>
      <c r="G33" s="113" t="s">
        <v>35</v>
      </c>
      <c r="H33" s="113" t="s">
        <v>467</v>
      </c>
      <c r="I33" s="113" t="s">
        <v>25</v>
      </c>
      <c r="J33" s="113">
        <v>432.6</v>
      </c>
      <c r="K33" s="113">
        <v>183.01</v>
      </c>
      <c r="L33" s="113">
        <v>0</v>
      </c>
      <c r="M33" s="113">
        <v>1.74992973899608</v>
      </c>
      <c r="N33" s="113">
        <v>0</v>
      </c>
      <c r="O33" s="113">
        <v>0</v>
      </c>
      <c r="P33" s="113">
        <v>0</v>
      </c>
      <c r="Q33" s="113">
        <v>85.339995934616596</v>
      </c>
      <c r="R33" s="113">
        <v>13.4842693836083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74.875902178724004</v>
      </c>
      <c r="Y33" s="113">
        <v>0</v>
      </c>
      <c r="Z33" s="113">
        <v>0</v>
      </c>
      <c r="AA33" s="113">
        <v>239.29729769560501</v>
      </c>
      <c r="AB33" s="113">
        <v>0</v>
      </c>
      <c r="AC33" s="113">
        <v>0</v>
      </c>
      <c r="AD33" s="113">
        <v>0</v>
      </c>
      <c r="AE33" s="113">
        <v>17.851959145988399</v>
      </c>
      <c r="AF33" s="113">
        <v>0</v>
      </c>
      <c r="AG33" s="113">
        <v>0</v>
      </c>
      <c r="AH33" s="113">
        <v>0</v>
      </c>
      <c r="AI33" s="113">
        <v>0</v>
      </c>
      <c r="AJ33" s="113">
        <v>0</v>
      </c>
      <c r="AK33" s="113">
        <v>0</v>
      </c>
      <c r="AL33" s="113">
        <v>0</v>
      </c>
      <c r="AM33" s="113">
        <v>0</v>
      </c>
      <c r="AN33" s="113">
        <v>183.00874825349399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0</v>
      </c>
    </row>
    <row r="34" spans="2:46" ht="12" customHeight="1" x14ac:dyDescent="0.3">
      <c r="B34" s="112" t="s">
        <v>42</v>
      </c>
      <c r="C34" s="113" t="s">
        <v>33</v>
      </c>
      <c r="D34" s="113" t="s">
        <v>43</v>
      </c>
      <c r="E34" s="113" t="s">
        <v>485</v>
      </c>
      <c r="F34" s="113" t="s">
        <v>25</v>
      </c>
      <c r="G34" s="113" t="s">
        <v>34</v>
      </c>
      <c r="H34" s="113" t="s">
        <v>467</v>
      </c>
      <c r="I34" s="113" t="s">
        <v>25</v>
      </c>
      <c r="J34" s="113">
        <v>1671.38</v>
      </c>
      <c r="K34" s="113">
        <v>181.04</v>
      </c>
      <c r="L34" s="113">
        <v>0</v>
      </c>
      <c r="M34" s="113">
        <v>1.73111329018967</v>
      </c>
      <c r="N34" s="113">
        <v>0</v>
      </c>
      <c r="O34" s="113">
        <v>0</v>
      </c>
      <c r="P34" s="113">
        <v>0</v>
      </c>
      <c r="Q34" s="113">
        <v>84.422361569728295</v>
      </c>
      <c r="R34" s="113">
        <v>13.3392772396986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370.60198511399602</v>
      </c>
      <c r="Y34" s="113">
        <v>0</v>
      </c>
      <c r="Z34" s="113">
        <v>0</v>
      </c>
      <c r="AA34" s="113">
        <v>1183.6215564603899</v>
      </c>
      <c r="AB34" s="113">
        <v>0</v>
      </c>
      <c r="AC34" s="113">
        <v>0</v>
      </c>
      <c r="AD34" s="113">
        <v>0</v>
      </c>
      <c r="AE34" s="113">
        <v>17.6600025960315</v>
      </c>
      <c r="AF34" s="113">
        <v>0</v>
      </c>
      <c r="AG34" s="113">
        <v>0</v>
      </c>
      <c r="AH34" s="113">
        <v>0</v>
      </c>
      <c r="AI34" s="113">
        <v>0</v>
      </c>
      <c r="AJ34" s="113">
        <v>0</v>
      </c>
      <c r="AK34" s="113">
        <v>0</v>
      </c>
      <c r="AL34" s="113">
        <v>0</v>
      </c>
      <c r="AM34" s="113">
        <v>0</v>
      </c>
      <c r="AN34" s="113">
        <v>181.040912250768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0</v>
      </c>
    </row>
    <row r="35" spans="2:46" ht="12" customHeight="1" x14ac:dyDescent="0.3">
      <c r="B35" s="112" t="s">
        <v>42</v>
      </c>
      <c r="C35" s="113" t="s">
        <v>33</v>
      </c>
      <c r="D35" s="113" t="s">
        <v>43</v>
      </c>
      <c r="E35" s="113" t="s">
        <v>485</v>
      </c>
      <c r="F35" s="113" t="s">
        <v>25</v>
      </c>
      <c r="G35" s="113" t="s">
        <v>36</v>
      </c>
      <c r="H35" s="113" t="s">
        <v>467</v>
      </c>
      <c r="I35" s="113" t="s">
        <v>25</v>
      </c>
      <c r="J35" s="113">
        <v>1049.6600000000001</v>
      </c>
      <c r="K35" s="113">
        <v>181.04</v>
      </c>
      <c r="L35" s="113">
        <v>0</v>
      </c>
      <c r="M35" s="113">
        <v>1.73111329018967</v>
      </c>
      <c r="N35" s="113">
        <v>0</v>
      </c>
      <c r="O35" s="113">
        <v>0</v>
      </c>
      <c r="P35" s="113">
        <v>0</v>
      </c>
      <c r="Q35" s="113">
        <v>84.422361569728295</v>
      </c>
      <c r="R35" s="113">
        <v>13.3392772396986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222.336385032496</v>
      </c>
      <c r="Y35" s="113">
        <v>0</v>
      </c>
      <c r="Z35" s="113">
        <v>0</v>
      </c>
      <c r="AA35" s="113">
        <v>710.17272823821997</v>
      </c>
      <c r="AB35" s="113">
        <v>0</v>
      </c>
      <c r="AC35" s="113">
        <v>0</v>
      </c>
      <c r="AD35" s="113">
        <v>0</v>
      </c>
      <c r="AE35" s="113">
        <v>17.6600025960315</v>
      </c>
      <c r="AF35" s="113">
        <v>0</v>
      </c>
      <c r="AG35" s="113">
        <v>0</v>
      </c>
      <c r="AH35" s="113">
        <v>0</v>
      </c>
      <c r="AI35" s="113">
        <v>0</v>
      </c>
      <c r="AJ35" s="113">
        <v>0</v>
      </c>
      <c r="AK35" s="113">
        <v>0</v>
      </c>
      <c r="AL35" s="113">
        <v>0</v>
      </c>
      <c r="AM35" s="113">
        <v>0</v>
      </c>
      <c r="AN35" s="113">
        <v>181.040912250768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0</v>
      </c>
    </row>
    <row r="36" spans="2:46" ht="12" customHeight="1" x14ac:dyDescent="0.3">
      <c r="B36" s="112" t="s">
        <v>42</v>
      </c>
      <c r="C36" s="113" t="s">
        <v>33</v>
      </c>
      <c r="D36" s="113" t="s">
        <v>43</v>
      </c>
      <c r="E36" s="113" t="s">
        <v>485</v>
      </c>
      <c r="F36" s="113" t="s">
        <v>25</v>
      </c>
      <c r="G36" s="113" t="s">
        <v>35</v>
      </c>
      <c r="H36" s="113" t="s">
        <v>467</v>
      </c>
      <c r="I36" s="113" t="s">
        <v>25</v>
      </c>
      <c r="J36" s="113">
        <v>427.95</v>
      </c>
      <c r="K36" s="113">
        <v>181.04</v>
      </c>
      <c r="L36" s="113">
        <v>0</v>
      </c>
      <c r="M36" s="113">
        <v>1.73111329018967</v>
      </c>
      <c r="N36" s="113">
        <v>0</v>
      </c>
      <c r="O36" s="113">
        <v>0</v>
      </c>
      <c r="P36" s="113">
        <v>0</v>
      </c>
      <c r="Q36" s="113">
        <v>84.422361569728295</v>
      </c>
      <c r="R36" s="113">
        <v>13.3392772396986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74.070784950995801</v>
      </c>
      <c r="Y36" s="113">
        <v>0</v>
      </c>
      <c r="Z36" s="113">
        <v>0</v>
      </c>
      <c r="AA36" s="113">
        <v>236.724208473071</v>
      </c>
      <c r="AB36" s="113">
        <v>0</v>
      </c>
      <c r="AC36" s="113">
        <v>0</v>
      </c>
      <c r="AD36" s="113">
        <v>0</v>
      </c>
      <c r="AE36" s="113">
        <v>17.6600025960315</v>
      </c>
      <c r="AF36" s="113">
        <v>0</v>
      </c>
      <c r="AG36" s="113">
        <v>0</v>
      </c>
      <c r="AH36" s="113">
        <v>0</v>
      </c>
      <c r="AI36" s="113">
        <v>0</v>
      </c>
      <c r="AJ36" s="113">
        <v>0</v>
      </c>
      <c r="AK36" s="113">
        <v>0</v>
      </c>
      <c r="AL36" s="113">
        <v>0</v>
      </c>
      <c r="AM36" s="113">
        <v>0</v>
      </c>
      <c r="AN36" s="113">
        <v>181.040912250768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0</v>
      </c>
    </row>
    <row r="37" spans="2:46" ht="12" customHeight="1" x14ac:dyDescent="0.3">
      <c r="B37" s="112" t="s">
        <v>42</v>
      </c>
      <c r="C37" s="113" t="s">
        <v>23</v>
      </c>
      <c r="D37" s="113" t="s">
        <v>43</v>
      </c>
      <c r="E37" s="113" t="s">
        <v>484</v>
      </c>
      <c r="F37" s="113" t="s">
        <v>25</v>
      </c>
      <c r="G37" s="113" t="s">
        <v>25</v>
      </c>
      <c r="H37" s="113" t="s">
        <v>467</v>
      </c>
      <c r="I37" s="113" t="s">
        <v>25</v>
      </c>
      <c r="J37" s="113">
        <v>658</v>
      </c>
      <c r="K37" s="113">
        <v>184.98</v>
      </c>
      <c r="L37" s="113">
        <v>0</v>
      </c>
      <c r="M37" s="113">
        <v>1.7687461878024899</v>
      </c>
      <c r="N37" s="113">
        <v>0</v>
      </c>
      <c r="O37" s="113">
        <v>0</v>
      </c>
      <c r="P37" s="113">
        <v>0</v>
      </c>
      <c r="Q37" s="113">
        <v>86.257630299504996</v>
      </c>
      <c r="R37" s="113">
        <v>13.6292615275181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128.35351125443401</v>
      </c>
      <c r="Y37" s="113">
        <v>0</v>
      </c>
      <c r="Z37" s="113">
        <v>0</v>
      </c>
      <c r="AA37" s="113">
        <v>409.95007186162297</v>
      </c>
      <c r="AB37" s="113">
        <v>0</v>
      </c>
      <c r="AC37" s="113">
        <v>0</v>
      </c>
      <c r="AD37" s="113">
        <v>0</v>
      </c>
      <c r="AE37" s="113">
        <v>18.043915695945302</v>
      </c>
      <c r="AF37" s="113">
        <v>0</v>
      </c>
      <c r="AG37" s="113">
        <v>0</v>
      </c>
      <c r="AH37" s="113">
        <v>0</v>
      </c>
      <c r="AI37" s="113">
        <v>0</v>
      </c>
      <c r="AJ37" s="113">
        <v>0</v>
      </c>
      <c r="AK37" s="113">
        <v>0</v>
      </c>
      <c r="AL37" s="113">
        <v>0</v>
      </c>
      <c r="AM37" s="113">
        <v>0</v>
      </c>
      <c r="AN37" s="113">
        <v>184.97658425622001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0</v>
      </c>
    </row>
    <row r="38" spans="2:46" ht="12" customHeight="1" x14ac:dyDescent="0.3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467</v>
      </c>
      <c r="I38" s="113" t="s">
        <v>25</v>
      </c>
      <c r="J38" s="113">
        <v>651</v>
      </c>
      <c r="K38" s="113">
        <v>183.01</v>
      </c>
      <c r="L38" s="113">
        <v>0</v>
      </c>
      <c r="M38" s="113">
        <v>1.74992973899608</v>
      </c>
      <c r="N38" s="113">
        <v>0</v>
      </c>
      <c r="O38" s="113">
        <v>0</v>
      </c>
      <c r="P38" s="113">
        <v>0</v>
      </c>
      <c r="Q38" s="113">
        <v>85.339995934616596</v>
      </c>
      <c r="R38" s="113">
        <v>13.4842693836083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126.98804836874901</v>
      </c>
      <c r="Y38" s="113">
        <v>0</v>
      </c>
      <c r="Z38" s="113">
        <v>0</v>
      </c>
      <c r="AA38" s="113">
        <v>405.58890088437101</v>
      </c>
      <c r="AB38" s="113">
        <v>0</v>
      </c>
      <c r="AC38" s="113">
        <v>0</v>
      </c>
      <c r="AD38" s="113">
        <v>0</v>
      </c>
      <c r="AE38" s="113">
        <v>17.851959145988399</v>
      </c>
      <c r="AF38" s="113">
        <v>0</v>
      </c>
      <c r="AG38" s="113">
        <v>0</v>
      </c>
      <c r="AH38" s="113">
        <v>0</v>
      </c>
      <c r="AI38" s="113">
        <v>0</v>
      </c>
      <c r="AJ38" s="113">
        <v>0</v>
      </c>
      <c r="AK38" s="113">
        <v>0</v>
      </c>
      <c r="AL38" s="113">
        <v>0</v>
      </c>
      <c r="AM38" s="113">
        <v>0</v>
      </c>
      <c r="AN38" s="113">
        <v>183.00874825349399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0</v>
      </c>
    </row>
    <row r="39" spans="2:46" ht="12" customHeight="1" x14ac:dyDescent="0.3">
      <c r="B39" s="112" t="s">
        <v>42</v>
      </c>
      <c r="C39" s="113" t="s">
        <v>23</v>
      </c>
      <c r="D39" s="113" t="s">
        <v>43</v>
      </c>
      <c r="E39" s="113" t="s">
        <v>485</v>
      </c>
      <c r="F39" s="113" t="s">
        <v>25</v>
      </c>
      <c r="G39" s="113" t="s">
        <v>25</v>
      </c>
      <c r="H39" s="113" t="s">
        <v>467</v>
      </c>
      <c r="I39" s="113" t="s">
        <v>25</v>
      </c>
      <c r="J39" s="113">
        <v>644</v>
      </c>
      <c r="K39" s="113">
        <v>181.04</v>
      </c>
      <c r="L39" s="113">
        <v>0</v>
      </c>
      <c r="M39" s="113">
        <v>1.73111329018967</v>
      </c>
      <c r="N39" s="113">
        <v>0</v>
      </c>
      <c r="O39" s="113">
        <v>0</v>
      </c>
      <c r="P39" s="113">
        <v>0</v>
      </c>
      <c r="Q39" s="113">
        <v>84.422361569728295</v>
      </c>
      <c r="R39" s="113">
        <v>13.3392772396986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125.62258548306301</v>
      </c>
      <c r="Y39" s="113">
        <v>0</v>
      </c>
      <c r="Z39" s="113">
        <v>0</v>
      </c>
      <c r="AA39" s="113">
        <v>401.22772990712002</v>
      </c>
      <c r="AB39" s="113">
        <v>0</v>
      </c>
      <c r="AC39" s="113">
        <v>0</v>
      </c>
      <c r="AD39" s="113">
        <v>0</v>
      </c>
      <c r="AE39" s="113">
        <v>17.6600025960315</v>
      </c>
      <c r="AF39" s="113">
        <v>0</v>
      </c>
      <c r="AG39" s="113">
        <v>0</v>
      </c>
      <c r="AH39" s="113">
        <v>0</v>
      </c>
      <c r="AI39" s="113">
        <v>0</v>
      </c>
      <c r="AJ39" s="113">
        <v>0</v>
      </c>
      <c r="AK39" s="113">
        <v>0</v>
      </c>
      <c r="AL39" s="113">
        <v>0</v>
      </c>
      <c r="AM39" s="113">
        <v>0</v>
      </c>
      <c r="AN39" s="113">
        <v>181.040912250768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0</v>
      </c>
    </row>
    <row r="40" spans="2:46" ht="12" customHeight="1" x14ac:dyDescent="0.3">
      <c r="B40" s="112" t="s">
        <v>42</v>
      </c>
      <c r="C40" s="113" t="s">
        <v>483</v>
      </c>
      <c r="D40" s="113" t="s">
        <v>43</v>
      </c>
      <c r="E40" s="113" t="s">
        <v>484</v>
      </c>
      <c r="F40" s="113" t="s">
        <v>25</v>
      </c>
      <c r="G40" s="113" t="s">
        <v>25</v>
      </c>
      <c r="H40" s="113" t="s">
        <v>467</v>
      </c>
      <c r="I40" s="113" t="s">
        <v>25</v>
      </c>
      <c r="J40" s="113">
        <v>658</v>
      </c>
      <c r="K40" s="113">
        <v>184.98</v>
      </c>
      <c r="L40" s="113">
        <v>0</v>
      </c>
      <c r="M40" s="113">
        <v>1.7687461878024899</v>
      </c>
      <c r="N40" s="113">
        <v>0</v>
      </c>
      <c r="O40" s="113">
        <v>0</v>
      </c>
      <c r="P40" s="113">
        <v>0</v>
      </c>
      <c r="Q40" s="113">
        <v>86.257630299504996</v>
      </c>
      <c r="R40" s="113">
        <v>13.6292615275181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128.35351125443401</v>
      </c>
      <c r="Y40" s="113">
        <v>0</v>
      </c>
      <c r="Z40" s="113">
        <v>0</v>
      </c>
      <c r="AA40" s="113">
        <v>409.95007186162297</v>
      </c>
      <c r="AB40" s="113">
        <v>0</v>
      </c>
      <c r="AC40" s="113">
        <v>0</v>
      </c>
      <c r="AD40" s="113">
        <v>0</v>
      </c>
      <c r="AE40" s="113">
        <v>18.043915695945302</v>
      </c>
      <c r="AF40" s="113">
        <v>0</v>
      </c>
      <c r="AG40" s="113">
        <v>0</v>
      </c>
      <c r="AH40" s="113">
        <v>0</v>
      </c>
      <c r="AI40" s="113">
        <v>0</v>
      </c>
      <c r="AJ40" s="113">
        <v>0</v>
      </c>
      <c r="AK40" s="113">
        <v>0</v>
      </c>
      <c r="AL40" s="113">
        <v>0</v>
      </c>
      <c r="AM40" s="113">
        <v>0</v>
      </c>
      <c r="AN40" s="113">
        <v>184.97658425622001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0</v>
      </c>
    </row>
    <row r="41" spans="2:46" ht="12" customHeight="1" x14ac:dyDescent="0.3">
      <c r="B41" s="112" t="s">
        <v>42</v>
      </c>
      <c r="C41" s="113" t="s">
        <v>483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467</v>
      </c>
      <c r="I41" s="113" t="s">
        <v>25</v>
      </c>
      <c r="J41" s="113">
        <v>651</v>
      </c>
      <c r="K41" s="113">
        <v>183.01</v>
      </c>
      <c r="L41" s="113">
        <v>0</v>
      </c>
      <c r="M41" s="113">
        <v>1.74992973899608</v>
      </c>
      <c r="N41" s="113">
        <v>0</v>
      </c>
      <c r="O41" s="113">
        <v>0</v>
      </c>
      <c r="P41" s="113">
        <v>0</v>
      </c>
      <c r="Q41" s="113">
        <v>85.339995934616596</v>
      </c>
      <c r="R41" s="113">
        <v>13.4842693836083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126.98804836874901</v>
      </c>
      <c r="Y41" s="113">
        <v>0</v>
      </c>
      <c r="Z41" s="113">
        <v>0</v>
      </c>
      <c r="AA41" s="113">
        <v>405.58890088437101</v>
      </c>
      <c r="AB41" s="113">
        <v>0</v>
      </c>
      <c r="AC41" s="113">
        <v>0</v>
      </c>
      <c r="AD41" s="113">
        <v>0</v>
      </c>
      <c r="AE41" s="113">
        <v>17.851959145988399</v>
      </c>
      <c r="AF41" s="113">
        <v>0</v>
      </c>
      <c r="AG41" s="113">
        <v>0</v>
      </c>
      <c r="AH41" s="113">
        <v>0</v>
      </c>
      <c r="AI41" s="113">
        <v>0</v>
      </c>
      <c r="AJ41" s="113">
        <v>0</v>
      </c>
      <c r="AK41" s="113">
        <v>0</v>
      </c>
      <c r="AL41" s="113">
        <v>0</v>
      </c>
      <c r="AM41" s="113">
        <v>0</v>
      </c>
      <c r="AN41" s="113">
        <v>183.00874825349399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0</v>
      </c>
    </row>
    <row r="42" spans="2:46" ht="12" customHeight="1" x14ac:dyDescent="0.3">
      <c r="B42" s="112" t="s">
        <v>42</v>
      </c>
      <c r="C42" s="113" t="s">
        <v>483</v>
      </c>
      <c r="D42" s="113" t="s">
        <v>43</v>
      </c>
      <c r="E42" s="113" t="s">
        <v>485</v>
      </c>
      <c r="F42" s="113" t="s">
        <v>25</v>
      </c>
      <c r="G42" s="113" t="s">
        <v>25</v>
      </c>
      <c r="H42" s="113" t="s">
        <v>467</v>
      </c>
      <c r="I42" s="113" t="s">
        <v>25</v>
      </c>
      <c r="J42" s="113">
        <v>644</v>
      </c>
      <c r="K42" s="113">
        <v>181.04</v>
      </c>
      <c r="L42" s="113">
        <v>0</v>
      </c>
      <c r="M42" s="113">
        <v>1.73111329018967</v>
      </c>
      <c r="N42" s="113">
        <v>0</v>
      </c>
      <c r="O42" s="113">
        <v>0</v>
      </c>
      <c r="P42" s="113">
        <v>0</v>
      </c>
      <c r="Q42" s="113">
        <v>84.422361569728295</v>
      </c>
      <c r="R42" s="113">
        <v>13.3392772396986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125.62258548306301</v>
      </c>
      <c r="Y42" s="113">
        <v>0</v>
      </c>
      <c r="Z42" s="113">
        <v>0</v>
      </c>
      <c r="AA42" s="113">
        <v>401.22772990712002</v>
      </c>
      <c r="AB42" s="113">
        <v>0</v>
      </c>
      <c r="AC42" s="113">
        <v>0</v>
      </c>
      <c r="AD42" s="113">
        <v>0</v>
      </c>
      <c r="AE42" s="113">
        <v>17.6600025960315</v>
      </c>
      <c r="AF42" s="113">
        <v>0</v>
      </c>
      <c r="AG42" s="113">
        <v>0</v>
      </c>
      <c r="AH42" s="113">
        <v>0</v>
      </c>
      <c r="AI42" s="113">
        <v>0</v>
      </c>
      <c r="AJ42" s="113">
        <v>0</v>
      </c>
      <c r="AK42" s="113">
        <v>0</v>
      </c>
      <c r="AL42" s="113">
        <v>0</v>
      </c>
      <c r="AM42" s="113">
        <v>0</v>
      </c>
      <c r="AN42" s="113">
        <v>181.040912250768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0</v>
      </c>
    </row>
    <row r="43" spans="2:46" ht="12" customHeight="1" x14ac:dyDescent="0.3">
      <c r="B43" s="112" t="s">
        <v>37</v>
      </c>
      <c r="C43" s="113" t="s">
        <v>33</v>
      </c>
      <c r="D43" s="113" t="s">
        <v>25</v>
      </c>
      <c r="E43" s="113" t="s">
        <v>25</v>
      </c>
      <c r="F43" s="113" t="s">
        <v>25</v>
      </c>
      <c r="G43" s="113" t="s">
        <v>34</v>
      </c>
      <c r="H43" s="113" t="s">
        <v>467</v>
      </c>
      <c r="I43" s="113" t="s">
        <v>25</v>
      </c>
      <c r="J43" s="113">
        <v>2103.15</v>
      </c>
      <c r="K43" s="113">
        <v>196.78</v>
      </c>
      <c r="L43" s="113">
        <v>0</v>
      </c>
      <c r="M43" s="113">
        <v>1.88164488064095</v>
      </c>
      <c r="N43" s="113">
        <v>0</v>
      </c>
      <c r="O43" s="113">
        <v>0</v>
      </c>
      <c r="P43" s="113">
        <v>0</v>
      </c>
      <c r="Q43" s="113">
        <v>91.763436488835097</v>
      </c>
      <c r="R43" s="113">
        <v>14.4992143909767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471.20252651879002</v>
      </c>
      <c r="Y43" s="113">
        <v>0</v>
      </c>
      <c r="Z43" s="113">
        <v>0</v>
      </c>
      <c r="AA43" s="113">
        <v>1504.6032718890499</v>
      </c>
      <c r="AB43" s="113">
        <v>0</v>
      </c>
      <c r="AC43" s="113">
        <v>0</v>
      </c>
      <c r="AD43" s="113">
        <v>0</v>
      </c>
      <c r="AE43" s="113">
        <v>19.1956549956864</v>
      </c>
      <c r="AF43" s="113">
        <v>0</v>
      </c>
      <c r="AG43" s="113">
        <v>0</v>
      </c>
      <c r="AH43" s="113">
        <v>0</v>
      </c>
      <c r="AI43" s="113">
        <v>0</v>
      </c>
      <c r="AJ43" s="113">
        <v>0</v>
      </c>
      <c r="AK43" s="113">
        <v>0</v>
      </c>
      <c r="AL43" s="113">
        <v>0</v>
      </c>
      <c r="AM43" s="113">
        <v>0</v>
      </c>
      <c r="AN43" s="113">
        <v>196.78360027257401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0</v>
      </c>
    </row>
    <row r="44" spans="2:46" ht="12" customHeight="1" x14ac:dyDescent="0.3">
      <c r="B44" s="112" t="s">
        <v>37</v>
      </c>
      <c r="C44" s="113" t="s">
        <v>33</v>
      </c>
      <c r="D44" s="113" t="s">
        <v>25</v>
      </c>
      <c r="E44" s="113" t="s">
        <v>25</v>
      </c>
      <c r="F44" s="113" t="s">
        <v>25</v>
      </c>
      <c r="G44" s="113" t="s">
        <v>36</v>
      </c>
      <c r="H44" s="113" t="s">
        <v>467</v>
      </c>
      <c r="I44" s="113" t="s">
        <v>25</v>
      </c>
      <c r="J44" s="113">
        <v>1312.77</v>
      </c>
      <c r="K44" s="113">
        <v>196.78</v>
      </c>
      <c r="L44" s="113">
        <v>0</v>
      </c>
      <c r="M44" s="113">
        <v>1.88164488064095</v>
      </c>
      <c r="N44" s="113">
        <v>0</v>
      </c>
      <c r="O44" s="113">
        <v>0</v>
      </c>
      <c r="P44" s="113">
        <v>0</v>
      </c>
      <c r="Q44" s="113">
        <v>91.763436488835097</v>
      </c>
      <c r="R44" s="113">
        <v>14.4992143909767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282.667485802236</v>
      </c>
      <c r="Y44" s="113">
        <v>0</v>
      </c>
      <c r="Z44" s="113">
        <v>0</v>
      </c>
      <c r="AA44" s="113">
        <v>902.76194078147</v>
      </c>
      <c r="AB44" s="113">
        <v>0</v>
      </c>
      <c r="AC44" s="113">
        <v>0</v>
      </c>
      <c r="AD44" s="113">
        <v>0</v>
      </c>
      <c r="AE44" s="113">
        <v>19.1956549956864</v>
      </c>
      <c r="AF44" s="113">
        <v>0</v>
      </c>
      <c r="AG44" s="113">
        <v>0</v>
      </c>
      <c r="AH44" s="113">
        <v>0</v>
      </c>
      <c r="AI44" s="113">
        <v>0</v>
      </c>
      <c r="AJ44" s="113">
        <v>0</v>
      </c>
      <c r="AK44" s="113">
        <v>0</v>
      </c>
      <c r="AL44" s="113">
        <v>0</v>
      </c>
      <c r="AM44" s="113">
        <v>0</v>
      </c>
      <c r="AN44" s="113">
        <v>196.78360027257401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0</v>
      </c>
    </row>
    <row r="45" spans="2:46" ht="12" customHeight="1" x14ac:dyDescent="0.3">
      <c r="B45" s="112" t="s">
        <v>37</v>
      </c>
      <c r="C45" s="113" t="s">
        <v>33</v>
      </c>
      <c r="D45" s="113" t="s">
        <v>25</v>
      </c>
      <c r="E45" s="113" t="s">
        <v>25</v>
      </c>
      <c r="F45" s="113" t="s">
        <v>25</v>
      </c>
      <c r="G45" s="113" t="s">
        <v>35</v>
      </c>
      <c r="H45" s="113" t="s">
        <v>467</v>
      </c>
      <c r="I45" s="113" t="s">
        <v>25</v>
      </c>
      <c r="J45" s="113">
        <v>522.46</v>
      </c>
      <c r="K45" s="113">
        <v>196.78</v>
      </c>
      <c r="L45" s="113">
        <v>0</v>
      </c>
      <c r="M45" s="113">
        <v>1.88164488064095</v>
      </c>
      <c r="N45" s="113">
        <v>0</v>
      </c>
      <c r="O45" s="113">
        <v>0</v>
      </c>
      <c r="P45" s="113">
        <v>0</v>
      </c>
      <c r="Q45" s="113">
        <v>91.763436488835097</v>
      </c>
      <c r="R45" s="113">
        <v>14.4992143909767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94.200008707988104</v>
      </c>
      <c r="Y45" s="113">
        <v>0</v>
      </c>
      <c r="Z45" s="113">
        <v>0</v>
      </c>
      <c r="AA45" s="113">
        <v>300.92083319347302</v>
      </c>
      <c r="AB45" s="113">
        <v>0</v>
      </c>
      <c r="AC45" s="113">
        <v>0</v>
      </c>
      <c r="AD45" s="113">
        <v>0</v>
      </c>
      <c r="AE45" s="113">
        <v>19.1956549956864</v>
      </c>
      <c r="AF45" s="113">
        <v>0</v>
      </c>
      <c r="AG45" s="113">
        <v>0</v>
      </c>
      <c r="AH45" s="113">
        <v>0</v>
      </c>
      <c r="AI45" s="113">
        <v>0</v>
      </c>
      <c r="AJ45" s="113">
        <v>0</v>
      </c>
      <c r="AK45" s="113">
        <v>0</v>
      </c>
      <c r="AL45" s="113">
        <v>0</v>
      </c>
      <c r="AM45" s="113">
        <v>0</v>
      </c>
      <c r="AN45" s="113">
        <v>196.78360027257401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0</v>
      </c>
    </row>
    <row r="46" spans="2:46" ht="12" customHeight="1" x14ac:dyDescent="0.3">
      <c r="B46" s="112" t="s">
        <v>37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467</v>
      </c>
      <c r="I46" s="113" t="s">
        <v>25</v>
      </c>
      <c r="J46" s="113">
        <v>700</v>
      </c>
      <c r="K46" s="113">
        <v>196.78</v>
      </c>
      <c r="L46" s="113">
        <v>0</v>
      </c>
      <c r="M46" s="113">
        <v>1.88164488064095</v>
      </c>
      <c r="N46" s="113">
        <v>0</v>
      </c>
      <c r="O46" s="113">
        <v>0</v>
      </c>
      <c r="P46" s="113">
        <v>0</v>
      </c>
      <c r="Q46" s="113">
        <v>91.763436488835097</v>
      </c>
      <c r="R46" s="113">
        <v>14.4992143909767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136.546288568547</v>
      </c>
      <c r="Y46" s="113">
        <v>0</v>
      </c>
      <c r="Z46" s="113">
        <v>0</v>
      </c>
      <c r="AA46" s="113">
        <v>436.11709772513001</v>
      </c>
      <c r="AB46" s="113">
        <v>0</v>
      </c>
      <c r="AC46" s="113">
        <v>0</v>
      </c>
      <c r="AD46" s="113">
        <v>0</v>
      </c>
      <c r="AE46" s="113">
        <v>19.1956549956864</v>
      </c>
      <c r="AF46" s="113">
        <v>0</v>
      </c>
      <c r="AG46" s="113">
        <v>0</v>
      </c>
      <c r="AH46" s="113">
        <v>0</v>
      </c>
      <c r="AI46" s="113">
        <v>0</v>
      </c>
      <c r="AJ46" s="113">
        <v>0</v>
      </c>
      <c r="AK46" s="113">
        <v>0</v>
      </c>
      <c r="AL46" s="113">
        <v>0</v>
      </c>
      <c r="AM46" s="113">
        <v>0</v>
      </c>
      <c r="AN46" s="113">
        <v>196.78360027257401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0</v>
      </c>
    </row>
    <row r="47" spans="2:46" ht="12" customHeight="1" x14ac:dyDescent="0.3">
      <c r="B47" s="112" t="s">
        <v>37</v>
      </c>
      <c r="C47" s="113" t="s">
        <v>483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467</v>
      </c>
      <c r="I47" s="113" t="s">
        <v>25</v>
      </c>
      <c r="J47" s="113">
        <v>700</v>
      </c>
      <c r="K47" s="113">
        <v>196.78</v>
      </c>
      <c r="L47" s="113">
        <v>0</v>
      </c>
      <c r="M47" s="113">
        <v>1.88164488064095</v>
      </c>
      <c r="N47" s="113">
        <v>0</v>
      </c>
      <c r="O47" s="113">
        <v>0</v>
      </c>
      <c r="P47" s="113">
        <v>0</v>
      </c>
      <c r="Q47" s="113">
        <v>91.763436488835097</v>
      </c>
      <c r="R47" s="113">
        <v>14.4992143909767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136.546288568547</v>
      </c>
      <c r="Y47" s="113">
        <v>0</v>
      </c>
      <c r="Z47" s="113">
        <v>0</v>
      </c>
      <c r="AA47" s="113">
        <v>436.11709772513001</v>
      </c>
      <c r="AB47" s="113">
        <v>0</v>
      </c>
      <c r="AC47" s="113">
        <v>0</v>
      </c>
      <c r="AD47" s="113">
        <v>0</v>
      </c>
      <c r="AE47" s="113">
        <v>19.1956549956864</v>
      </c>
      <c r="AF47" s="113">
        <v>0</v>
      </c>
      <c r="AG47" s="113">
        <v>0</v>
      </c>
      <c r="AH47" s="113">
        <v>0</v>
      </c>
      <c r="AI47" s="113">
        <v>0</v>
      </c>
      <c r="AJ47" s="113">
        <v>0</v>
      </c>
      <c r="AK47" s="113">
        <v>0</v>
      </c>
      <c r="AL47" s="113">
        <v>0</v>
      </c>
      <c r="AM47" s="113">
        <v>0</v>
      </c>
      <c r="AN47" s="113">
        <v>196.78360027257401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0</v>
      </c>
    </row>
    <row r="48" spans="2:46" ht="12" customHeight="1" x14ac:dyDescent="0.3">
      <c r="B48" s="112" t="s">
        <v>45</v>
      </c>
      <c r="C48" s="113" t="s">
        <v>23</v>
      </c>
      <c r="D48" s="113" t="s">
        <v>46</v>
      </c>
      <c r="E48" s="113" t="s">
        <v>486</v>
      </c>
      <c r="F48" s="113" t="s">
        <v>25</v>
      </c>
      <c r="G48" s="113" t="s">
        <v>25</v>
      </c>
      <c r="H48" s="113" t="s">
        <v>467</v>
      </c>
      <c r="I48" s="113" t="s">
        <v>25</v>
      </c>
      <c r="J48" s="113">
        <v>385</v>
      </c>
      <c r="K48" s="113">
        <v>108.23</v>
      </c>
      <c r="L48" s="113">
        <v>0</v>
      </c>
      <c r="M48" s="113">
        <v>1.03490468435252</v>
      </c>
      <c r="N48" s="113">
        <v>0</v>
      </c>
      <c r="O48" s="113">
        <v>0</v>
      </c>
      <c r="P48" s="113">
        <v>0</v>
      </c>
      <c r="Q48" s="113">
        <v>50.4698900688593</v>
      </c>
      <c r="R48" s="113">
        <v>7.9745679150372002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75.100458712700998</v>
      </c>
      <c r="Y48" s="113">
        <v>0</v>
      </c>
      <c r="Z48" s="113">
        <v>0</v>
      </c>
      <c r="AA48" s="113">
        <v>239.86440374882201</v>
      </c>
      <c r="AB48" s="113">
        <v>0</v>
      </c>
      <c r="AC48" s="113">
        <v>0</v>
      </c>
      <c r="AD48" s="113">
        <v>0</v>
      </c>
      <c r="AE48" s="113">
        <v>10.557610247627499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108.23098014991599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0</v>
      </c>
    </row>
    <row r="49" spans="2:46" ht="12" customHeight="1" x14ac:dyDescent="0.3">
      <c r="B49" s="115" t="s">
        <v>45</v>
      </c>
      <c r="C49" s="116" t="s">
        <v>23</v>
      </c>
      <c r="D49" s="116" t="s">
        <v>46</v>
      </c>
      <c r="E49" s="116" t="s">
        <v>47</v>
      </c>
      <c r="F49" s="116" t="s">
        <v>25</v>
      </c>
      <c r="G49" s="116" t="s">
        <v>25</v>
      </c>
      <c r="H49" s="116" t="s">
        <v>467</v>
      </c>
      <c r="I49" s="116" t="s">
        <v>25</v>
      </c>
      <c r="J49" s="116">
        <v>420</v>
      </c>
      <c r="K49" s="116">
        <v>118.07</v>
      </c>
      <c r="L49" s="116">
        <v>0</v>
      </c>
      <c r="M49" s="116">
        <v>1.1289869283845699</v>
      </c>
      <c r="N49" s="116">
        <v>0</v>
      </c>
      <c r="O49" s="116">
        <v>0</v>
      </c>
      <c r="P49" s="116">
        <v>0</v>
      </c>
      <c r="Q49" s="116">
        <v>55.058061893301101</v>
      </c>
      <c r="R49" s="116">
        <v>8.6995286345860308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81.927773141128398</v>
      </c>
      <c r="Y49" s="116">
        <v>0</v>
      </c>
      <c r="Z49" s="116">
        <v>0</v>
      </c>
      <c r="AA49" s="116">
        <v>261.67025863507803</v>
      </c>
      <c r="AB49" s="116">
        <v>0</v>
      </c>
      <c r="AC49" s="116">
        <v>0</v>
      </c>
      <c r="AD49" s="116">
        <v>0</v>
      </c>
      <c r="AE49" s="116">
        <v>11.5173929974119</v>
      </c>
      <c r="AF49" s="116">
        <v>0</v>
      </c>
      <c r="AG49" s="116">
        <v>0</v>
      </c>
      <c r="AH49" s="116">
        <v>0</v>
      </c>
      <c r="AI49" s="116">
        <v>0</v>
      </c>
      <c r="AJ49" s="116">
        <v>0</v>
      </c>
      <c r="AK49" s="116">
        <v>0</v>
      </c>
      <c r="AL49" s="116">
        <v>0</v>
      </c>
      <c r="AM49" s="116">
        <v>0</v>
      </c>
      <c r="AN49" s="116">
        <v>118.070160163544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588C-43D5-4AC0-9A2A-BCF235969DF8}">
  <dimension ref="B1:AT49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0.88671875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8" t="s">
        <v>1166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3">
      <c r="L2" s="119" t="s">
        <v>493</v>
      </c>
      <c r="M2" s="119"/>
      <c r="N2" s="119"/>
      <c r="O2" s="119"/>
      <c r="P2" s="119"/>
      <c r="Q2" s="119"/>
      <c r="R2" s="119"/>
      <c r="S2" s="120"/>
      <c r="T2" s="119" t="s">
        <v>502</v>
      </c>
      <c r="U2" s="119"/>
      <c r="V2" s="119"/>
      <c r="W2" s="119"/>
      <c r="X2" s="119"/>
      <c r="Y2" s="119"/>
      <c r="Z2" s="120"/>
      <c r="AA2" s="121" t="s">
        <v>510</v>
      </c>
      <c r="AB2" s="119" t="s">
        <v>25</v>
      </c>
      <c r="AC2" s="119"/>
      <c r="AD2" s="120"/>
      <c r="AE2" s="119" t="s">
        <v>1165</v>
      </c>
      <c r="AF2" s="119"/>
      <c r="AG2" s="119"/>
      <c r="AH2" s="120"/>
      <c r="AI2" s="119" t="s">
        <v>493</v>
      </c>
      <c r="AJ2" s="119"/>
      <c r="AK2" s="119"/>
      <c r="AL2" s="119"/>
      <c r="AM2" s="120"/>
      <c r="AN2" s="121" t="s">
        <v>524</v>
      </c>
      <c r="AO2" s="119" t="s">
        <v>502</v>
      </c>
      <c r="AP2" s="119"/>
      <c r="AQ2" s="119"/>
      <c r="AR2" s="119"/>
      <c r="AS2" s="120"/>
      <c r="AT2" s="122" t="s">
        <v>1165</v>
      </c>
    </row>
    <row r="3" spans="2:46" ht="12" customHeight="1" x14ac:dyDescent="0.3">
      <c r="B3" s="109" t="s">
        <v>457</v>
      </c>
      <c r="C3" s="110" t="s">
        <v>458</v>
      </c>
      <c r="D3" s="110" t="s">
        <v>459</v>
      </c>
      <c r="E3" s="110" t="s">
        <v>460</v>
      </c>
      <c r="F3" s="110" t="s">
        <v>461</v>
      </c>
      <c r="G3" s="110" t="s">
        <v>463</v>
      </c>
      <c r="H3" s="110" t="s">
        <v>464</v>
      </c>
      <c r="I3" s="110" t="s">
        <v>768</v>
      </c>
      <c r="J3" s="110" t="s">
        <v>1127</v>
      </c>
      <c r="K3" s="110" t="s">
        <v>1128</v>
      </c>
      <c r="L3" s="110" t="s">
        <v>1129</v>
      </c>
      <c r="M3" s="110" t="s">
        <v>1130</v>
      </c>
      <c r="N3" s="110" t="s">
        <v>1131</v>
      </c>
      <c r="O3" s="110" t="s">
        <v>1132</v>
      </c>
      <c r="P3" s="110" t="s">
        <v>1133</v>
      </c>
      <c r="Q3" s="110" t="s">
        <v>1134</v>
      </c>
      <c r="R3" s="110" t="s">
        <v>1135</v>
      </c>
      <c r="S3" s="110" t="s">
        <v>1136</v>
      </c>
      <c r="T3" s="110" t="s">
        <v>1137</v>
      </c>
      <c r="U3" s="110" t="s">
        <v>1138</v>
      </c>
      <c r="V3" s="110" t="s">
        <v>1139</v>
      </c>
      <c r="W3" s="110" t="s">
        <v>1140</v>
      </c>
      <c r="X3" s="110" t="s">
        <v>1141</v>
      </c>
      <c r="Y3" s="110" t="s">
        <v>1142</v>
      </c>
      <c r="Z3" s="110" t="s">
        <v>1143</v>
      </c>
      <c r="AA3" s="110" t="s">
        <v>1144</v>
      </c>
      <c r="AB3" s="110" t="s">
        <v>1145</v>
      </c>
      <c r="AC3" s="110" t="s">
        <v>1146</v>
      </c>
      <c r="AD3" s="110" t="s">
        <v>1147</v>
      </c>
      <c r="AE3" s="110" t="s">
        <v>1148</v>
      </c>
      <c r="AF3" s="110" t="s">
        <v>1149</v>
      </c>
      <c r="AG3" s="110" t="s">
        <v>1150</v>
      </c>
      <c r="AH3" s="110" t="s">
        <v>1151</v>
      </c>
      <c r="AI3" s="110" t="s">
        <v>1152</v>
      </c>
      <c r="AJ3" s="110" t="s">
        <v>1153</v>
      </c>
      <c r="AK3" s="110" t="s">
        <v>1154</v>
      </c>
      <c r="AL3" s="110" t="s">
        <v>1155</v>
      </c>
      <c r="AM3" s="110" t="s">
        <v>1156</v>
      </c>
      <c r="AN3" s="110" t="s">
        <v>1157</v>
      </c>
      <c r="AO3" s="110" t="s">
        <v>1158</v>
      </c>
      <c r="AP3" s="110" t="s">
        <v>1159</v>
      </c>
      <c r="AQ3" s="110" t="s">
        <v>1160</v>
      </c>
      <c r="AR3" s="110" t="s">
        <v>1161</v>
      </c>
      <c r="AS3" s="110" t="s">
        <v>1162</v>
      </c>
      <c r="AT3" s="111" t="s">
        <v>1163</v>
      </c>
    </row>
    <row r="4" spans="2:46" ht="12" customHeight="1" x14ac:dyDescent="0.3">
      <c r="B4" s="112" t="s">
        <v>39</v>
      </c>
      <c r="C4" s="113" t="s">
        <v>470</v>
      </c>
      <c r="D4" s="113" t="s">
        <v>25</v>
      </c>
      <c r="E4" s="113" t="s">
        <v>25</v>
      </c>
      <c r="F4" s="113" t="s">
        <v>475</v>
      </c>
      <c r="G4" s="113" t="s">
        <v>34</v>
      </c>
      <c r="H4" s="113" t="s">
        <v>467</v>
      </c>
      <c r="I4" s="113" t="s">
        <v>25</v>
      </c>
      <c r="J4" s="113">
        <v>0</v>
      </c>
      <c r="K4" s="113">
        <v>0</v>
      </c>
      <c r="L4" s="113">
        <v>0</v>
      </c>
      <c r="M4" s="113">
        <v>0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0</v>
      </c>
      <c r="AF4" s="113">
        <v>0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3">
      <c r="B5" s="112" t="s">
        <v>39</v>
      </c>
      <c r="C5" s="113" t="s">
        <v>470</v>
      </c>
      <c r="D5" s="113" t="s">
        <v>25</v>
      </c>
      <c r="E5" s="113" t="s">
        <v>25</v>
      </c>
      <c r="F5" s="113" t="s">
        <v>475</v>
      </c>
      <c r="G5" s="113" t="s">
        <v>34</v>
      </c>
      <c r="H5" s="113" t="s">
        <v>471</v>
      </c>
      <c r="I5" s="113" t="s">
        <v>25</v>
      </c>
      <c r="J5" s="113">
        <v>0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0</v>
      </c>
      <c r="Y5" s="113">
        <v>0</v>
      </c>
      <c r="Z5" s="113">
        <v>0</v>
      </c>
      <c r="AA5" s="113">
        <v>0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3">
      <c r="B6" s="112" t="s">
        <v>39</v>
      </c>
      <c r="C6" s="113" t="s">
        <v>470</v>
      </c>
      <c r="D6" s="113" t="s">
        <v>25</v>
      </c>
      <c r="E6" s="113" t="s">
        <v>25</v>
      </c>
      <c r="F6" s="113" t="s">
        <v>475</v>
      </c>
      <c r="G6" s="113" t="s">
        <v>35</v>
      </c>
      <c r="H6" s="113" t="s">
        <v>467</v>
      </c>
      <c r="I6" s="113" t="s">
        <v>25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0</v>
      </c>
      <c r="AF6" s="113">
        <v>0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3">
      <c r="B7" s="112" t="s">
        <v>39</v>
      </c>
      <c r="C7" s="113" t="s">
        <v>470</v>
      </c>
      <c r="D7" s="113" t="s">
        <v>25</v>
      </c>
      <c r="E7" s="113" t="s">
        <v>25</v>
      </c>
      <c r="F7" s="113" t="s">
        <v>475</v>
      </c>
      <c r="G7" s="113" t="s">
        <v>35</v>
      </c>
      <c r="H7" s="113" t="s">
        <v>471</v>
      </c>
      <c r="I7" s="113" t="s">
        <v>25</v>
      </c>
      <c r="J7" s="113">
        <v>0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0</v>
      </c>
      <c r="Y7" s="113">
        <v>0</v>
      </c>
      <c r="Z7" s="113">
        <v>0</v>
      </c>
      <c r="AA7" s="113">
        <v>0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3">
      <c r="B8" s="112" t="s">
        <v>39</v>
      </c>
      <c r="C8" s="113" t="s">
        <v>470</v>
      </c>
      <c r="D8" s="113" t="s">
        <v>25</v>
      </c>
      <c r="E8" s="113" t="s">
        <v>25</v>
      </c>
      <c r="F8" s="113" t="s">
        <v>25</v>
      </c>
      <c r="G8" s="113" t="s">
        <v>34</v>
      </c>
      <c r="H8" s="113" t="s">
        <v>467</v>
      </c>
      <c r="I8" s="113" t="s">
        <v>25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0</v>
      </c>
    </row>
    <row r="9" spans="2:46" ht="12" customHeight="1" x14ac:dyDescent="0.3">
      <c r="B9" s="112" t="s">
        <v>39</v>
      </c>
      <c r="C9" s="113" t="s">
        <v>470</v>
      </c>
      <c r="D9" s="113" t="s">
        <v>25</v>
      </c>
      <c r="E9" s="113" t="s">
        <v>25</v>
      </c>
      <c r="F9" s="113" t="s">
        <v>25</v>
      </c>
      <c r="G9" s="113" t="s">
        <v>34</v>
      </c>
      <c r="H9" s="113" t="s">
        <v>471</v>
      </c>
      <c r="I9" s="113" t="s">
        <v>25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0</v>
      </c>
      <c r="Y9" s="113">
        <v>0</v>
      </c>
      <c r="Z9" s="113">
        <v>0</v>
      </c>
      <c r="AA9" s="113">
        <v>0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3">
      <c r="B10" s="112" t="s">
        <v>39</v>
      </c>
      <c r="C10" s="113" t="s">
        <v>470</v>
      </c>
      <c r="D10" s="113" t="s">
        <v>25</v>
      </c>
      <c r="E10" s="113" t="s">
        <v>25</v>
      </c>
      <c r="F10" s="113" t="s">
        <v>25</v>
      </c>
      <c r="G10" s="113" t="s">
        <v>35</v>
      </c>
      <c r="H10" s="113" t="s">
        <v>467</v>
      </c>
      <c r="I10" s="113" t="s">
        <v>25</v>
      </c>
      <c r="J10" s="113">
        <v>0</v>
      </c>
      <c r="K10" s="113">
        <v>0</v>
      </c>
      <c r="L10" s="113">
        <v>0</v>
      </c>
      <c r="M10" s="113">
        <v>0</v>
      </c>
      <c r="N10" s="113">
        <v>0</v>
      </c>
      <c r="O10" s="113">
        <v>0</v>
      </c>
      <c r="P10" s="113">
        <v>0</v>
      </c>
      <c r="Q10" s="113">
        <v>0</v>
      </c>
      <c r="R10" s="113">
        <v>0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0</v>
      </c>
      <c r="AF10" s="113">
        <v>0</v>
      </c>
      <c r="AG10" s="113">
        <v>0</v>
      </c>
      <c r="AH10" s="113">
        <v>0</v>
      </c>
      <c r="AI10" s="113">
        <v>0</v>
      </c>
      <c r="AJ10" s="113">
        <v>0</v>
      </c>
      <c r="AK10" s="113">
        <v>0</v>
      </c>
      <c r="AL10" s="113">
        <v>0</v>
      </c>
      <c r="AM10" s="113">
        <v>0</v>
      </c>
      <c r="AN10" s="113">
        <v>0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0</v>
      </c>
    </row>
    <row r="11" spans="2:46" ht="12" customHeight="1" x14ac:dyDescent="0.3">
      <c r="B11" s="112" t="s">
        <v>39</v>
      </c>
      <c r="C11" s="113" t="s">
        <v>470</v>
      </c>
      <c r="D11" s="113" t="s">
        <v>25</v>
      </c>
      <c r="E11" s="113" t="s">
        <v>25</v>
      </c>
      <c r="F11" s="113" t="s">
        <v>25</v>
      </c>
      <c r="G11" s="113" t="s">
        <v>35</v>
      </c>
      <c r="H11" s="113" t="s">
        <v>471</v>
      </c>
      <c r="I11" s="113" t="s">
        <v>25</v>
      </c>
      <c r="J11" s="113">
        <v>0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0</v>
      </c>
      <c r="Y11" s="113">
        <v>0</v>
      </c>
      <c r="Z11" s="113">
        <v>0</v>
      </c>
      <c r="AA11" s="113">
        <v>0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3">
      <c r="B12" s="112" t="s">
        <v>39</v>
      </c>
      <c r="C12" s="113" t="s">
        <v>476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471</v>
      </c>
      <c r="I12" s="113" t="s">
        <v>25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0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3">
      <c r="B13" s="112" t="s">
        <v>39</v>
      </c>
      <c r="C13" s="113" t="s">
        <v>40</v>
      </c>
      <c r="D13" s="113" t="s">
        <v>25</v>
      </c>
      <c r="E13" s="113" t="s">
        <v>25</v>
      </c>
      <c r="F13" s="113" t="s">
        <v>475</v>
      </c>
      <c r="G13" s="113" t="s">
        <v>34</v>
      </c>
      <c r="H13" s="113" t="s">
        <v>467</v>
      </c>
      <c r="I13" s="113" t="s">
        <v>25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0</v>
      </c>
      <c r="Y13" s="113">
        <v>0</v>
      </c>
      <c r="Z13" s="113">
        <v>0</v>
      </c>
      <c r="AA13" s="113">
        <v>0</v>
      </c>
      <c r="AB13" s="113">
        <v>0</v>
      </c>
      <c r="AC13" s="113">
        <v>0</v>
      </c>
      <c r="AD13" s="113">
        <v>0</v>
      </c>
      <c r="AE13" s="113">
        <v>0</v>
      </c>
      <c r="AF13" s="113">
        <v>0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3">
      <c r="B14" s="112" t="s">
        <v>39</v>
      </c>
      <c r="C14" s="113" t="s">
        <v>40</v>
      </c>
      <c r="D14" s="113" t="s">
        <v>25</v>
      </c>
      <c r="E14" s="113" t="s">
        <v>25</v>
      </c>
      <c r="F14" s="113" t="s">
        <v>475</v>
      </c>
      <c r="G14" s="113" t="s">
        <v>25</v>
      </c>
      <c r="H14" s="113" t="s">
        <v>471</v>
      </c>
      <c r="I14" s="113" t="s">
        <v>25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3">
      <c r="B15" s="112" t="s">
        <v>39</v>
      </c>
      <c r="C15" s="113" t="s">
        <v>40</v>
      </c>
      <c r="D15" s="113" t="s">
        <v>25</v>
      </c>
      <c r="E15" s="113" t="s">
        <v>25</v>
      </c>
      <c r="F15" s="113" t="s">
        <v>475</v>
      </c>
      <c r="G15" s="113" t="s">
        <v>35</v>
      </c>
      <c r="H15" s="113" t="s">
        <v>467</v>
      </c>
      <c r="I15" s="113" t="s">
        <v>25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0</v>
      </c>
      <c r="AF15" s="113">
        <v>0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3">
      <c r="B16" s="112" t="s">
        <v>39</v>
      </c>
      <c r="C16" s="113" t="s">
        <v>40</v>
      </c>
      <c r="D16" s="113" t="s">
        <v>25</v>
      </c>
      <c r="E16" s="113" t="s">
        <v>25</v>
      </c>
      <c r="F16" s="113" t="s">
        <v>25</v>
      </c>
      <c r="G16" s="113" t="s">
        <v>34</v>
      </c>
      <c r="H16" s="113" t="s">
        <v>467</v>
      </c>
      <c r="I16" s="113" t="s">
        <v>25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3">
        <v>0</v>
      </c>
      <c r="P16" s="113">
        <v>0</v>
      </c>
      <c r="Q16" s="113">
        <v>0</v>
      </c>
      <c r="R16" s="113">
        <v>0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0</v>
      </c>
      <c r="Y16" s="113">
        <v>0</v>
      </c>
      <c r="Z16" s="113">
        <v>0</v>
      </c>
      <c r="AA16" s="113">
        <v>0</v>
      </c>
      <c r="AB16" s="113">
        <v>0</v>
      </c>
      <c r="AC16" s="113">
        <v>0</v>
      </c>
      <c r="AD16" s="113">
        <v>0</v>
      </c>
      <c r="AE16" s="113">
        <v>0</v>
      </c>
      <c r="AF16" s="113">
        <v>0</v>
      </c>
      <c r="AG16" s="113">
        <v>0</v>
      </c>
      <c r="AH16" s="113">
        <v>0</v>
      </c>
      <c r="AI16" s="113">
        <v>0</v>
      </c>
      <c r="AJ16" s="113">
        <v>0</v>
      </c>
      <c r="AK16" s="113">
        <v>0</v>
      </c>
      <c r="AL16" s="113">
        <v>0</v>
      </c>
      <c r="AM16" s="113">
        <v>0</v>
      </c>
      <c r="AN16" s="113">
        <v>0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0</v>
      </c>
    </row>
    <row r="17" spans="2:46" ht="12" customHeight="1" x14ac:dyDescent="0.3">
      <c r="B17" s="112" t="s">
        <v>39</v>
      </c>
      <c r="C17" s="113" t="s">
        <v>40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471</v>
      </c>
      <c r="I17" s="113" t="s">
        <v>25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0</v>
      </c>
      <c r="Y17" s="113">
        <v>0</v>
      </c>
      <c r="Z17" s="113">
        <v>0</v>
      </c>
      <c r="AA17" s="113">
        <v>0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3">
      <c r="B18" s="112" t="s">
        <v>39</v>
      </c>
      <c r="C18" s="113" t="s">
        <v>40</v>
      </c>
      <c r="D18" s="113" t="s">
        <v>25</v>
      </c>
      <c r="E18" s="113" t="s">
        <v>25</v>
      </c>
      <c r="F18" s="113" t="s">
        <v>25</v>
      </c>
      <c r="G18" s="113" t="s">
        <v>35</v>
      </c>
      <c r="H18" s="113" t="s">
        <v>467</v>
      </c>
      <c r="I18" s="113" t="s">
        <v>25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3">
        <v>0</v>
      </c>
      <c r="P18" s="113">
        <v>0</v>
      </c>
      <c r="Q18" s="113">
        <v>0</v>
      </c>
      <c r="R18" s="113">
        <v>0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0</v>
      </c>
      <c r="AF18" s="113">
        <v>0</v>
      </c>
      <c r="AG18" s="113">
        <v>0</v>
      </c>
      <c r="AH18" s="113">
        <v>0</v>
      </c>
      <c r="AI18" s="113">
        <v>0</v>
      </c>
      <c r="AJ18" s="113">
        <v>0</v>
      </c>
      <c r="AK18" s="113">
        <v>0</v>
      </c>
      <c r="AL18" s="113">
        <v>0</v>
      </c>
      <c r="AM18" s="113">
        <v>0</v>
      </c>
      <c r="AN18" s="113">
        <v>0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0</v>
      </c>
    </row>
    <row r="19" spans="2:46" ht="12" customHeight="1" x14ac:dyDescent="0.3">
      <c r="B19" s="112" t="s">
        <v>477</v>
      </c>
      <c r="C19" s="113" t="s">
        <v>476</v>
      </c>
      <c r="D19" s="113" t="s">
        <v>25</v>
      </c>
      <c r="E19" s="113" t="s">
        <v>25</v>
      </c>
      <c r="F19" s="113" t="s">
        <v>478</v>
      </c>
      <c r="G19" s="113" t="s">
        <v>25</v>
      </c>
      <c r="H19" s="113" t="s">
        <v>471</v>
      </c>
      <c r="I19" s="113" t="s">
        <v>25</v>
      </c>
      <c r="J19" s="113">
        <v>0</v>
      </c>
      <c r="K19" s="113">
        <v>0</v>
      </c>
      <c r="L19" s="113">
        <v>0</v>
      </c>
      <c r="M19" s="113">
        <v>0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0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3">
      <c r="B20" s="112" t="s">
        <v>477</v>
      </c>
      <c r="C20" s="113" t="s">
        <v>476</v>
      </c>
      <c r="D20" s="113" t="s">
        <v>25</v>
      </c>
      <c r="E20" s="113" t="s">
        <v>25</v>
      </c>
      <c r="F20" s="113" t="s">
        <v>479</v>
      </c>
      <c r="G20" s="113" t="s">
        <v>25</v>
      </c>
      <c r="H20" s="113" t="s">
        <v>471</v>
      </c>
      <c r="I20" s="113" t="s">
        <v>25</v>
      </c>
      <c r="J20" s="113">
        <v>0</v>
      </c>
      <c r="K20" s="113">
        <v>0</v>
      </c>
      <c r="L20" s="113">
        <v>0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0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3">
      <c r="B21" s="112" t="s">
        <v>22</v>
      </c>
      <c r="C21" s="113" t="s">
        <v>33</v>
      </c>
      <c r="D21" s="113" t="s">
        <v>24</v>
      </c>
      <c r="E21" s="113" t="s">
        <v>24</v>
      </c>
      <c r="F21" s="113" t="s">
        <v>25</v>
      </c>
      <c r="G21" s="113" t="s">
        <v>34</v>
      </c>
      <c r="H21" s="113" t="s">
        <v>467</v>
      </c>
      <c r="I21" s="113" t="s">
        <v>25</v>
      </c>
      <c r="J21" s="113">
        <v>0</v>
      </c>
      <c r="K21" s="113">
        <v>0</v>
      </c>
      <c r="L21" s="113">
        <v>0</v>
      </c>
      <c r="M21" s="113">
        <v>0</v>
      </c>
      <c r="N21" s="113">
        <v>0</v>
      </c>
      <c r="O21" s="113">
        <v>0</v>
      </c>
      <c r="P21" s="113">
        <v>0</v>
      </c>
      <c r="Q21" s="113">
        <v>0</v>
      </c>
      <c r="R21" s="113">
        <v>0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0</v>
      </c>
      <c r="Y21" s="113">
        <v>0</v>
      </c>
      <c r="Z21" s="113">
        <v>0</v>
      </c>
      <c r="AA21" s="113">
        <v>0</v>
      </c>
      <c r="AB21" s="113">
        <v>0</v>
      </c>
      <c r="AC21" s="113">
        <v>0</v>
      </c>
      <c r="AD21" s="113">
        <v>0</v>
      </c>
      <c r="AE21" s="113">
        <v>0</v>
      </c>
      <c r="AF21" s="113">
        <v>0</v>
      </c>
      <c r="AG21" s="113">
        <v>0</v>
      </c>
      <c r="AH21" s="113">
        <v>0</v>
      </c>
      <c r="AI21" s="113">
        <v>0</v>
      </c>
      <c r="AJ21" s="113">
        <v>0</v>
      </c>
      <c r="AK21" s="113">
        <v>0</v>
      </c>
      <c r="AL21" s="113">
        <v>0</v>
      </c>
      <c r="AM21" s="113">
        <v>0</v>
      </c>
      <c r="AN21" s="113">
        <v>0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0</v>
      </c>
    </row>
    <row r="22" spans="2:46" ht="12" customHeight="1" x14ac:dyDescent="0.3">
      <c r="B22" s="112" t="s">
        <v>22</v>
      </c>
      <c r="C22" s="113" t="s">
        <v>33</v>
      </c>
      <c r="D22" s="113" t="s">
        <v>24</v>
      </c>
      <c r="E22" s="113" t="s">
        <v>24</v>
      </c>
      <c r="F22" s="113" t="s">
        <v>25</v>
      </c>
      <c r="G22" s="113" t="s">
        <v>36</v>
      </c>
      <c r="H22" s="113" t="s">
        <v>467</v>
      </c>
      <c r="I22" s="113" t="s">
        <v>25</v>
      </c>
      <c r="J22" s="113">
        <v>0</v>
      </c>
      <c r="K22" s="113">
        <v>0</v>
      </c>
      <c r="L22" s="113">
        <v>0</v>
      </c>
      <c r="M22" s="113">
        <v>0</v>
      </c>
      <c r="N22" s="113">
        <v>0</v>
      </c>
      <c r="O22" s="113">
        <v>0</v>
      </c>
      <c r="P22" s="113">
        <v>0</v>
      </c>
      <c r="Q22" s="113">
        <v>0</v>
      </c>
      <c r="R22" s="113">
        <v>0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0</v>
      </c>
      <c r="Y22" s="113">
        <v>0</v>
      </c>
      <c r="Z22" s="113">
        <v>0</v>
      </c>
      <c r="AA22" s="113">
        <v>0</v>
      </c>
      <c r="AB22" s="113">
        <v>0</v>
      </c>
      <c r="AC22" s="113">
        <v>0</v>
      </c>
      <c r="AD22" s="113">
        <v>0</v>
      </c>
      <c r="AE22" s="113">
        <v>0</v>
      </c>
      <c r="AF22" s="113">
        <v>0</v>
      </c>
      <c r="AG22" s="113">
        <v>0</v>
      </c>
      <c r="AH22" s="113">
        <v>0</v>
      </c>
      <c r="AI22" s="113">
        <v>0</v>
      </c>
      <c r="AJ22" s="113">
        <v>0</v>
      </c>
      <c r="AK22" s="113">
        <v>0</v>
      </c>
      <c r="AL22" s="113">
        <v>0</v>
      </c>
      <c r="AM22" s="113">
        <v>0</v>
      </c>
      <c r="AN22" s="113">
        <v>0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0</v>
      </c>
    </row>
    <row r="23" spans="2:46" ht="12" customHeight="1" x14ac:dyDescent="0.3">
      <c r="B23" s="112" t="s">
        <v>22</v>
      </c>
      <c r="C23" s="113" t="s">
        <v>33</v>
      </c>
      <c r="D23" s="113" t="s">
        <v>24</v>
      </c>
      <c r="E23" s="113" t="s">
        <v>24</v>
      </c>
      <c r="F23" s="113" t="s">
        <v>25</v>
      </c>
      <c r="G23" s="113" t="s">
        <v>35</v>
      </c>
      <c r="H23" s="113" t="s">
        <v>467</v>
      </c>
      <c r="I23" s="113" t="s">
        <v>25</v>
      </c>
      <c r="J23" s="113">
        <v>0</v>
      </c>
      <c r="K23" s="113">
        <v>0</v>
      </c>
      <c r="L23" s="113">
        <v>0</v>
      </c>
      <c r="M23" s="113">
        <v>0</v>
      </c>
      <c r="N23" s="113">
        <v>0</v>
      </c>
      <c r="O23" s="113">
        <v>0</v>
      </c>
      <c r="P23" s="113">
        <v>0</v>
      </c>
      <c r="Q23" s="113">
        <v>0</v>
      </c>
      <c r="R23" s="113">
        <v>0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0</v>
      </c>
      <c r="Y23" s="113">
        <v>0</v>
      </c>
      <c r="Z23" s="113">
        <v>0</v>
      </c>
      <c r="AA23" s="113">
        <v>0</v>
      </c>
      <c r="AB23" s="113">
        <v>0</v>
      </c>
      <c r="AC23" s="113">
        <v>0</v>
      </c>
      <c r="AD23" s="113">
        <v>0</v>
      </c>
      <c r="AE23" s="113">
        <v>0</v>
      </c>
      <c r="AF23" s="113">
        <v>0</v>
      </c>
      <c r="AG23" s="113">
        <v>0</v>
      </c>
      <c r="AH23" s="113">
        <v>0</v>
      </c>
      <c r="AI23" s="113">
        <v>0</v>
      </c>
      <c r="AJ23" s="113">
        <v>0</v>
      </c>
      <c r="AK23" s="113">
        <v>0</v>
      </c>
      <c r="AL23" s="113">
        <v>0</v>
      </c>
      <c r="AM23" s="113">
        <v>0</v>
      </c>
      <c r="AN23" s="113">
        <v>0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0</v>
      </c>
    </row>
    <row r="24" spans="2:46" ht="12" customHeight="1" x14ac:dyDescent="0.3">
      <c r="B24" s="112" t="s">
        <v>22</v>
      </c>
      <c r="C24" s="113" t="s">
        <v>23</v>
      </c>
      <c r="D24" s="113" t="s">
        <v>24</v>
      </c>
      <c r="E24" s="113" t="s">
        <v>1164</v>
      </c>
      <c r="F24" s="113" t="s">
        <v>25</v>
      </c>
      <c r="G24" s="113" t="s">
        <v>25</v>
      </c>
      <c r="H24" s="113" t="s">
        <v>467</v>
      </c>
      <c r="I24" s="113" t="s">
        <v>25</v>
      </c>
      <c r="J24" s="113">
        <v>0</v>
      </c>
      <c r="K24" s="113">
        <v>0</v>
      </c>
      <c r="L24" s="113">
        <v>0</v>
      </c>
      <c r="M24" s="113">
        <v>0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0</v>
      </c>
      <c r="Y24" s="113">
        <v>0</v>
      </c>
      <c r="Z24" s="113">
        <v>0</v>
      </c>
      <c r="AA24" s="113">
        <v>0</v>
      </c>
      <c r="AB24" s="113">
        <v>0</v>
      </c>
      <c r="AC24" s="113">
        <v>0</v>
      </c>
      <c r="AD24" s="113">
        <v>0</v>
      </c>
      <c r="AE24" s="113">
        <v>0</v>
      </c>
      <c r="AF24" s="113">
        <v>0</v>
      </c>
      <c r="AG24" s="113">
        <v>0</v>
      </c>
      <c r="AH24" s="113">
        <v>0</v>
      </c>
      <c r="AI24" s="113">
        <v>0</v>
      </c>
      <c r="AJ24" s="113">
        <v>0</v>
      </c>
      <c r="AK24" s="113">
        <v>0</v>
      </c>
      <c r="AL24" s="113">
        <v>0</v>
      </c>
      <c r="AM24" s="113">
        <v>0</v>
      </c>
      <c r="AN24" s="113">
        <v>0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0</v>
      </c>
    </row>
    <row r="25" spans="2:46" ht="12" customHeight="1" x14ac:dyDescent="0.3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467</v>
      </c>
      <c r="I25" s="113" t="s">
        <v>25</v>
      </c>
      <c r="J25" s="113">
        <v>0</v>
      </c>
      <c r="K25" s="113">
        <v>0</v>
      </c>
      <c r="L25" s="113">
        <v>0</v>
      </c>
      <c r="M25" s="113">
        <v>0</v>
      </c>
      <c r="N25" s="113">
        <v>0</v>
      </c>
      <c r="O25" s="113">
        <v>0</v>
      </c>
      <c r="P25" s="113">
        <v>0</v>
      </c>
      <c r="Q25" s="113">
        <v>0</v>
      </c>
      <c r="R25" s="113">
        <v>0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0</v>
      </c>
      <c r="Y25" s="113">
        <v>0</v>
      </c>
      <c r="Z25" s="113">
        <v>0</v>
      </c>
      <c r="AA25" s="113">
        <v>0</v>
      </c>
      <c r="AB25" s="113">
        <v>0</v>
      </c>
      <c r="AC25" s="113">
        <v>0</v>
      </c>
      <c r="AD25" s="113">
        <v>0</v>
      </c>
      <c r="AE25" s="113">
        <v>0</v>
      </c>
      <c r="AF25" s="113">
        <v>0</v>
      </c>
      <c r="AG25" s="113">
        <v>0</v>
      </c>
      <c r="AH25" s="113">
        <v>0</v>
      </c>
      <c r="AI25" s="113">
        <v>0</v>
      </c>
      <c r="AJ25" s="113">
        <v>0</v>
      </c>
      <c r="AK25" s="113">
        <v>0</v>
      </c>
      <c r="AL25" s="113">
        <v>0</v>
      </c>
      <c r="AM25" s="113">
        <v>0</v>
      </c>
      <c r="AN25" s="113">
        <v>0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0</v>
      </c>
    </row>
    <row r="26" spans="2:46" ht="12" customHeight="1" x14ac:dyDescent="0.3">
      <c r="B26" s="112" t="s">
        <v>22</v>
      </c>
      <c r="C26" s="113" t="s">
        <v>483</v>
      </c>
      <c r="D26" s="113" t="s">
        <v>24</v>
      </c>
      <c r="E26" s="113" t="s">
        <v>1164</v>
      </c>
      <c r="F26" s="113" t="s">
        <v>25</v>
      </c>
      <c r="G26" s="113" t="s">
        <v>25</v>
      </c>
      <c r="H26" s="113" t="s">
        <v>467</v>
      </c>
      <c r="I26" s="113" t="s">
        <v>25</v>
      </c>
      <c r="J26" s="113">
        <v>0</v>
      </c>
      <c r="K26" s="113">
        <v>0</v>
      </c>
      <c r="L26" s="113">
        <v>0</v>
      </c>
      <c r="M26" s="113">
        <v>0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0</v>
      </c>
      <c r="Y26" s="113">
        <v>0</v>
      </c>
      <c r="Z26" s="113">
        <v>0</v>
      </c>
      <c r="AA26" s="113">
        <v>0</v>
      </c>
      <c r="AB26" s="113">
        <v>0</v>
      </c>
      <c r="AC26" s="113">
        <v>0</v>
      </c>
      <c r="AD26" s="113">
        <v>0</v>
      </c>
      <c r="AE26" s="113">
        <v>0</v>
      </c>
      <c r="AF26" s="113">
        <v>0</v>
      </c>
      <c r="AG26" s="113">
        <v>0</v>
      </c>
      <c r="AH26" s="113">
        <v>0</v>
      </c>
      <c r="AI26" s="113">
        <v>0</v>
      </c>
      <c r="AJ26" s="113">
        <v>0</v>
      </c>
      <c r="AK26" s="113">
        <v>0</v>
      </c>
      <c r="AL26" s="113">
        <v>0</v>
      </c>
      <c r="AM26" s="113">
        <v>0</v>
      </c>
      <c r="AN26" s="113">
        <v>0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0</v>
      </c>
    </row>
    <row r="27" spans="2:46" ht="12" customHeight="1" x14ac:dyDescent="0.3">
      <c r="B27" s="112" t="s">
        <v>22</v>
      </c>
      <c r="C27" s="113" t="s">
        <v>483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467</v>
      </c>
      <c r="I27" s="113" t="s">
        <v>25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3">
        <v>0</v>
      </c>
      <c r="P27" s="113">
        <v>0</v>
      </c>
      <c r="Q27" s="113">
        <v>0</v>
      </c>
      <c r="R27" s="113">
        <v>0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0</v>
      </c>
      <c r="Y27" s="113">
        <v>0</v>
      </c>
      <c r="Z27" s="113">
        <v>0</v>
      </c>
      <c r="AA27" s="113">
        <v>0</v>
      </c>
      <c r="AB27" s="113">
        <v>0</v>
      </c>
      <c r="AC27" s="113">
        <v>0</v>
      </c>
      <c r="AD27" s="113">
        <v>0</v>
      </c>
      <c r="AE27" s="113">
        <v>0</v>
      </c>
      <c r="AF27" s="113">
        <v>0</v>
      </c>
      <c r="AG27" s="113">
        <v>0</v>
      </c>
      <c r="AH27" s="113">
        <v>0</v>
      </c>
      <c r="AI27" s="113">
        <v>0</v>
      </c>
      <c r="AJ27" s="113">
        <v>0</v>
      </c>
      <c r="AK27" s="113">
        <v>0</v>
      </c>
      <c r="AL27" s="113">
        <v>0</v>
      </c>
      <c r="AM27" s="113">
        <v>0</v>
      </c>
      <c r="AN27" s="113">
        <v>0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0</v>
      </c>
    </row>
    <row r="28" spans="2:46" ht="12" customHeight="1" x14ac:dyDescent="0.3">
      <c r="B28" s="112" t="s">
        <v>42</v>
      </c>
      <c r="C28" s="113" t="s">
        <v>33</v>
      </c>
      <c r="D28" s="113" t="s">
        <v>43</v>
      </c>
      <c r="E28" s="113" t="s">
        <v>484</v>
      </c>
      <c r="F28" s="113" t="s">
        <v>25</v>
      </c>
      <c r="G28" s="113" t="s">
        <v>34</v>
      </c>
      <c r="H28" s="113" t="s">
        <v>467</v>
      </c>
      <c r="I28" s="113" t="s">
        <v>25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0</v>
      </c>
    </row>
    <row r="29" spans="2:46" ht="12" customHeight="1" x14ac:dyDescent="0.3">
      <c r="B29" s="112" t="s">
        <v>42</v>
      </c>
      <c r="C29" s="113" t="s">
        <v>33</v>
      </c>
      <c r="D29" s="113" t="s">
        <v>43</v>
      </c>
      <c r="E29" s="113" t="s">
        <v>484</v>
      </c>
      <c r="F29" s="113" t="s">
        <v>25</v>
      </c>
      <c r="G29" s="113" t="s">
        <v>36</v>
      </c>
      <c r="H29" s="113" t="s">
        <v>467</v>
      </c>
      <c r="I29" s="113" t="s">
        <v>25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13">
        <v>0</v>
      </c>
      <c r="AD29" s="113">
        <v>0</v>
      </c>
      <c r="AE29" s="113">
        <v>0</v>
      </c>
      <c r="AF29" s="113">
        <v>0</v>
      </c>
      <c r="AG29" s="113">
        <v>0</v>
      </c>
      <c r="AH29" s="113">
        <v>0</v>
      </c>
      <c r="AI29" s="113">
        <v>0</v>
      </c>
      <c r="AJ29" s="113">
        <v>0</v>
      </c>
      <c r="AK29" s="113">
        <v>0</v>
      </c>
      <c r="AL29" s="113">
        <v>0</v>
      </c>
      <c r="AM29" s="113">
        <v>0</v>
      </c>
      <c r="AN29" s="113">
        <v>0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0</v>
      </c>
    </row>
    <row r="30" spans="2:46" ht="12" customHeight="1" x14ac:dyDescent="0.3">
      <c r="B30" s="112" t="s">
        <v>42</v>
      </c>
      <c r="C30" s="113" t="s">
        <v>33</v>
      </c>
      <c r="D30" s="113" t="s">
        <v>43</v>
      </c>
      <c r="E30" s="113" t="s">
        <v>484</v>
      </c>
      <c r="F30" s="113" t="s">
        <v>25</v>
      </c>
      <c r="G30" s="113" t="s">
        <v>35</v>
      </c>
      <c r="H30" s="113" t="s">
        <v>467</v>
      </c>
      <c r="I30" s="113" t="s">
        <v>25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13">
        <v>0</v>
      </c>
      <c r="AD30" s="113">
        <v>0</v>
      </c>
      <c r="AE30" s="113">
        <v>0</v>
      </c>
      <c r="AF30" s="113">
        <v>0</v>
      </c>
      <c r="AG30" s="113">
        <v>0</v>
      </c>
      <c r="AH30" s="113">
        <v>0</v>
      </c>
      <c r="AI30" s="113">
        <v>0</v>
      </c>
      <c r="AJ30" s="113">
        <v>0</v>
      </c>
      <c r="AK30" s="113">
        <v>0</v>
      </c>
      <c r="AL30" s="113">
        <v>0</v>
      </c>
      <c r="AM30" s="113">
        <v>0</v>
      </c>
      <c r="AN30" s="113">
        <v>0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0</v>
      </c>
    </row>
    <row r="31" spans="2:46" ht="12" customHeight="1" x14ac:dyDescent="0.3">
      <c r="B31" s="112" t="s">
        <v>42</v>
      </c>
      <c r="C31" s="113" t="s">
        <v>33</v>
      </c>
      <c r="D31" s="113" t="s">
        <v>43</v>
      </c>
      <c r="E31" s="113" t="s">
        <v>25</v>
      </c>
      <c r="F31" s="113" t="s">
        <v>25</v>
      </c>
      <c r="G31" s="113" t="s">
        <v>34</v>
      </c>
      <c r="H31" s="113" t="s">
        <v>467</v>
      </c>
      <c r="I31" s="113" t="s">
        <v>25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13">
        <v>0</v>
      </c>
      <c r="AD31" s="113">
        <v>0</v>
      </c>
      <c r="AE31" s="113">
        <v>0</v>
      </c>
      <c r="AF31" s="113">
        <v>0</v>
      </c>
      <c r="AG31" s="113">
        <v>0</v>
      </c>
      <c r="AH31" s="113">
        <v>0</v>
      </c>
      <c r="AI31" s="113">
        <v>0</v>
      </c>
      <c r="AJ31" s="113">
        <v>0</v>
      </c>
      <c r="AK31" s="113">
        <v>0</v>
      </c>
      <c r="AL31" s="113">
        <v>0</v>
      </c>
      <c r="AM31" s="113">
        <v>0</v>
      </c>
      <c r="AN31" s="113">
        <v>0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0</v>
      </c>
    </row>
    <row r="32" spans="2:46" ht="12" customHeight="1" x14ac:dyDescent="0.3">
      <c r="B32" s="112" t="s">
        <v>42</v>
      </c>
      <c r="C32" s="113" t="s">
        <v>33</v>
      </c>
      <c r="D32" s="113" t="s">
        <v>43</v>
      </c>
      <c r="E32" s="113" t="s">
        <v>25</v>
      </c>
      <c r="F32" s="113" t="s">
        <v>25</v>
      </c>
      <c r="G32" s="113" t="s">
        <v>36</v>
      </c>
      <c r="H32" s="113" t="s">
        <v>467</v>
      </c>
      <c r="I32" s="113" t="s">
        <v>25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13">
        <v>0</v>
      </c>
      <c r="AD32" s="113">
        <v>0</v>
      </c>
      <c r="AE32" s="113">
        <v>0</v>
      </c>
      <c r="AF32" s="113">
        <v>0</v>
      </c>
      <c r="AG32" s="113">
        <v>0</v>
      </c>
      <c r="AH32" s="113">
        <v>0</v>
      </c>
      <c r="AI32" s="113">
        <v>0</v>
      </c>
      <c r="AJ32" s="113">
        <v>0</v>
      </c>
      <c r="AK32" s="113">
        <v>0</v>
      </c>
      <c r="AL32" s="113">
        <v>0</v>
      </c>
      <c r="AM32" s="113">
        <v>0</v>
      </c>
      <c r="AN32" s="113">
        <v>0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0</v>
      </c>
    </row>
    <row r="33" spans="2:46" ht="12" customHeight="1" x14ac:dyDescent="0.3">
      <c r="B33" s="112" t="s">
        <v>42</v>
      </c>
      <c r="C33" s="113" t="s">
        <v>33</v>
      </c>
      <c r="D33" s="113" t="s">
        <v>43</v>
      </c>
      <c r="E33" s="113" t="s">
        <v>25</v>
      </c>
      <c r="F33" s="113" t="s">
        <v>25</v>
      </c>
      <c r="G33" s="113" t="s">
        <v>35</v>
      </c>
      <c r="H33" s="113" t="s">
        <v>467</v>
      </c>
      <c r="I33" s="113" t="s">
        <v>25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3">
        <v>0</v>
      </c>
      <c r="P33" s="113">
        <v>0</v>
      </c>
      <c r="Q33" s="113">
        <v>0</v>
      </c>
      <c r="R33" s="113">
        <v>0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0</v>
      </c>
      <c r="Y33" s="113">
        <v>0</v>
      </c>
      <c r="Z33" s="113">
        <v>0</v>
      </c>
      <c r="AA33" s="113">
        <v>0</v>
      </c>
      <c r="AB33" s="113">
        <v>0</v>
      </c>
      <c r="AC33" s="113">
        <v>0</v>
      </c>
      <c r="AD33" s="113">
        <v>0</v>
      </c>
      <c r="AE33" s="113">
        <v>0</v>
      </c>
      <c r="AF33" s="113">
        <v>0</v>
      </c>
      <c r="AG33" s="113">
        <v>0</v>
      </c>
      <c r="AH33" s="113">
        <v>0</v>
      </c>
      <c r="AI33" s="113">
        <v>0</v>
      </c>
      <c r="AJ33" s="113">
        <v>0</v>
      </c>
      <c r="AK33" s="113">
        <v>0</v>
      </c>
      <c r="AL33" s="113">
        <v>0</v>
      </c>
      <c r="AM33" s="113">
        <v>0</v>
      </c>
      <c r="AN33" s="113">
        <v>0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0</v>
      </c>
    </row>
    <row r="34" spans="2:46" ht="12" customHeight="1" x14ac:dyDescent="0.3">
      <c r="B34" s="112" t="s">
        <v>42</v>
      </c>
      <c r="C34" s="113" t="s">
        <v>33</v>
      </c>
      <c r="D34" s="113" t="s">
        <v>43</v>
      </c>
      <c r="E34" s="113" t="s">
        <v>485</v>
      </c>
      <c r="F34" s="113" t="s">
        <v>25</v>
      </c>
      <c r="G34" s="113" t="s">
        <v>34</v>
      </c>
      <c r="H34" s="113" t="s">
        <v>467</v>
      </c>
      <c r="I34" s="113" t="s">
        <v>25</v>
      </c>
      <c r="J34" s="113">
        <v>0</v>
      </c>
      <c r="K34" s="113">
        <v>0</v>
      </c>
      <c r="L34" s="113">
        <v>0</v>
      </c>
      <c r="M34" s="113">
        <v>0</v>
      </c>
      <c r="N34" s="113">
        <v>0</v>
      </c>
      <c r="O34" s="113">
        <v>0</v>
      </c>
      <c r="P34" s="113">
        <v>0</v>
      </c>
      <c r="Q34" s="113">
        <v>0</v>
      </c>
      <c r="R34" s="113">
        <v>0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0</v>
      </c>
      <c r="Y34" s="113">
        <v>0</v>
      </c>
      <c r="Z34" s="113">
        <v>0</v>
      </c>
      <c r="AA34" s="113">
        <v>0</v>
      </c>
      <c r="AB34" s="113">
        <v>0</v>
      </c>
      <c r="AC34" s="113">
        <v>0</v>
      </c>
      <c r="AD34" s="113">
        <v>0</v>
      </c>
      <c r="AE34" s="113">
        <v>0</v>
      </c>
      <c r="AF34" s="113">
        <v>0</v>
      </c>
      <c r="AG34" s="113">
        <v>0</v>
      </c>
      <c r="AH34" s="113">
        <v>0</v>
      </c>
      <c r="AI34" s="113">
        <v>0</v>
      </c>
      <c r="AJ34" s="113">
        <v>0</v>
      </c>
      <c r="AK34" s="113">
        <v>0</v>
      </c>
      <c r="AL34" s="113">
        <v>0</v>
      </c>
      <c r="AM34" s="113">
        <v>0</v>
      </c>
      <c r="AN34" s="113">
        <v>0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0</v>
      </c>
    </row>
    <row r="35" spans="2:46" ht="12" customHeight="1" x14ac:dyDescent="0.3">
      <c r="B35" s="112" t="s">
        <v>42</v>
      </c>
      <c r="C35" s="113" t="s">
        <v>33</v>
      </c>
      <c r="D35" s="113" t="s">
        <v>43</v>
      </c>
      <c r="E35" s="113" t="s">
        <v>485</v>
      </c>
      <c r="F35" s="113" t="s">
        <v>25</v>
      </c>
      <c r="G35" s="113" t="s">
        <v>36</v>
      </c>
      <c r="H35" s="113" t="s">
        <v>467</v>
      </c>
      <c r="I35" s="113" t="s">
        <v>25</v>
      </c>
      <c r="J35" s="113">
        <v>0</v>
      </c>
      <c r="K35" s="113">
        <v>0</v>
      </c>
      <c r="L35" s="113">
        <v>0</v>
      </c>
      <c r="M35" s="113">
        <v>0</v>
      </c>
      <c r="N35" s="113">
        <v>0</v>
      </c>
      <c r="O35" s="113">
        <v>0</v>
      </c>
      <c r="P35" s="113">
        <v>0</v>
      </c>
      <c r="Q35" s="113">
        <v>0</v>
      </c>
      <c r="R35" s="113">
        <v>0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0</v>
      </c>
      <c r="Y35" s="113">
        <v>0</v>
      </c>
      <c r="Z35" s="113">
        <v>0</v>
      </c>
      <c r="AA35" s="113">
        <v>0</v>
      </c>
      <c r="AB35" s="113">
        <v>0</v>
      </c>
      <c r="AC35" s="113">
        <v>0</v>
      </c>
      <c r="AD35" s="113">
        <v>0</v>
      </c>
      <c r="AE35" s="113">
        <v>0</v>
      </c>
      <c r="AF35" s="113">
        <v>0</v>
      </c>
      <c r="AG35" s="113">
        <v>0</v>
      </c>
      <c r="AH35" s="113">
        <v>0</v>
      </c>
      <c r="AI35" s="113">
        <v>0</v>
      </c>
      <c r="AJ35" s="113">
        <v>0</v>
      </c>
      <c r="AK35" s="113">
        <v>0</v>
      </c>
      <c r="AL35" s="113">
        <v>0</v>
      </c>
      <c r="AM35" s="113">
        <v>0</v>
      </c>
      <c r="AN35" s="113">
        <v>0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0</v>
      </c>
    </row>
    <row r="36" spans="2:46" ht="12" customHeight="1" x14ac:dyDescent="0.3">
      <c r="B36" s="112" t="s">
        <v>42</v>
      </c>
      <c r="C36" s="113" t="s">
        <v>33</v>
      </c>
      <c r="D36" s="113" t="s">
        <v>43</v>
      </c>
      <c r="E36" s="113" t="s">
        <v>485</v>
      </c>
      <c r="F36" s="113" t="s">
        <v>25</v>
      </c>
      <c r="G36" s="113" t="s">
        <v>35</v>
      </c>
      <c r="H36" s="113" t="s">
        <v>467</v>
      </c>
      <c r="I36" s="113" t="s">
        <v>25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0</v>
      </c>
      <c r="Y36" s="113">
        <v>0</v>
      </c>
      <c r="Z36" s="113">
        <v>0</v>
      </c>
      <c r="AA36" s="113">
        <v>0</v>
      </c>
      <c r="AB36" s="113">
        <v>0</v>
      </c>
      <c r="AC36" s="113">
        <v>0</v>
      </c>
      <c r="AD36" s="113">
        <v>0</v>
      </c>
      <c r="AE36" s="113">
        <v>0</v>
      </c>
      <c r="AF36" s="113">
        <v>0</v>
      </c>
      <c r="AG36" s="113">
        <v>0</v>
      </c>
      <c r="AH36" s="113">
        <v>0</v>
      </c>
      <c r="AI36" s="113">
        <v>0</v>
      </c>
      <c r="AJ36" s="113">
        <v>0</v>
      </c>
      <c r="AK36" s="113">
        <v>0</v>
      </c>
      <c r="AL36" s="113">
        <v>0</v>
      </c>
      <c r="AM36" s="113">
        <v>0</v>
      </c>
      <c r="AN36" s="113">
        <v>0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0</v>
      </c>
    </row>
    <row r="37" spans="2:46" ht="12" customHeight="1" x14ac:dyDescent="0.3">
      <c r="B37" s="112" t="s">
        <v>42</v>
      </c>
      <c r="C37" s="113" t="s">
        <v>23</v>
      </c>
      <c r="D37" s="113" t="s">
        <v>43</v>
      </c>
      <c r="E37" s="113" t="s">
        <v>484</v>
      </c>
      <c r="F37" s="113" t="s">
        <v>25</v>
      </c>
      <c r="G37" s="113" t="s">
        <v>25</v>
      </c>
      <c r="H37" s="113" t="s">
        <v>467</v>
      </c>
      <c r="I37" s="113" t="s">
        <v>25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0</v>
      </c>
      <c r="Y37" s="113">
        <v>0</v>
      </c>
      <c r="Z37" s="113">
        <v>0</v>
      </c>
      <c r="AA37" s="113">
        <v>0</v>
      </c>
      <c r="AB37" s="113">
        <v>0</v>
      </c>
      <c r="AC37" s="113">
        <v>0</v>
      </c>
      <c r="AD37" s="113">
        <v>0</v>
      </c>
      <c r="AE37" s="113">
        <v>0</v>
      </c>
      <c r="AF37" s="113">
        <v>0</v>
      </c>
      <c r="AG37" s="113">
        <v>0</v>
      </c>
      <c r="AH37" s="113">
        <v>0</v>
      </c>
      <c r="AI37" s="113">
        <v>0</v>
      </c>
      <c r="AJ37" s="113">
        <v>0</v>
      </c>
      <c r="AK37" s="113">
        <v>0</v>
      </c>
      <c r="AL37" s="113">
        <v>0</v>
      </c>
      <c r="AM37" s="113">
        <v>0</v>
      </c>
      <c r="AN37" s="113">
        <v>0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0</v>
      </c>
    </row>
    <row r="38" spans="2:46" ht="12" customHeight="1" x14ac:dyDescent="0.3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467</v>
      </c>
      <c r="I38" s="113" t="s">
        <v>25</v>
      </c>
      <c r="J38" s="113">
        <v>0</v>
      </c>
      <c r="K38" s="113">
        <v>0</v>
      </c>
      <c r="L38" s="113">
        <v>0</v>
      </c>
      <c r="M38" s="113">
        <v>0</v>
      </c>
      <c r="N38" s="113">
        <v>0</v>
      </c>
      <c r="O38" s="113">
        <v>0</v>
      </c>
      <c r="P38" s="113">
        <v>0</v>
      </c>
      <c r="Q38" s="113">
        <v>0</v>
      </c>
      <c r="R38" s="113">
        <v>0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0</v>
      </c>
      <c r="Y38" s="113">
        <v>0</v>
      </c>
      <c r="Z38" s="113">
        <v>0</v>
      </c>
      <c r="AA38" s="113">
        <v>0</v>
      </c>
      <c r="AB38" s="113">
        <v>0</v>
      </c>
      <c r="AC38" s="113">
        <v>0</v>
      </c>
      <c r="AD38" s="113">
        <v>0</v>
      </c>
      <c r="AE38" s="113">
        <v>0</v>
      </c>
      <c r="AF38" s="113">
        <v>0</v>
      </c>
      <c r="AG38" s="113">
        <v>0</v>
      </c>
      <c r="AH38" s="113">
        <v>0</v>
      </c>
      <c r="AI38" s="113">
        <v>0</v>
      </c>
      <c r="AJ38" s="113">
        <v>0</v>
      </c>
      <c r="AK38" s="113">
        <v>0</v>
      </c>
      <c r="AL38" s="113">
        <v>0</v>
      </c>
      <c r="AM38" s="113">
        <v>0</v>
      </c>
      <c r="AN38" s="113">
        <v>0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0</v>
      </c>
    </row>
    <row r="39" spans="2:46" ht="12" customHeight="1" x14ac:dyDescent="0.3">
      <c r="B39" s="112" t="s">
        <v>42</v>
      </c>
      <c r="C39" s="113" t="s">
        <v>23</v>
      </c>
      <c r="D39" s="113" t="s">
        <v>43</v>
      </c>
      <c r="E39" s="113" t="s">
        <v>485</v>
      </c>
      <c r="F39" s="113" t="s">
        <v>25</v>
      </c>
      <c r="G39" s="113" t="s">
        <v>25</v>
      </c>
      <c r="H39" s="113" t="s">
        <v>467</v>
      </c>
      <c r="I39" s="113" t="s">
        <v>25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0</v>
      </c>
      <c r="Y39" s="113">
        <v>0</v>
      </c>
      <c r="Z39" s="113">
        <v>0</v>
      </c>
      <c r="AA39" s="113">
        <v>0</v>
      </c>
      <c r="AB39" s="113">
        <v>0</v>
      </c>
      <c r="AC39" s="113">
        <v>0</v>
      </c>
      <c r="AD39" s="113">
        <v>0</v>
      </c>
      <c r="AE39" s="113">
        <v>0</v>
      </c>
      <c r="AF39" s="113">
        <v>0</v>
      </c>
      <c r="AG39" s="113">
        <v>0</v>
      </c>
      <c r="AH39" s="113">
        <v>0</v>
      </c>
      <c r="AI39" s="113">
        <v>0</v>
      </c>
      <c r="AJ39" s="113">
        <v>0</v>
      </c>
      <c r="AK39" s="113">
        <v>0</v>
      </c>
      <c r="AL39" s="113">
        <v>0</v>
      </c>
      <c r="AM39" s="113">
        <v>0</v>
      </c>
      <c r="AN39" s="113">
        <v>0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0</v>
      </c>
    </row>
    <row r="40" spans="2:46" ht="12" customHeight="1" x14ac:dyDescent="0.3">
      <c r="B40" s="112" t="s">
        <v>42</v>
      </c>
      <c r="C40" s="113" t="s">
        <v>483</v>
      </c>
      <c r="D40" s="113" t="s">
        <v>43</v>
      </c>
      <c r="E40" s="113" t="s">
        <v>484</v>
      </c>
      <c r="F40" s="113" t="s">
        <v>25</v>
      </c>
      <c r="G40" s="113" t="s">
        <v>25</v>
      </c>
      <c r="H40" s="113" t="s">
        <v>467</v>
      </c>
      <c r="I40" s="113" t="s">
        <v>25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3">
        <v>0</v>
      </c>
      <c r="P40" s="113">
        <v>0</v>
      </c>
      <c r="Q40" s="113">
        <v>0</v>
      </c>
      <c r="R40" s="113">
        <v>0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0</v>
      </c>
      <c r="Y40" s="113">
        <v>0</v>
      </c>
      <c r="Z40" s="113">
        <v>0</v>
      </c>
      <c r="AA40" s="113">
        <v>0</v>
      </c>
      <c r="AB40" s="113">
        <v>0</v>
      </c>
      <c r="AC40" s="113">
        <v>0</v>
      </c>
      <c r="AD40" s="113">
        <v>0</v>
      </c>
      <c r="AE40" s="113">
        <v>0</v>
      </c>
      <c r="AF40" s="113">
        <v>0</v>
      </c>
      <c r="AG40" s="113">
        <v>0</v>
      </c>
      <c r="AH40" s="113">
        <v>0</v>
      </c>
      <c r="AI40" s="113">
        <v>0</v>
      </c>
      <c r="AJ40" s="113">
        <v>0</v>
      </c>
      <c r="AK40" s="113">
        <v>0</v>
      </c>
      <c r="AL40" s="113">
        <v>0</v>
      </c>
      <c r="AM40" s="113">
        <v>0</v>
      </c>
      <c r="AN40" s="113">
        <v>0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0</v>
      </c>
    </row>
    <row r="41" spans="2:46" ht="12" customHeight="1" x14ac:dyDescent="0.3">
      <c r="B41" s="112" t="s">
        <v>42</v>
      </c>
      <c r="C41" s="113" t="s">
        <v>483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467</v>
      </c>
      <c r="I41" s="113" t="s">
        <v>25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0</v>
      </c>
      <c r="R41" s="113">
        <v>0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0</v>
      </c>
      <c r="Y41" s="113">
        <v>0</v>
      </c>
      <c r="Z41" s="113">
        <v>0</v>
      </c>
      <c r="AA41" s="113">
        <v>0</v>
      </c>
      <c r="AB41" s="113">
        <v>0</v>
      </c>
      <c r="AC41" s="113">
        <v>0</v>
      </c>
      <c r="AD41" s="113">
        <v>0</v>
      </c>
      <c r="AE41" s="113">
        <v>0</v>
      </c>
      <c r="AF41" s="113">
        <v>0</v>
      </c>
      <c r="AG41" s="113">
        <v>0</v>
      </c>
      <c r="AH41" s="113">
        <v>0</v>
      </c>
      <c r="AI41" s="113">
        <v>0</v>
      </c>
      <c r="AJ41" s="113">
        <v>0</v>
      </c>
      <c r="AK41" s="113">
        <v>0</v>
      </c>
      <c r="AL41" s="113">
        <v>0</v>
      </c>
      <c r="AM41" s="113">
        <v>0</v>
      </c>
      <c r="AN41" s="113">
        <v>0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0</v>
      </c>
    </row>
    <row r="42" spans="2:46" ht="12" customHeight="1" x14ac:dyDescent="0.3">
      <c r="B42" s="112" t="s">
        <v>42</v>
      </c>
      <c r="C42" s="113" t="s">
        <v>483</v>
      </c>
      <c r="D42" s="113" t="s">
        <v>43</v>
      </c>
      <c r="E42" s="113" t="s">
        <v>485</v>
      </c>
      <c r="F42" s="113" t="s">
        <v>25</v>
      </c>
      <c r="G42" s="113" t="s">
        <v>25</v>
      </c>
      <c r="H42" s="113" t="s">
        <v>467</v>
      </c>
      <c r="I42" s="113" t="s">
        <v>25</v>
      </c>
      <c r="J42" s="113">
        <v>0</v>
      </c>
      <c r="K42" s="113">
        <v>0</v>
      </c>
      <c r="L42" s="113">
        <v>0</v>
      </c>
      <c r="M42" s="113">
        <v>0</v>
      </c>
      <c r="N42" s="113">
        <v>0</v>
      </c>
      <c r="O42" s="113">
        <v>0</v>
      </c>
      <c r="P42" s="113">
        <v>0</v>
      </c>
      <c r="Q42" s="113">
        <v>0</v>
      </c>
      <c r="R42" s="113">
        <v>0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0</v>
      </c>
      <c r="Y42" s="113">
        <v>0</v>
      </c>
      <c r="Z42" s="113">
        <v>0</v>
      </c>
      <c r="AA42" s="113">
        <v>0</v>
      </c>
      <c r="AB42" s="113">
        <v>0</v>
      </c>
      <c r="AC42" s="113">
        <v>0</v>
      </c>
      <c r="AD42" s="113">
        <v>0</v>
      </c>
      <c r="AE42" s="113">
        <v>0</v>
      </c>
      <c r="AF42" s="113">
        <v>0</v>
      </c>
      <c r="AG42" s="113">
        <v>0</v>
      </c>
      <c r="AH42" s="113">
        <v>0</v>
      </c>
      <c r="AI42" s="113">
        <v>0</v>
      </c>
      <c r="AJ42" s="113">
        <v>0</v>
      </c>
      <c r="AK42" s="113">
        <v>0</v>
      </c>
      <c r="AL42" s="113">
        <v>0</v>
      </c>
      <c r="AM42" s="113">
        <v>0</v>
      </c>
      <c r="AN42" s="113">
        <v>0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0</v>
      </c>
    </row>
    <row r="43" spans="2:46" ht="12" customHeight="1" x14ac:dyDescent="0.3">
      <c r="B43" s="112" t="s">
        <v>37</v>
      </c>
      <c r="C43" s="113" t="s">
        <v>33</v>
      </c>
      <c r="D43" s="113" t="s">
        <v>25</v>
      </c>
      <c r="E43" s="113" t="s">
        <v>25</v>
      </c>
      <c r="F43" s="113" t="s">
        <v>25</v>
      </c>
      <c r="G43" s="113" t="s">
        <v>34</v>
      </c>
      <c r="H43" s="113" t="s">
        <v>467</v>
      </c>
      <c r="I43" s="113" t="s">
        <v>25</v>
      </c>
      <c r="J43" s="113">
        <v>0</v>
      </c>
      <c r="K43" s="113">
        <v>0</v>
      </c>
      <c r="L43" s="113">
        <v>0</v>
      </c>
      <c r="M43" s="113">
        <v>0</v>
      </c>
      <c r="N43" s="113">
        <v>0</v>
      </c>
      <c r="O43" s="113">
        <v>0</v>
      </c>
      <c r="P43" s="113">
        <v>0</v>
      </c>
      <c r="Q43" s="113">
        <v>0</v>
      </c>
      <c r="R43" s="113">
        <v>0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0</v>
      </c>
      <c r="Y43" s="113">
        <v>0</v>
      </c>
      <c r="Z43" s="113">
        <v>0</v>
      </c>
      <c r="AA43" s="113">
        <v>0</v>
      </c>
      <c r="AB43" s="113">
        <v>0</v>
      </c>
      <c r="AC43" s="113">
        <v>0</v>
      </c>
      <c r="AD43" s="113">
        <v>0</v>
      </c>
      <c r="AE43" s="113">
        <v>0</v>
      </c>
      <c r="AF43" s="113">
        <v>0</v>
      </c>
      <c r="AG43" s="113">
        <v>0</v>
      </c>
      <c r="AH43" s="113">
        <v>0</v>
      </c>
      <c r="AI43" s="113">
        <v>0</v>
      </c>
      <c r="AJ43" s="113">
        <v>0</v>
      </c>
      <c r="AK43" s="113">
        <v>0</v>
      </c>
      <c r="AL43" s="113">
        <v>0</v>
      </c>
      <c r="AM43" s="113">
        <v>0</v>
      </c>
      <c r="AN43" s="113">
        <v>0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0</v>
      </c>
    </row>
    <row r="44" spans="2:46" ht="12" customHeight="1" x14ac:dyDescent="0.3">
      <c r="B44" s="112" t="s">
        <v>37</v>
      </c>
      <c r="C44" s="113" t="s">
        <v>33</v>
      </c>
      <c r="D44" s="113" t="s">
        <v>25</v>
      </c>
      <c r="E44" s="113" t="s">
        <v>25</v>
      </c>
      <c r="F44" s="113" t="s">
        <v>25</v>
      </c>
      <c r="G44" s="113" t="s">
        <v>36</v>
      </c>
      <c r="H44" s="113" t="s">
        <v>467</v>
      </c>
      <c r="I44" s="113" t="s">
        <v>25</v>
      </c>
      <c r="J44" s="113">
        <v>0</v>
      </c>
      <c r="K44" s="113">
        <v>0</v>
      </c>
      <c r="L44" s="113">
        <v>0</v>
      </c>
      <c r="M44" s="113">
        <v>0</v>
      </c>
      <c r="N44" s="113">
        <v>0</v>
      </c>
      <c r="O44" s="113">
        <v>0</v>
      </c>
      <c r="P44" s="113">
        <v>0</v>
      </c>
      <c r="Q44" s="113">
        <v>0</v>
      </c>
      <c r="R44" s="113">
        <v>0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0</v>
      </c>
      <c r="Y44" s="113">
        <v>0</v>
      </c>
      <c r="Z44" s="113">
        <v>0</v>
      </c>
      <c r="AA44" s="113">
        <v>0</v>
      </c>
      <c r="AB44" s="113">
        <v>0</v>
      </c>
      <c r="AC44" s="113">
        <v>0</v>
      </c>
      <c r="AD44" s="113">
        <v>0</v>
      </c>
      <c r="AE44" s="113">
        <v>0</v>
      </c>
      <c r="AF44" s="113">
        <v>0</v>
      </c>
      <c r="AG44" s="113">
        <v>0</v>
      </c>
      <c r="AH44" s="113">
        <v>0</v>
      </c>
      <c r="AI44" s="113">
        <v>0</v>
      </c>
      <c r="AJ44" s="113">
        <v>0</v>
      </c>
      <c r="AK44" s="113">
        <v>0</v>
      </c>
      <c r="AL44" s="113">
        <v>0</v>
      </c>
      <c r="AM44" s="113">
        <v>0</v>
      </c>
      <c r="AN44" s="113">
        <v>0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0</v>
      </c>
    </row>
    <row r="45" spans="2:46" ht="12" customHeight="1" x14ac:dyDescent="0.3">
      <c r="B45" s="112" t="s">
        <v>37</v>
      </c>
      <c r="C45" s="113" t="s">
        <v>33</v>
      </c>
      <c r="D45" s="113" t="s">
        <v>25</v>
      </c>
      <c r="E45" s="113" t="s">
        <v>25</v>
      </c>
      <c r="F45" s="113" t="s">
        <v>25</v>
      </c>
      <c r="G45" s="113" t="s">
        <v>35</v>
      </c>
      <c r="H45" s="113" t="s">
        <v>467</v>
      </c>
      <c r="I45" s="113" t="s">
        <v>25</v>
      </c>
      <c r="J45" s="113">
        <v>0</v>
      </c>
      <c r="K45" s="113">
        <v>0</v>
      </c>
      <c r="L45" s="113">
        <v>0</v>
      </c>
      <c r="M45" s="113">
        <v>0</v>
      </c>
      <c r="N45" s="113">
        <v>0</v>
      </c>
      <c r="O45" s="113">
        <v>0</v>
      </c>
      <c r="P45" s="113">
        <v>0</v>
      </c>
      <c r="Q45" s="113">
        <v>0</v>
      </c>
      <c r="R45" s="113">
        <v>0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0</v>
      </c>
      <c r="Y45" s="113">
        <v>0</v>
      </c>
      <c r="Z45" s="113">
        <v>0</v>
      </c>
      <c r="AA45" s="113">
        <v>0</v>
      </c>
      <c r="AB45" s="113">
        <v>0</v>
      </c>
      <c r="AC45" s="113">
        <v>0</v>
      </c>
      <c r="AD45" s="113">
        <v>0</v>
      </c>
      <c r="AE45" s="113">
        <v>0</v>
      </c>
      <c r="AF45" s="113">
        <v>0</v>
      </c>
      <c r="AG45" s="113">
        <v>0</v>
      </c>
      <c r="AH45" s="113">
        <v>0</v>
      </c>
      <c r="AI45" s="113">
        <v>0</v>
      </c>
      <c r="AJ45" s="113">
        <v>0</v>
      </c>
      <c r="AK45" s="113">
        <v>0</v>
      </c>
      <c r="AL45" s="113">
        <v>0</v>
      </c>
      <c r="AM45" s="113">
        <v>0</v>
      </c>
      <c r="AN45" s="113">
        <v>0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0</v>
      </c>
    </row>
    <row r="46" spans="2:46" ht="12" customHeight="1" x14ac:dyDescent="0.3">
      <c r="B46" s="112" t="s">
        <v>37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467</v>
      </c>
      <c r="I46" s="113" t="s">
        <v>25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3">
        <v>0</v>
      </c>
      <c r="P46" s="113">
        <v>0</v>
      </c>
      <c r="Q46" s="113">
        <v>0</v>
      </c>
      <c r="R46" s="113">
        <v>0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0</v>
      </c>
      <c r="Y46" s="113">
        <v>0</v>
      </c>
      <c r="Z46" s="113">
        <v>0</v>
      </c>
      <c r="AA46" s="113">
        <v>0</v>
      </c>
      <c r="AB46" s="113">
        <v>0</v>
      </c>
      <c r="AC46" s="113">
        <v>0</v>
      </c>
      <c r="AD46" s="113">
        <v>0</v>
      </c>
      <c r="AE46" s="113">
        <v>0</v>
      </c>
      <c r="AF46" s="113">
        <v>0</v>
      </c>
      <c r="AG46" s="113">
        <v>0</v>
      </c>
      <c r="AH46" s="113">
        <v>0</v>
      </c>
      <c r="AI46" s="113">
        <v>0</v>
      </c>
      <c r="AJ46" s="113">
        <v>0</v>
      </c>
      <c r="AK46" s="113">
        <v>0</v>
      </c>
      <c r="AL46" s="113">
        <v>0</v>
      </c>
      <c r="AM46" s="113">
        <v>0</v>
      </c>
      <c r="AN46" s="113">
        <v>0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0</v>
      </c>
    </row>
    <row r="47" spans="2:46" ht="12" customHeight="1" x14ac:dyDescent="0.3">
      <c r="B47" s="112" t="s">
        <v>37</v>
      </c>
      <c r="C47" s="113" t="s">
        <v>483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467</v>
      </c>
      <c r="I47" s="113" t="s">
        <v>25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3">
        <v>0</v>
      </c>
      <c r="P47" s="113">
        <v>0</v>
      </c>
      <c r="Q47" s="113">
        <v>0</v>
      </c>
      <c r="R47" s="113">
        <v>0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3">
        <v>0</v>
      </c>
      <c r="Z47" s="113">
        <v>0</v>
      </c>
      <c r="AA47" s="113">
        <v>0</v>
      </c>
      <c r="AB47" s="113">
        <v>0</v>
      </c>
      <c r="AC47" s="113">
        <v>0</v>
      </c>
      <c r="AD47" s="113">
        <v>0</v>
      </c>
      <c r="AE47" s="113">
        <v>0</v>
      </c>
      <c r="AF47" s="113">
        <v>0</v>
      </c>
      <c r="AG47" s="113">
        <v>0</v>
      </c>
      <c r="AH47" s="113">
        <v>0</v>
      </c>
      <c r="AI47" s="113">
        <v>0</v>
      </c>
      <c r="AJ47" s="113">
        <v>0</v>
      </c>
      <c r="AK47" s="113">
        <v>0</v>
      </c>
      <c r="AL47" s="113">
        <v>0</v>
      </c>
      <c r="AM47" s="113">
        <v>0</v>
      </c>
      <c r="AN47" s="113">
        <v>0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0</v>
      </c>
    </row>
    <row r="48" spans="2:46" ht="12" customHeight="1" x14ac:dyDescent="0.3">
      <c r="B48" s="112" t="s">
        <v>45</v>
      </c>
      <c r="C48" s="113" t="s">
        <v>23</v>
      </c>
      <c r="D48" s="113" t="s">
        <v>46</v>
      </c>
      <c r="E48" s="113" t="s">
        <v>486</v>
      </c>
      <c r="F48" s="113" t="s">
        <v>25</v>
      </c>
      <c r="G48" s="113" t="s">
        <v>25</v>
      </c>
      <c r="H48" s="113" t="s">
        <v>467</v>
      </c>
      <c r="I48" s="113" t="s">
        <v>25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0</v>
      </c>
    </row>
    <row r="49" spans="2:46" ht="12" customHeight="1" x14ac:dyDescent="0.3">
      <c r="B49" s="115" t="s">
        <v>45</v>
      </c>
      <c r="C49" s="116" t="s">
        <v>23</v>
      </c>
      <c r="D49" s="116" t="s">
        <v>46</v>
      </c>
      <c r="E49" s="116" t="s">
        <v>47</v>
      </c>
      <c r="F49" s="116" t="s">
        <v>25</v>
      </c>
      <c r="G49" s="116" t="s">
        <v>25</v>
      </c>
      <c r="H49" s="116" t="s">
        <v>467</v>
      </c>
      <c r="I49" s="116" t="s">
        <v>25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0</v>
      </c>
      <c r="Y49" s="116">
        <v>0</v>
      </c>
      <c r="Z49" s="116">
        <v>0</v>
      </c>
      <c r="AA49" s="116">
        <v>0</v>
      </c>
      <c r="AB49" s="116">
        <v>0</v>
      </c>
      <c r="AC49" s="116">
        <v>0</v>
      </c>
      <c r="AD49" s="116">
        <v>0</v>
      </c>
      <c r="AE49" s="116">
        <v>0</v>
      </c>
      <c r="AF49" s="116">
        <v>0</v>
      </c>
      <c r="AG49" s="116">
        <v>0</v>
      </c>
      <c r="AH49" s="116">
        <v>0</v>
      </c>
      <c r="AI49" s="116">
        <v>0</v>
      </c>
      <c r="AJ49" s="116">
        <v>0</v>
      </c>
      <c r="AK49" s="116">
        <v>0</v>
      </c>
      <c r="AL49" s="116">
        <v>0</v>
      </c>
      <c r="AM49" s="116">
        <v>0</v>
      </c>
      <c r="AN49" s="116">
        <v>0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2022-09-12T11:50:35Z</dcterms:created>
  <dcterms:modified xsi:type="dcterms:W3CDTF">2022-09-16T17:29:06Z</dcterms:modified>
</cp:coreProperties>
</file>